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5\تولید توسعه دارخوین\مهر  دارخوین\"/>
    </mc:Choice>
  </mc:AlternateContent>
  <bookViews>
    <workbookView xWindow="0" yWindow="0" windowWidth="20400" windowHeight="9000" activeTab="3"/>
  </bookViews>
  <sheets>
    <sheet name="رفاهی " sheetId="4" r:id="rId1"/>
    <sheet name="توليد توسعه دارخوين مهر " sheetId="1" r:id="rId2"/>
    <sheet name="عیدی و سنوات " sheetId="2" r:id="rId3"/>
    <sheet name="جدول " sheetId="3" r:id="rId4"/>
  </sheets>
  <definedNames>
    <definedName name="_xlnm.Print_Area" localSheetId="3">'جدول 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I5" i="3" l="1"/>
  <c r="F5" i="3"/>
  <c r="E5" i="3"/>
  <c r="I31" i="4"/>
  <c r="I6" i="3" l="1"/>
  <c r="F6" i="3"/>
  <c r="E6" i="3"/>
  <c r="G28" i="2" l="1"/>
  <c r="H28" i="2"/>
  <c r="I28" i="2"/>
  <c r="J28" i="2"/>
  <c r="K28" i="2"/>
  <c r="L28" i="2"/>
  <c r="M28" i="2"/>
  <c r="N28" i="2"/>
  <c r="O28" i="2"/>
  <c r="P28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AI28" i="1"/>
  <c r="AJ28" i="1"/>
  <c r="AK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D28" i="1"/>
  <c r="A22" i="1"/>
  <c r="B22" i="1"/>
  <c r="C22" i="1"/>
  <c r="AL22" i="1"/>
  <c r="AM22" i="1"/>
  <c r="AN22" i="1"/>
  <c r="A23" i="1"/>
  <c r="B23" i="1"/>
  <c r="C23" i="1"/>
  <c r="AL23" i="1"/>
  <c r="AM23" i="1"/>
  <c r="AN23" i="1"/>
  <c r="A24" i="1"/>
  <c r="B24" i="1"/>
  <c r="C24" i="1"/>
  <c r="AL24" i="1"/>
  <c r="AM24" i="1"/>
  <c r="AN24" i="1"/>
  <c r="A25" i="1"/>
  <c r="B25" i="1"/>
  <c r="C25" i="1"/>
  <c r="AL25" i="1"/>
  <c r="AM25" i="1"/>
  <c r="AN25" i="1"/>
  <c r="A26" i="1"/>
  <c r="B26" i="1"/>
  <c r="C26" i="1"/>
  <c r="AL26" i="1"/>
  <c r="AM26" i="1"/>
  <c r="AN26" i="1"/>
  <c r="A27" i="1"/>
  <c r="B27" i="1"/>
  <c r="C27" i="1"/>
  <c r="AL27" i="1"/>
  <c r="AM27" i="1"/>
  <c r="AN27" i="1"/>
  <c r="A12" i="1"/>
  <c r="B12" i="1"/>
  <c r="C12" i="1"/>
  <c r="AL12" i="1"/>
  <c r="AM12" i="1"/>
  <c r="AN12" i="1"/>
  <c r="A13" i="1"/>
  <c r="B13" i="1"/>
  <c r="C13" i="1"/>
  <c r="AL13" i="1"/>
  <c r="AM13" i="1"/>
  <c r="AN13" i="1"/>
  <c r="A14" i="1"/>
  <c r="B14" i="1"/>
  <c r="C14" i="1"/>
  <c r="AL14" i="1"/>
  <c r="AM14" i="1"/>
  <c r="AN14" i="1"/>
  <c r="A15" i="1"/>
  <c r="B15" i="1"/>
  <c r="C15" i="1"/>
  <c r="AL15" i="1"/>
  <c r="AM15" i="1"/>
  <c r="AN15" i="1"/>
  <c r="A16" i="1"/>
  <c r="B16" i="1"/>
  <c r="C16" i="1"/>
  <c r="AL16" i="1"/>
  <c r="AM16" i="1"/>
  <c r="AN16" i="1"/>
  <c r="A17" i="1"/>
  <c r="B17" i="1"/>
  <c r="C17" i="1"/>
  <c r="AL17" i="1"/>
  <c r="AM17" i="1"/>
  <c r="AN17" i="1"/>
  <c r="A18" i="1"/>
  <c r="B18" i="1"/>
  <c r="C18" i="1"/>
  <c r="AL18" i="1"/>
  <c r="AM18" i="1"/>
  <c r="AN18" i="1"/>
  <c r="A19" i="1"/>
  <c r="B19" i="1"/>
  <c r="C19" i="1"/>
  <c r="AL19" i="1"/>
  <c r="AM19" i="1"/>
  <c r="AN19" i="1"/>
  <c r="A20" i="1"/>
  <c r="B20" i="1"/>
  <c r="C20" i="1"/>
  <c r="AL20" i="1"/>
  <c r="AM20" i="1"/>
  <c r="AN20" i="1"/>
  <c r="A21" i="1"/>
  <c r="B21" i="1"/>
  <c r="C21" i="1"/>
  <c r="AL21" i="1"/>
  <c r="AM21" i="1"/>
  <c r="AN21" i="1"/>
  <c r="A2" i="1"/>
  <c r="B2" i="1"/>
  <c r="C2" i="1"/>
  <c r="AL2" i="1"/>
  <c r="AM2" i="1"/>
  <c r="AN2" i="1"/>
  <c r="A3" i="1"/>
  <c r="B3" i="1"/>
  <c r="C3" i="1"/>
  <c r="AL3" i="1"/>
  <c r="AM3" i="1"/>
  <c r="AN3" i="1"/>
  <c r="A4" i="1"/>
  <c r="B4" i="1"/>
  <c r="C4" i="1"/>
  <c r="AL4" i="1"/>
  <c r="AM4" i="1"/>
  <c r="AN4" i="1"/>
  <c r="A5" i="1"/>
  <c r="B5" i="1"/>
  <c r="C5" i="1"/>
  <c r="AL5" i="1"/>
  <c r="AM5" i="1"/>
  <c r="AN5" i="1"/>
  <c r="A6" i="1"/>
  <c r="B6" i="1"/>
  <c r="C6" i="1"/>
  <c r="AL6" i="1"/>
  <c r="AM6" i="1"/>
  <c r="AN6" i="1"/>
  <c r="A7" i="1"/>
  <c r="B7" i="1"/>
  <c r="C7" i="1"/>
  <c r="AL7" i="1"/>
  <c r="AM7" i="1"/>
  <c r="AN7" i="1"/>
  <c r="A8" i="1"/>
  <c r="B8" i="1"/>
  <c r="C8" i="1"/>
  <c r="AL8" i="1"/>
  <c r="AM8" i="1"/>
  <c r="AN8" i="1"/>
  <c r="A9" i="1"/>
  <c r="B9" i="1"/>
  <c r="C9" i="1"/>
  <c r="AL9" i="1"/>
  <c r="AM9" i="1"/>
  <c r="AN9" i="1"/>
  <c r="A10" i="1"/>
  <c r="B10" i="1"/>
  <c r="C10" i="1"/>
  <c r="AL10" i="1"/>
  <c r="AM10" i="1"/>
  <c r="AN10" i="1"/>
  <c r="A11" i="1"/>
  <c r="B11" i="1"/>
  <c r="C11" i="1"/>
  <c r="AL11" i="1"/>
  <c r="AM11" i="1"/>
  <c r="AN11" i="1"/>
  <c r="F28" i="2" l="1"/>
  <c r="G5" i="3" s="1"/>
  <c r="E28" i="2"/>
  <c r="H5" i="3" s="1"/>
  <c r="H6" i="3" s="1"/>
  <c r="AM28" i="1"/>
  <c r="AN28" i="1"/>
  <c r="AL28" i="1"/>
  <c r="G6" i="3" l="1"/>
  <c r="J6" i="3"/>
  <c r="J7" i="3" s="1"/>
  <c r="J8" i="3" s="1"/>
  <c r="J9" i="3" s="1"/>
</calcChain>
</file>

<file path=xl/sharedStrings.xml><?xml version="1.0" encoding="utf-8"?>
<sst xmlns="http://schemas.openxmlformats.org/spreadsheetml/2006/main" count="213" uniqueCount="126">
  <si>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</si>
  <si>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</si>
  <si>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</si>
  <si>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</si>
  <si>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</si>
  <si>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</si>
  <si>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</si>
  <si>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</si>
  <si>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</si>
  <si>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</si>
  <si>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</si>
  <si>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</si>
  <si>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</si>
  <si>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</si>
  <si>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</si>
  <si>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</si>
  <si>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</si>
  <si>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</si>
  <si>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</si>
  <si>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</si>
  <si>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</si>
  <si>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</si>
  <si>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کنترل انباشت</t>
  </si>
  <si>
    <t>كاركرد موثر</t>
  </si>
  <si>
    <t>خالص پرداختي</t>
  </si>
  <si>
    <t>جمع حقوق و مزايا</t>
  </si>
  <si>
    <t>جمع كسور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</si>
  <si>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</si>
  <si>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</si>
  <si>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</si>
  <si>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</si>
  <si>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</si>
  <si>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</si>
  <si>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</si>
  <si>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</si>
  <si>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</si>
  <si>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</si>
  <si>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</si>
  <si>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</si>
  <si>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</si>
  <si>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عیدی </t>
  </si>
  <si>
    <t>سنوات</t>
  </si>
  <si>
    <t>حکم حقوقی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</si>
  <si>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</si>
  <si>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</si>
  <si>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</si>
  <si>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</si>
  <si>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</si>
  <si>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</si>
  <si>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</si>
  <si>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</si>
  <si>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</si>
  <si>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عيد آسماني</t>
  </si>
  <si>
    <t>توليد توسعه - دارخوين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</si>
  <si>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</si>
  <si>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</si>
  <si>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</si>
  <si>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</si>
  <si>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</si>
  <si>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</si>
  <si>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</si>
  <si>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</si>
  <si>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</si>
  <si>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عباس بدوي</t>
  </si>
  <si>
    <t>رحمه سياحي</t>
  </si>
  <si>
    <t>مرد سياحي</t>
  </si>
  <si>
    <t>رحيم عقباوي</t>
  </si>
  <si>
    <t>جمشيد فرحانيان</t>
  </si>
  <si>
    <t>مجتبي قنواتي زاده</t>
  </si>
  <si>
    <t>محمدامين نادري</t>
  </si>
  <si>
    <t>علي پورحزبه</t>
  </si>
  <si>
    <t>جاسم جامدي باوي</t>
  </si>
  <si>
    <t>فهد چاملي</t>
  </si>
  <si>
    <t>منصور خنفري راد</t>
  </si>
  <si>
    <t>جميل زرگاني</t>
  </si>
  <si>
    <t>علي ساري</t>
  </si>
  <si>
    <t>سعيد ال بوبالدي</t>
  </si>
  <si>
    <t>فاضل مقدم</t>
  </si>
  <si>
    <t>طاهر پورحزبه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</si>
  <si>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</si>
  <si>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</si>
  <si>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</si>
  <si>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</si>
  <si>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</si>
  <si>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</si>
  <si>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</si>
  <si>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</si>
  <si>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</si>
  <si>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</si>
  <si>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</si>
  <si>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</si>
  <si>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</si>
  <si>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</si>
  <si>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مهر</t>
  </si>
  <si>
    <t xml:space="preserve">گزارش صورت وضعیت مهر ماه 95 پرسنل شرکت تولید توسعه انرژی اتمی (دارخوین ) </t>
  </si>
  <si>
    <t>کارکرد بيماري</t>
  </si>
  <si>
    <t>رفاهی شهریور95</t>
  </si>
  <si>
    <t>یارانه ورزشی شهریور95</t>
  </si>
  <si>
    <t>معوق</t>
  </si>
  <si>
    <t>پرداختی</t>
  </si>
  <si>
    <t>9157041</t>
  </si>
  <si>
    <t>9157043</t>
  </si>
  <si>
    <t>9157044</t>
  </si>
  <si>
    <t>9157045</t>
  </si>
  <si>
    <t>9157046</t>
  </si>
  <si>
    <t>9157047</t>
  </si>
  <si>
    <t>9157049</t>
  </si>
  <si>
    <t>9157050</t>
  </si>
  <si>
    <t>9157053</t>
  </si>
  <si>
    <t>9157054</t>
  </si>
  <si>
    <t>9157055</t>
  </si>
  <si>
    <t>9157057</t>
  </si>
  <si>
    <t>9157058</t>
  </si>
  <si>
    <t>9157059</t>
  </si>
  <si>
    <t>9157060</t>
  </si>
  <si>
    <t>9157065</t>
  </si>
  <si>
    <t>9157066</t>
  </si>
  <si>
    <t>9157068</t>
  </si>
  <si>
    <t>9157070</t>
  </si>
  <si>
    <t>9157072</t>
  </si>
  <si>
    <t>9157075</t>
  </si>
  <si>
    <t>9157077</t>
  </si>
  <si>
    <t>9157081</t>
  </si>
  <si>
    <t>9157089</t>
  </si>
  <si>
    <t>9157090</t>
  </si>
  <si>
    <t>9157091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</si>
</sst>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b/>
      <sz val="12"/>
      <color rgb="FF0000FF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/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" fillId="0" borderId="0" xfId="3"/>
    <xf numFmtId="3" fontId="10" fillId="0" borderId="0" xfId="3" applyNumberFormat="1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3" fontId="9" fillId="0" borderId="0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3" fontId="12" fillId="2" borderId="1" xfId="3" applyNumberFormat="1" applyFont="1" applyFill="1" applyBorder="1" applyAlignment="1">
      <alignment horizontal="center" vertical="center"/>
    </xf>
    <xf numFmtId="3" fontId="12" fillId="2" borderId="1" xfId="3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/>
    <xf numFmtId="0" fontId="14" fillId="2" borderId="0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/>
    </xf>
    <xf numFmtId="3" fontId="16" fillId="0" borderId="0" xfId="3" applyNumberFormat="1" applyFont="1" applyAlignment="1">
      <alignment horizontal="center" vertical="center"/>
    </xf>
    <xf numFmtId="0" fontId="17" fillId="0" borderId="0" xfId="3" applyFont="1"/>
    <xf numFmtId="0" fontId="16" fillId="0" borderId="0" xfId="3" applyFont="1" applyAlignment="1">
      <alignment horizontal="center" vertical="center"/>
    </xf>
    <xf numFmtId="3" fontId="16" fillId="0" borderId="0" xfId="3" applyNumberFormat="1" applyFont="1" applyBorder="1" applyAlignment="1">
      <alignment horizontal="left" vertical="center"/>
    </xf>
    <xf numFmtId="3" fontId="16" fillId="0" borderId="0" xfId="3" applyNumberFormat="1" applyFont="1" applyBorder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horizontal="center" vertical="center"/>
    </xf>
    <xf numFmtId="3" fontId="18" fillId="0" borderId="0" xfId="3" applyNumberFormat="1" applyFont="1"/>
    <xf numFmtId="164" fontId="17" fillId="0" borderId="0" xfId="1" applyNumberFormat="1" applyFont="1"/>
    <xf numFmtId="3" fontId="17" fillId="0" borderId="0" xfId="3" applyNumberFormat="1" applyFont="1"/>
    <xf numFmtId="0" fontId="19" fillId="0" borderId="0" xfId="3" applyFont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3" fontId="19" fillId="2" borderId="0" xfId="3" applyNumberFormat="1" applyFont="1" applyFill="1" applyAlignment="1">
      <alignment horizontal="center" vertical="center"/>
    </xf>
    <xf numFmtId="164" fontId="20" fillId="2" borderId="0" xfId="1" applyNumberFormat="1" applyFont="1" applyFill="1" applyBorder="1" applyAlignment="1">
      <alignment horizontal="center" vertical="center"/>
    </xf>
    <xf numFmtId="3" fontId="16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164" fontId="8" fillId="0" borderId="0" xfId="1" applyNumberFormat="1" applyFont="1"/>
    <xf numFmtId="3" fontId="2" fillId="2" borderId="0" xfId="3" applyNumberFormat="1" applyFont="1" applyFill="1" applyBorder="1" applyAlignment="1">
      <alignment horizontal="left" vertical="center"/>
    </xf>
    <xf numFmtId="3" fontId="11" fillId="2" borderId="0" xfId="3" applyNumberFormat="1" applyFont="1" applyFill="1" applyBorder="1" applyAlignment="1">
      <alignment horizontal="center" vertical="center"/>
    </xf>
    <xf numFmtId="3" fontId="21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2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6" fillId="0" borderId="0" xfId="2" applyNumberFormat="1" applyFont="1"/>
    <xf numFmtId="3" fontId="10" fillId="0" borderId="0" xfId="3" applyNumberFormat="1" applyFont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3" fontId="16" fillId="0" borderId="3" xfId="3" applyNumberFormat="1" applyFont="1" applyBorder="1" applyAlignment="1">
      <alignment horizontal="center" vertical="center"/>
    </xf>
    <xf numFmtId="0" fontId="23" fillId="2" borderId="5" xfId="3" applyFont="1" applyFill="1" applyBorder="1" applyAlignment="1">
      <alignment horizontal="right" vertical="top" wrapText="1"/>
    </xf>
    <xf numFmtId="0" fontId="23" fillId="2" borderId="6" xfId="3" applyFont="1" applyFill="1" applyBorder="1" applyAlignment="1">
      <alignment horizontal="right" vertical="top" wrapText="1"/>
    </xf>
    <xf numFmtId="0" fontId="23" fillId="2" borderId="7" xfId="3" applyFont="1" applyFill="1" applyBorder="1" applyAlignment="1">
      <alignment horizontal="right" vertical="top" wrapText="1"/>
    </xf>
    <xf numFmtId="3" fontId="23" fillId="2" borderId="5" xfId="3" applyNumberFormat="1" applyFont="1" applyFill="1" applyBorder="1" applyAlignment="1">
      <alignment horizontal="right" vertical="top" wrapText="1"/>
    </xf>
    <xf numFmtId="3" fontId="23" fillId="2" borderId="6" xfId="3" applyNumberFormat="1" applyFont="1" applyFill="1" applyBorder="1" applyAlignment="1">
      <alignment horizontal="right" vertical="top" wrapText="1"/>
    </xf>
    <xf numFmtId="3" fontId="23" fillId="2" borderId="7" xfId="3" applyNumberFormat="1" applyFont="1" applyFill="1" applyBorder="1" applyAlignment="1">
      <alignment horizontal="right" vertical="top" wrapText="1"/>
    </xf>
  </cellXfs>
  <cellStyles count="5">
    <cellStyle name="Comma" xfId="2" builtinId="3"/>
    <cellStyle name="Comma 2" xfId="1"/>
    <cellStyle name="Comma 2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1"/>
  <sheetViews>
    <sheetView rightToLeft="1" workbookViewId="0">
      <selection activeCell="L6" sqref="L6"/>
    </sheetView>
  </sheetViews>
  <sheetFormatPr defaultRowHeight="21"/>
  <cols>
    <col min="1" max="1" width="16.85546875" style="8" bestFit="1" customWidth="1"/>
    <col min="2" max="2" width="8.28515625" style="8" bestFit="1" customWidth="1"/>
    <col min="3" max="3" width="14" style="8" bestFit="1" customWidth="1"/>
    <col min="4" max="4" width="10.28515625" style="8" bestFit="1" customWidth="1"/>
    <col min="5" max="5" width="11.140625" style="8" bestFit="1" customWidth="1"/>
    <col min="6" max="6" width="12.7109375" style="8" bestFit="1" customWidth="1"/>
    <col min="7" max="7" width="17.5703125" style="8" bestFit="1" customWidth="1"/>
    <col min="8" max="8" width="4.7109375" style="8" bestFit="1" customWidth="1"/>
    <col min="9" max="9" width="17.7109375" style="8" bestFit="1" customWidth="1"/>
    <col min="10" max="10" width="7.85546875" style="8" bestFit="1" customWidth="1"/>
    <col min="11" max="11" width="5.28515625" style="8" bestFit="1" customWidth="1"/>
    <col min="12" max="12" width="17.28515625" style="8" bestFit="1" customWidth="1"/>
    <col min="13" max="13" width="14.7109375" style="8" bestFit="1" customWidth="1"/>
    <col min="14" max="14" width="10.28515625" style="8" bestFit="1" customWidth="1"/>
    <col min="15" max="15" width="8" style="8" bestFit="1" customWidth="1"/>
    <col min="16" max="16" width="16.140625" style="8" bestFit="1" customWidth="1"/>
    <col min="17" max="17" width="11.140625" style="8" bestFit="1" customWidth="1"/>
    <col min="18" max="18" width="10.140625" style="8" bestFit="1" customWidth="1"/>
    <col min="19" max="19" width="12.28515625" style="8" bestFit="1" customWidth="1"/>
    <col min="20" max="16384" width="9.140625" style="8"/>
  </cols>
  <sheetData>
    <row r="4" spans="1:9">
      <c r="A4" s="8" t="s">
        <v>2</v>
      </c>
      <c r="B4" s="8" t="s">
        <v>0</v>
      </c>
      <c r="C4" s="8" t="s">
        <v>1</v>
      </c>
      <c r="D4" s="8" t="s">
        <v>4</v>
      </c>
      <c r="E4" s="8" t="s">
        <v>95</v>
      </c>
      <c r="F4" s="8" t="s">
        <v>96</v>
      </c>
      <c r="G4" s="8" t="s">
        <v>97</v>
      </c>
      <c r="H4" s="8" t="s">
        <v>98</v>
      </c>
      <c r="I4" s="8" t="s">
        <v>99</v>
      </c>
    </row>
    <row r="5" spans="1:9">
      <c r="A5" s="8" t="s">
        <v>53</v>
      </c>
      <c r="B5" s="8" t="s">
        <v>100</v>
      </c>
      <c r="C5" s="8" t="s">
        <v>52</v>
      </c>
      <c r="D5" s="8">
        <v>31</v>
      </c>
      <c r="E5" s="8">
        <v>0</v>
      </c>
      <c r="G5" s="8">
        <v>300000</v>
      </c>
      <c r="I5" s="8">
        <v>300000</v>
      </c>
    </row>
    <row r="6" spans="1:9">
      <c r="A6" s="8" t="s">
        <v>53</v>
      </c>
      <c r="B6" s="8" t="s">
        <v>101</v>
      </c>
      <c r="C6" s="8" t="s">
        <v>54</v>
      </c>
      <c r="D6" s="8">
        <v>31</v>
      </c>
      <c r="E6" s="8">
        <v>0</v>
      </c>
      <c r="G6" s="8">
        <v>300000</v>
      </c>
      <c r="I6" s="8">
        <v>300000</v>
      </c>
    </row>
    <row r="7" spans="1:9">
      <c r="A7" s="8" t="s">
        <v>53</v>
      </c>
      <c r="B7" s="8" t="s">
        <v>102</v>
      </c>
      <c r="C7" s="8" t="s">
        <v>76</v>
      </c>
      <c r="D7" s="8">
        <v>31</v>
      </c>
      <c r="E7" s="8">
        <v>0</v>
      </c>
      <c r="G7" s="8">
        <v>300000</v>
      </c>
      <c r="I7" s="8">
        <v>300000</v>
      </c>
    </row>
    <row r="8" spans="1:9">
      <c r="A8" s="8" t="s">
        <v>53</v>
      </c>
      <c r="B8" s="8" t="s">
        <v>103</v>
      </c>
      <c r="C8" s="8" t="s">
        <v>55</v>
      </c>
      <c r="D8" s="8">
        <v>31</v>
      </c>
      <c r="E8" s="8">
        <v>0</v>
      </c>
      <c r="G8" s="8">
        <v>300000</v>
      </c>
      <c r="I8" s="8">
        <v>300000</v>
      </c>
    </row>
    <row r="9" spans="1:9">
      <c r="A9" s="8" t="s">
        <v>53</v>
      </c>
      <c r="B9" s="8" t="s">
        <v>104</v>
      </c>
      <c r="C9" s="8" t="s">
        <v>56</v>
      </c>
      <c r="D9" s="8">
        <v>31</v>
      </c>
      <c r="E9" s="8">
        <v>0</v>
      </c>
      <c r="G9" s="8">
        <v>300000</v>
      </c>
      <c r="I9" s="8">
        <v>300000</v>
      </c>
    </row>
    <row r="10" spans="1:9">
      <c r="A10" s="8" t="s">
        <v>53</v>
      </c>
      <c r="B10" s="8" t="s">
        <v>105</v>
      </c>
      <c r="C10" s="8" t="s">
        <v>57</v>
      </c>
      <c r="D10" s="8">
        <v>31</v>
      </c>
      <c r="E10" s="8">
        <v>0</v>
      </c>
      <c r="G10" s="8">
        <v>300000</v>
      </c>
      <c r="I10" s="8">
        <v>300000</v>
      </c>
    </row>
    <row r="11" spans="1:9">
      <c r="A11" s="8" t="s">
        <v>53</v>
      </c>
      <c r="B11" s="8" t="s">
        <v>106</v>
      </c>
      <c r="C11" s="8" t="s">
        <v>58</v>
      </c>
      <c r="D11" s="8">
        <v>31</v>
      </c>
      <c r="E11" s="8">
        <v>0</v>
      </c>
      <c r="G11" s="8">
        <v>300000</v>
      </c>
      <c r="I11" s="8">
        <v>300000</v>
      </c>
    </row>
    <row r="12" spans="1:9">
      <c r="A12" s="8" t="s">
        <v>53</v>
      </c>
      <c r="B12" s="8" t="s">
        <v>107</v>
      </c>
      <c r="C12" s="8" t="s">
        <v>59</v>
      </c>
      <c r="D12" s="8">
        <v>31</v>
      </c>
      <c r="E12" s="8">
        <v>0</v>
      </c>
      <c r="G12" s="8">
        <v>300000</v>
      </c>
      <c r="I12" s="8">
        <v>300000</v>
      </c>
    </row>
    <row r="13" spans="1:9">
      <c r="A13" s="8" t="s">
        <v>53</v>
      </c>
      <c r="B13" s="8" t="s">
        <v>108</v>
      </c>
      <c r="C13" s="8" t="s">
        <v>60</v>
      </c>
      <c r="D13" s="8">
        <v>31</v>
      </c>
      <c r="E13" s="8">
        <v>0</v>
      </c>
      <c r="G13" s="8">
        <v>300000</v>
      </c>
      <c r="I13" s="8">
        <v>300000</v>
      </c>
    </row>
    <row r="14" spans="1:9">
      <c r="A14" s="8" t="s">
        <v>53</v>
      </c>
      <c r="B14" s="8" t="s">
        <v>109</v>
      </c>
      <c r="C14" s="8" t="s">
        <v>61</v>
      </c>
      <c r="D14" s="8">
        <v>31</v>
      </c>
      <c r="E14" s="8">
        <v>0</v>
      </c>
      <c r="G14" s="8">
        <v>300000</v>
      </c>
      <c r="I14" s="8">
        <v>300000</v>
      </c>
    </row>
    <row r="15" spans="1:9">
      <c r="A15" s="8" t="s">
        <v>53</v>
      </c>
      <c r="B15" s="8" t="s">
        <v>110</v>
      </c>
      <c r="C15" s="8" t="s">
        <v>62</v>
      </c>
      <c r="D15" s="8">
        <v>31</v>
      </c>
      <c r="E15" s="8">
        <v>0</v>
      </c>
      <c r="G15" s="8">
        <v>300000</v>
      </c>
      <c r="I15" s="8">
        <v>300000</v>
      </c>
    </row>
    <row r="16" spans="1:9">
      <c r="A16" s="8" t="s">
        <v>53</v>
      </c>
      <c r="B16" s="8" t="s">
        <v>111</v>
      </c>
      <c r="C16" s="8" t="s">
        <v>63</v>
      </c>
      <c r="D16" s="8">
        <v>31</v>
      </c>
      <c r="E16" s="8">
        <v>0</v>
      </c>
      <c r="G16" s="8">
        <v>300000</v>
      </c>
      <c r="I16" s="8">
        <v>300000</v>
      </c>
    </row>
    <row r="17" spans="1:9">
      <c r="A17" s="8" t="s">
        <v>53</v>
      </c>
      <c r="B17" s="8" t="s">
        <v>112</v>
      </c>
      <c r="C17" s="8" t="s">
        <v>78</v>
      </c>
      <c r="D17" s="8">
        <v>31</v>
      </c>
      <c r="E17" s="8">
        <v>0</v>
      </c>
      <c r="G17" s="8">
        <v>300000</v>
      </c>
      <c r="I17" s="8">
        <v>300000</v>
      </c>
    </row>
    <row r="18" spans="1:9">
      <c r="A18" s="8" t="s">
        <v>53</v>
      </c>
      <c r="B18" s="8" t="s">
        <v>113</v>
      </c>
      <c r="C18" s="8" t="s">
        <v>64</v>
      </c>
      <c r="D18" s="8">
        <v>31</v>
      </c>
      <c r="E18" s="8">
        <v>0</v>
      </c>
      <c r="G18" s="8">
        <v>300000</v>
      </c>
      <c r="I18" s="8">
        <v>300000</v>
      </c>
    </row>
    <row r="19" spans="1:9">
      <c r="A19" s="8" t="s">
        <v>53</v>
      </c>
      <c r="B19" s="8" t="s">
        <v>114</v>
      </c>
      <c r="C19" s="8" t="s">
        <v>65</v>
      </c>
      <c r="D19" s="8">
        <v>31</v>
      </c>
      <c r="E19" s="8">
        <v>0</v>
      </c>
      <c r="G19" s="8">
        <v>300000</v>
      </c>
      <c r="I19" s="8">
        <v>300000</v>
      </c>
    </row>
    <row r="20" spans="1:9">
      <c r="A20" s="8" t="s">
        <v>53</v>
      </c>
      <c r="B20" s="8" t="s">
        <v>115</v>
      </c>
      <c r="C20" s="8" t="s">
        <v>66</v>
      </c>
      <c r="D20" s="8">
        <v>31</v>
      </c>
      <c r="E20" s="8">
        <v>0</v>
      </c>
      <c r="G20" s="8">
        <v>300000</v>
      </c>
      <c r="I20" s="8">
        <v>300000</v>
      </c>
    </row>
    <row r="21" spans="1:9">
      <c r="A21" s="8" t="s">
        <v>53</v>
      </c>
      <c r="B21" s="8" t="s">
        <v>116</v>
      </c>
      <c r="C21" s="8" t="s">
        <v>67</v>
      </c>
      <c r="D21" s="8">
        <v>26</v>
      </c>
      <c r="E21" s="8">
        <v>5</v>
      </c>
      <c r="G21" s="8">
        <v>300000</v>
      </c>
      <c r="I21" s="8">
        <v>300000</v>
      </c>
    </row>
    <row r="22" spans="1:9">
      <c r="A22" s="8" t="s">
        <v>53</v>
      </c>
      <c r="B22" s="8" t="s">
        <v>117</v>
      </c>
      <c r="C22" s="8" t="s">
        <v>68</v>
      </c>
      <c r="D22" s="8">
        <v>31</v>
      </c>
      <c r="E22" s="8">
        <v>0</v>
      </c>
      <c r="G22" s="8">
        <v>300000</v>
      </c>
      <c r="I22" s="8">
        <v>300000</v>
      </c>
    </row>
    <row r="23" spans="1:9">
      <c r="A23" s="8" t="s">
        <v>53</v>
      </c>
      <c r="B23" s="8" t="s">
        <v>118</v>
      </c>
      <c r="C23" s="8" t="s">
        <v>77</v>
      </c>
      <c r="D23" s="8">
        <v>31</v>
      </c>
      <c r="E23" s="8">
        <v>0</v>
      </c>
      <c r="G23" s="8">
        <v>300000</v>
      </c>
      <c r="I23" s="8">
        <v>300000</v>
      </c>
    </row>
    <row r="24" spans="1:9">
      <c r="A24" s="8" t="s">
        <v>53</v>
      </c>
      <c r="B24" s="8" t="s">
        <v>119</v>
      </c>
      <c r="C24" s="8" t="s">
        <v>69</v>
      </c>
      <c r="D24" s="8">
        <v>31</v>
      </c>
      <c r="E24" s="8">
        <v>0</v>
      </c>
      <c r="G24" s="8">
        <v>300000</v>
      </c>
      <c r="I24" s="8">
        <v>300000</v>
      </c>
    </row>
    <row r="25" spans="1:9">
      <c r="A25" s="8" t="s">
        <v>53</v>
      </c>
      <c r="B25" s="8" t="s">
        <v>120</v>
      </c>
      <c r="C25" s="8" t="s">
        <v>70</v>
      </c>
      <c r="D25" s="8">
        <v>31</v>
      </c>
      <c r="E25" s="8">
        <v>0</v>
      </c>
      <c r="G25" s="8">
        <v>300000</v>
      </c>
      <c r="I25" s="8">
        <v>300000</v>
      </c>
    </row>
    <row r="26" spans="1:9">
      <c r="A26" s="8" t="s">
        <v>53</v>
      </c>
      <c r="B26" s="8" t="s">
        <v>121</v>
      </c>
      <c r="C26" s="8" t="s">
        <v>71</v>
      </c>
      <c r="D26" s="8">
        <v>31</v>
      </c>
      <c r="E26" s="8">
        <v>0</v>
      </c>
      <c r="G26" s="8">
        <v>300000</v>
      </c>
      <c r="I26" s="8">
        <v>300000</v>
      </c>
    </row>
    <row r="27" spans="1:9">
      <c r="A27" s="8" t="s">
        <v>53</v>
      </c>
      <c r="B27" s="8" t="s">
        <v>122</v>
      </c>
      <c r="C27" s="8" t="s">
        <v>72</v>
      </c>
      <c r="D27" s="8">
        <v>31</v>
      </c>
      <c r="E27" s="8">
        <v>0</v>
      </c>
      <c r="G27" s="8">
        <v>300000</v>
      </c>
      <c r="I27" s="8">
        <v>300000</v>
      </c>
    </row>
    <row r="28" spans="1:9">
      <c r="A28" s="8" t="s">
        <v>53</v>
      </c>
      <c r="B28" s="8" t="s">
        <v>123</v>
      </c>
      <c r="C28" s="8" t="s">
        <v>73</v>
      </c>
      <c r="D28" s="8">
        <v>31</v>
      </c>
      <c r="E28" s="8">
        <v>0</v>
      </c>
      <c r="G28" s="8">
        <v>300000</v>
      </c>
      <c r="I28" s="8">
        <v>300000</v>
      </c>
    </row>
    <row r="29" spans="1:9">
      <c r="A29" s="8" t="s">
        <v>53</v>
      </c>
      <c r="B29" s="8" t="s">
        <v>124</v>
      </c>
      <c r="C29" s="8" t="s">
        <v>74</v>
      </c>
      <c r="D29" s="8">
        <v>31</v>
      </c>
      <c r="E29" s="8">
        <v>0</v>
      </c>
      <c r="G29" s="8">
        <v>300000</v>
      </c>
      <c r="I29" s="8">
        <v>300000</v>
      </c>
    </row>
    <row r="30" spans="1:9">
      <c r="A30" s="8" t="s">
        <v>53</v>
      </c>
      <c r="B30" s="8" t="s">
        <v>125</v>
      </c>
      <c r="C30" s="8" t="s">
        <v>75</v>
      </c>
      <c r="D30" s="8">
        <v>31</v>
      </c>
      <c r="E30" s="8">
        <v>0</v>
      </c>
      <c r="G30" s="8">
        <v>300000</v>
      </c>
      <c r="I30" s="8">
        <v>300000</v>
      </c>
    </row>
    <row r="31" spans="1:9" ht="24">
      <c r="I31" s="52">
        <f>SUM(I5:I30)</f>
        <v>7800000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rightToLeft="1" topLeftCell="AB1" zoomScaleNormal="100" workbookViewId="0">
      <pane ySplit="1" topLeftCell="A2" activePane="bottomLeft" state="frozen"/>
      <selection pane="bottomLeft" activeCell="AG32" sqref="AG32"/>
    </sheetView>
  </sheetViews>
  <sheetFormatPr defaultRowHeight="14.25"/>
  <cols>
    <col min="1" max="1" width="12.5703125" style="2" bestFit="1" customWidth="1"/>
    <col min="2" max="2" width="19.5703125" style="2" bestFit="1" customWidth="1"/>
    <col min="3" max="3" width="21" style="2" bestFit="1" customWidth="1"/>
    <col min="4" max="4" width="45.28515625" style="2" bestFit="1" customWidth="1"/>
    <col min="5" max="5" width="54.42578125" style="2" bestFit="1" customWidth="1"/>
    <col min="6" max="6" width="50.28515625" style="2" bestFit="1" customWidth="1"/>
    <col min="7" max="7" width="41.28515625" style="2" bestFit="1" customWidth="1"/>
    <col min="8" max="8" width="50.42578125" style="2" bestFit="1" customWidth="1"/>
    <col min="9" max="9" width="19.5703125" style="2" bestFit="1" customWidth="1"/>
    <col min="10" max="10" width="46.28515625" style="2" bestFit="1" customWidth="1"/>
    <col min="11" max="11" width="51.28515625" style="2" bestFit="1" customWidth="1"/>
    <col min="12" max="13" width="17.42578125" style="2" bestFit="1" customWidth="1"/>
    <col min="14" max="14" width="55.28515625" style="2" bestFit="1" customWidth="1"/>
    <col min="15" max="15" width="35.7109375" style="2" bestFit="1" customWidth="1"/>
    <col min="16" max="17" width="16.140625" style="2" bestFit="1" customWidth="1"/>
    <col min="18" max="18" width="16.85546875" style="2" bestFit="1" customWidth="1"/>
    <col min="19" max="19" width="16.140625" style="2" bestFit="1" customWidth="1"/>
    <col min="20" max="20" width="36.28515625" style="2" bestFit="1" customWidth="1"/>
    <col min="21" max="23" width="16.140625" style="2" bestFit="1" customWidth="1"/>
    <col min="24" max="24" width="48.7109375" style="2" bestFit="1" customWidth="1"/>
    <col min="25" max="25" width="16.140625" style="2" bestFit="1" customWidth="1"/>
    <col min="26" max="26" width="22.5703125" style="2" bestFit="1" customWidth="1"/>
    <col min="27" max="27" width="36.85546875" style="2" bestFit="1" customWidth="1"/>
    <col min="28" max="29" width="15" style="2" bestFit="1" customWidth="1"/>
    <col min="30" max="30" width="13.85546875" style="2" bestFit="1" customWidth="1"/>
    <col min="31" max="31" width="13.140625" style="2" bestFit="1" customWidth="1"/>
    <col min="32" max="32" width="15.140625" style="2" bestFit="1" customWidth="1"/>
    <col min="33" max="33" width="20" style="2" bestFit="1" customWidth="1"/>
    <col min="34" max="34" width="15" style="2" bestFit="1" customWidth="1"/>
    <col min="35" max="35" width="14.5703125" style="2" bestFit="1" customWidth="1"/>
    <col min="36" max="36" width="10.7109375" style="2" customWidth="1"/>
    <col min="37" max="37" width="11.85546875" style="2" bestFit="1" customWidth="1"/>
    <col min="38" max="38" width="30.7109375" style="2" bestFit="1" customWidth="1"/>
    <col min="39" max="39" width="33.140625" style="2" bestFit="1" customWidth="1"/>
    <col min="40" max="40" width="38.7109375" style="2" bestFit="1" customWidth="1"/>
    <col min="41" max="16384" width="9.140625" style="2"/>
  </cols>
  <sheetData>
    <row r="1" spans="1:40">
      <c r="A1" s="1" t="s">
        <v>0</v>
      </c>
      <c r="B1" s="1" t="s">
        <v>1</v>
      </c>
      <c r="C1" s="1" t="s">
        <v>2</v>
      </c>
      <c r="D1" s="1" t="s">
        <v>38</v>
      </c>
      <c r="E1" s="1" t="s">
        <v>39</v>
      </c>
      <c r="F1" s="1" t="s">
        <v>36</v>
      </c>
      <c r="G1" s="1" t="s">
        <v>34</v>
      </c>
      <c r="H1" s="1" t="s">
        <v>35</v>
      </c>
      <c r="I1" s="1" t="s">
        <v>25</v>
      </c>
      <c r="J1" s="1" t="s">
        <v>32</v>
      </c>
      <c r="K1" s="1" t="s">
        <v>33</v>
      </c>
      <c r="L1" s="1" t="s">
        <v>24</v>
      </c>
      <c r="M1" s="1" t="s">
        <v>12</v>
      </c>
      <c r="N1" s="1" t="s">
        <v>37</v>
      </c>
      <c r="O1" s="1" t="s">
        <v>20</v>
      </c>
      <c r="P1" s="1" t="s">
        <v>26</v>
      </c>
      <c r="Q1" s="1" t="s">
        <v>6</v>
      </c>
      <c r="R1" s="1" t="s">
        <v>18</v>
      </c>
      <c r="S1" s="1" t="s">
        <v>8</v>
      </c>
      <c r="T1" s="1" t="s">
        <v>16</v>
      </c>
      <c r="U1" s="1" t="s">
        <v>14</v>
      </c>
      <c r="V1" s="1" t="s">
        <v>9</v>
      </c>
      <c r="W1" s="1" t="s">
        <v>10</v>
      </c>
      <c r="X1" s="1" t="s">
        <v>31</v>
      </c>
      <c r="Y1" s="1" t="s">
        <v>21</v>
      </c>
      <c r="Z1" s="1" t="s">
        <v>19</v>
      </c>
      <c r="AA1" s="1" t="s">
        <v>30</v>
      </c>
      <c r="AB1" s="1" t="s">
        <v>7</v>
      </c>
      <c r="AC1" s="1" t="s">
        <v>13</v>
      </c>
      <c r="AD1" s="1" t="s">
        <v>4</v>
      </c>
      <c r="AE1" s="1" t="s">
        <v>23</v>
      </c>
      <c r="AF1" s="1" t="s">
        <v>22</v>
      </c>
      <c r="AG1" s="1" t="s">
        <v>3</v>
      </c>
      <c r="AH1" s="1" t="s">
        <v>5</v>
      </c>
      <c r="AI1" s="1" t="s">
        <v>11</v>
      </c>
      <c r="AJ1" s="1" t="s">
        <v>15</v>
      </c>
      <c r="AK1" s="1" t="s">
        <v>17</v>
      </c>
      <c r="AL1" s="1" t="s">
        <v>27</v>
      </c>
      <c r="AM1" s="1" t="s">
        <v>28</v>
      </c>
      <c r="AN1" s="1" t="s">
        <v>29</v>
      </c>
    </row>
    <row r="2" spans="1:40">
      <c r="A2" s="2" t="str">
        <f>"9157041"</f>
        <v>9157041</v>
      </c>
      <c r="B2" s="2" t="str">
        <f>"عيد آسماني"</f>
        <v>عيد آسماني</v>
      </c>
      <c r="C2" s="2" t="str">
        <f t="shared" ref="C2:C27" si="0">"توليد توسعه - دارخوين"</f>
        <v>توليد توسعه - دارخوين</v>
      </c>
      <c r="D2" s="2">
        <v>60000000</v>
      </c>
      <c r="E2" s="2">
        <v>60000000</v>
      </c>
      <c r="F2" s="2">
        <v>52800000</v>
      </c>
      <c r="G2" s="2">
        <v>0</v>
      </c>
      <c r="H2" s="2">
        <v>0</v>
      </c>
      <c r="I2" s="2">
        <v>13830385</v>
      </c>
      <c r="J2" s="2">
        <v>0</v>
      </c>
      <c r="K2" s="2">
        <v>0</v>
      </c>
      <c r="L2" s="2">
        <v>12862258</v>
      </c>
      <c r="M2" s="2">
        <v>9564120</v>
      </c>
      <c r="N2" s="2">
        <v>7200000</v>
      </c>
      <c r="O2" s="2">
        <v>2766077</v>
      </c>
      <c r="P2" s="2">
        <v>968127</v>
      </c>
      <c r="Q2" s="2">
        <v>0</v>
      </c>
      <c r="R2" s="2">
        <v>0</v>
      </c>
      <c r="S2" s="2">
        <v>1100000</v>
      </c>
      <c r="T2" s="2">
        <v>968127</v>
      </c>
      <c r="U2" s="2">
        <v>994265</v>
      </c>
      <c r="V2" s="2">
        <v>1012000</v>
      </c>
      <c r="W2" s="2">
        <v>960000</v>
      </c>
      <c r="X2" s="2">
        <v>0</v>
      </c>
      <c r="Y2" s="2">
        <v>414912</v>
      </c>
      <c r="Z2" s="2">
        <v>0</v>
      </c>
      <c r="AA2" s="2">
        <v>0</v>
      </c>
      <c r="AB2" s="2">
        <v>200000</v>
      </c>
      <c r="AC2" s="2">
        <v>0</v>
      </c>
      <c r="AD2" s="2">
        <v>13200</v>
      </c>
      <c r="AE2" s="2">
        <v>13200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 t="str">
        <f t="shared" ref="AL2:AL27" si="1">"گروه مالياتي 50 درصدي خدماتي"</f>
        <v>گروه مالياتي 50 درصدي خدماتي</v>
      </c>
      <c r="AM2" s="2" t="str">
        <f t="shared" ref="AM2:AM27" si="2">"شعبه شادگان"</f>
        <v>شعبه شادگان</v>
      </c>
      <c r="AN2" s="2" t="str">
        <f>"50575808"</f>
        <v>50575808</v>
      </c>
    </row>
    <row r="3" spans="1:40">
      <c r="A3" s="2" t="str">
        <f>"9157043"</f>
        <v>9157043</v>
      </c>
      <c r="B3" s="2" t="str">
        <f>"عبداله البوبالد"</f>
        <v>عبداله البوبالد</v>
      </c>
      <c r="C3" s="2" t="str">
        <f t="shared" si="0"/>
        <v>توليد توسعه - دارخوين</v>
      </c>
      <c r="D3" s="2">
        <v>60000000</v>
      </c>
      <c r="E3" s="2">
        <v>60000000</v>
      </c>
      <c r="F3" s="2">
        <v>52800000</v>
      </c>
      <c r="G3" s="2">
        <v>50000000</v>
      </c>
      <c r="H3" s="2">
        <v>50000000</v>
      </c>
      <c r="I3" s="2">
        <v>17369820</v>
      </c>
      <c r="J3" s="2">
        <v>23611096</v>
      </c>
      <c r="K3" s="2">
        <v>26388904</v>
      </c>
      <c r="L3" s="2">
        <v>14071896</v>
      </c>
      <c r="M3" s="2">
        <v>12227190</v>
      </c>
      <c r="N3" s="2">
        <v>7200000</v>
      </c>
      <c r="O3" s="2">
        <v>3311531</v>
      </c>
      <c r="P3" s="2">
        <v>3297924</v>
      </c>
      <c r="Q3" s="2">
        <v>812165</v>
      </c>
      <c r="R3" s="2">
        <v>1388888</v>
      </c>
      <c r="S3" s="2">
        <v>1100000</v>
      </c>
      <c r="T3" s="2">
        <v>1159036</v>
      </c>
      <c r="U3" s="2">
        <v>1058465</v>
      </c>
      <c r="V3" s="2">
        <v>1012000</v>
      </c>
      <c r="W3" s="2">
        <v>960000</v>
      </c>
      <c r="X3" s="2">
        <v>1388888</v>
      </c>
      <c r="Y3" s="2">
        <v>496730</v>
      </c>
      <c r="Z3" s="2">
        <v>750000</v>
      </c>
      <c r="AA3" s="2">
        <v>0</v>
      </c>
      <c r="AB3" s="2">
        <v>200000</v>
      </c>
      <c r="AC3" s="2">
        <v>0</v>
      </c>
      <c r="AD3" s="2">
        <v>13200</v>
      </c>
      <c r="AE3" s="2">
        <v>13200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 t="str">
        <f t="shared" si="1"/>
        <v>گروه مالياتي 50 درصدي خدماتي</v>
      </c>
      <c r="AM3" s="2" t="str">
        <f t="shared" si="2"/>
        <v>شعبه شادگان</v>
      </c>
      <c r="AN3" s="2" t="str">
        <f>"57951654"</f>
        <v>57951654</v>
      </c>
    </row>
    <row r="4" spans="1:40">
      <c r="A4" s="2" t="str">
        <f>"9157044"</f>
        <v>9157044</v>
      </c>
      <c r="B4" s="2" t="str">
        <f>"سعيد ال بوبالدي"</f>
        <v>سعيد ال بوبالدي</v>
      </c>
      <c r="C4" s="2" t="str">
        <f t="shared" si="0"/>
        <v>توليد توسعه - دارخوين</v>
      </c>
      <c r="I4" s="2">
        <v>17180260</v>
      </c>
      <c r="L4" s="2">
        <v>16148196</v>
      </c>
      <c r="M4" s="2">
        <v>10451820</v>
      </c>
      <c r="O4" s="2">
        <v>2948753</v>
      </c>
      <c r="P4" s="2">
        <v>1032064</v>
      </c>
      <c r="Q4" s="2">
        <v>2436495</v>
      </c>
      <c r="R4" s="2">
        <v>0</v>
      </c>
      <c r="S4" s="2">
        <v>1100000</v>
      </c>
      <c r="T4" s="2">
        <v>1032064</v>
      </c>
      <c r="U4" s="2">
        <v>1019945</v>
      </c>
      <c r="V4" s="2">
        <v>1012000</v>
      </c>
      <c r="W4" s="2">
        <v>960000</v>
      </c>
      <c r="Y4" s="2">
        <v>442313</v>
      </c>
      <c r="Z4" s="2">
        <v>0</v>
      </c>
      <c r="AB4" s="2">
        <v>200000</v>
      </c>
      <c r="AC4" s="2">
        <v>0</v>
      </c>
      <c r="AD4" s="2">
        <v>13200</v>
      </c>
      <c r="AE4" s="2">
        <v>13200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 t="str">
        <f t="shared" si="1"/>
        <v>گروه مالياتي 50 درصدي خدماتي</v>
      </c>
      <c r="AM4" s="2" t="str">
        <f t="shared" si="2"/>
        <v>شعبه شادگان</v>
      </c>
      <c r="AN4" s="2" t="str">
        <f>"56004180"</f>
        <v>56004180</v>
      </c>
    </row>
    <row r="5" spans="1:40">
      <c r="A5" s="2" t="str">
        <f>"9157045"</f>
        <v>9157045</v>
      </c>
      <c r="B5" s="2" t="str">
        <f>"شريف آلبوبالدي"</f>
        <v>شريف آلبوبالدي</v>
      </c>
      <c r="C5" s="2" t="str">
        <f t="shared" si="0"/>
        <v>توليد توسعه - دارخوين</v>
      </c>
      <c r="D5" s="2">
        <v>60000000</v>
      </c>
      <c r="E5" s="2">
        <v>60000000</v>
      </c>
      <c r="F5" s="2">
        <v>58800000</v>
      </c>
      <c r="G5" s="2">
        <v>50000000</v>
      </c>
      <c r="H5" s="2">
        <v>50000000</v>
      </c>
      <c r="I5" s="2">
        <v>15555930</v>
      </c>
      <c r="J5" s="2">
        <v>34722200</v>
      </c>
      <c r="K5" s="2">
        <v>15277800</v>
      </c>
      <c r="L5" s="2">
        <v>12384978</v>
      </c>
      <c r="M5" s="2">
        <v>10451820</v>
      </c>
      <c r="N5" s="2">
        <v>1200000</v>
      </c>
      <c r="O5" s="2">
        <v>2948753</v>
      </c>
      <c r="P5" s="2">
        <v>3170952</v>
      </c>
      <c r="Q5" s="2">
        <v>812165</v>
      </c>
      <c r="R5" s="2">
        <v>1388888</v>
      </c>
      <c r="S5" s="2">
        <v>1100000</v>
      </c>
      <c r="T5" s="2">
        <v>1032064</v>
      </c>
      <c r="U5" s="2">
        <v>1019945</v>
      </c>
      <c r="V5" s="2">
        <v>1012000</v>
      </c>
      <c r="W5" s="2">
        <v>960000</v>
      </c>
      <c r="X5" s="2">
        <v>1388888</v>
      </c>
      <c r="Y5" s="2">
        <v>442313</v>
      </c>
      <c r="Z5" s="2">
        <v>750000</v>
      </c>
      <c r="AA5" s="2">
        <v>0</v>
      </c>
      <c r="AB5" s="2">
        <v>200000</v>
      </c>
      <c r="AC5" s="2">
        <v>0</v>
      </c>
      <c r="AD5" s="2">
        <v>13200</v>
      </c>
      <c r="AE5" s="2">
        <v>13200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 t="str">
        <f t="shared" si="1"/>
        <v>گروه مالياتي 50 درصدي خدماتي</v>
      </c>
      <c r="AM5" s="2" t="str">
        <f t="shared" si="2"/>
        <v>شعبه شادگان</v>
      </c>
      <c r="AN5" s="2" t="str">
        <f>"52544320"</f>
        <v>52544320</v>
      </c>
    </row>
    <row r="6" spans="1:40">
      <c r="A6" s="2" t="str">
        <f>"9157046"</f>
        <v>9157046</v>
      </c>
      <c r="B6" s="2" t="str">
        <f>"يعقوب آلبوبالدي"</f>
        <v>يعقوب آلبوبالدي</v>
      </c>
      <c r="C6" s="2" t="str">
        <f t="shared" si="0"/>
        <v>توليد توسعه - دارخوين</v>
      </c>
      <c r="D6" s="2">
        <v>60000000</v>
      </c>
      <c r="E6" s="2">
        <v>60000000</v>
      </c>
      <c r="F6" s="2">
        <v>52800000</v>
      </c>
      <c r="G6" s="2">
        <v>50000000</v>
      </c>
      <c r="H6" s="2">
        <v>50000000</v>
      </c>
      <c r="I6" s="2">
        <v>20364160</v>
      </c>
      <c r="J6" s="2">
        <v>31944424</v>
      </c>
      <c r="K6" s="2">
        <v>18055576</v>
      </c>
      <c r="L6" s="2">
        <v>16970335</v>
      </c>
      <c r="M6" s="2">
        <v>13558680</v>
      </c>
      <c r="N6" s="2">
        <v>7200000</v>
      </c>
      <c r="O6" s="2">
        <v>3585533</v>
      </c>
      <c r="P6" s="2">
        <v>3393825</v>
      </c>
      <c r="Q6" s="2">
        <v>2436495</v>
      </c>
      <c r="R6" s="2">
        <v>1388888</v>
      </c>
      <c r="S6" s="2">
        <v>1100000</v>
      </c>
      <c r="T6" s="2">
        <v>1254937</v>
      </c>
      <c r="U6" s="2">
        <v>1096985</v>
      </c>
      <c r="V6" s="2">
        <v>1012000</v>
      </c>
      <c r="W6" s="2">
        <v>960000</v>
      </c>
      <c r="X6" s="2">
        <v>1388888</v>
      </c>
      <c r="Y6" s="2">
        <v>537830</v>
      </c>
      <c r="Z6" s="2">
        <v>750000</v>
      </c>
      <c r="AA6" s="2">
        <v>0</v>
      </c>
      <c r="AB6" s="2">
        <v>200000</v>
      </c>
      <c r="AC6" s="2">
        <v>0</v>
      </c>
      <c r="AD6" s="2">
        <v>13200</v>
      </c>
      <c r="AE6" s="2">
        <v>13200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 t="str">
        <f t="shared" si="1"/>
        <v>گروه مالياتي 50 درصدي خدماتي</v>
      </c>
      <c r="AM6" s="2" t="str">
        <f t="shared" si="2"/>
        <v>شعبه شادگان</v>
      </c>
      <c r="AN6" s="2" t="str">
        <f>"52545284"</f>
        <v>52545284</v>
      </c>
    </row>
    <row r="7" spans="1:40">
      <c r="A7" s="2" t="str">
        <f>"9157047"</f>
        <v>9157047</v>
      </c>
      <c r="B7" s="2" t="str">
        <f>"محمد البوغبيش"</f>
        <v>محمد البوغبيش</v>
      </c>
      <c r="C7" s="2" t="str">
        <f t="shared" si="0"/>
        <v>توليد توسعه - دارخوين</v>
      </c>
      <c r="D7" s="2">
        <v>60000000</v>
      </c>
      <c r="E7" s="2">
        <v>60000000</v>
      </c>
      <c r="F7" s="2">
        <v>52800000</v>
      </c>
      <c r="G7" s="2">
        <v>0</v>
      </c>
      <c r="H7" s="2">
        <v>0</v>
      </c>
      <c r="I7" s="2">
        <v>18739830</v>
      </c>
      <c r="J7" s="2">
        <v>0</v>
      </c>
      <c r="K7" s="2">
        <v>0</v>
      </c>
      <c r="L7" s="2">
        <v>17438100</v>
      </c>
      <c r="M7" s="2">
        <v>13558680</v>
      </c>
      <c r="N7" s="2">
        <v>7200000</v>
      </c>
      <c r="O7" s="2">
        <v>3585533</v>
      </c>
      <c r="P7" s="2">
        <v>1301730</v>
      </c>
      <c r="Q7" s="2">
        <v>812165</v>
      </c>
      <c r="R7" s="2">
        <v>0</v>
      </c>
      <c r="S7" s="2">
        <v>1100000</v>
      </c>
      <c r="T7" s="2">
        <v>1254937</v>
      </c>
      <c r="U7" s="2">
        <v>1096985</v>
      </c>
      <c r="V7" s="2">
        <v>1012000</v>
      </c>
      <c r="W7" s="2">
        <v>960000</v>
      </c>
      <c r="X7" s="2">
        <v>0</v>
      </c>
      <c r="Y7" s="2">
        <v>537830</v>
      </c>
      <c r="Z7" s="2">
        <v>0</v>
      </c>
      <c r="AA7" s="2">
        <v>0</v>
      </c>
      <c r="AB7" s="2">
        <v>200000</v>
      </c>
      <c r="AC7" s="2">
        <v>0</v>
      </c>
      <c r="AD7" s="2">
        <v>13200</v>
      </c>
      <c r="AE7" s="2">
        <v>13200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46793</v>
      </c>
      <c r="AL7" s="2" t="str">
        <f t="shared" si="1"/>
        <v>گروه مالياتي 50 درصدي خدماتي</v>
      </c>
      <c r="AM7" s="2" t="str">
        <f t="shared" si="2"/>
        <v>شعبه شادگان</v>
      </c>
      <c r="AN7" s="2" t="str">
        <f>"57958412"</f>
        <v>57958412</v>
      </c>
    </row>
    <row r="8" spans="1:40">
      <c r="A8" s="2" t="str">
        <f>"9157049"</f>
        <v>9157049</v>
      </c>
      <c r="B8" s="2" t="str">
        <f>"عبدالامام بالدي"</f>
        <v>عبدالامام بالدي</v>
      </c>
      <c r="C8" s="2" t="str">
        <f t="shared" si="0"/>
        <v>توليد توسعه - دارخوين</v>
      </c>
      <c r="D8" s="2">
        <v>60000000</v>
      </c>
      <c r="E8" s="2">
        <v>60000000</v>
      </c>
      <c r="F8" s="2">
        <v>52800000</v>
      </c>
      <c r="G8" s="2">
        <v>0</v>
      </c>
      <c r="H8" s="2">
        <v>0</v>
      </c>
      <c r="I8" s="2">
        <v>17756035</v>
      </c>
      <c r="J8" s="2">
        <v>0</v>
      </c>
      <c r="K8" s="2">
        <v>0</v>
      </c>
      <c r="L8" s="2">
        <v>15213113</v>
      </c>
      <c r="M8" s="2">
        <v>12227190</v>
      </c>
      <c r="N8" s="2">
        <v>7200000</v>
      </c>
      <c r="O8" s="2">
        <v>3551207</v>
      </c>
      <c r="P8" s="2">
        <v>2542922</v>
      </c>
      <c r="Q8" s="2">
        <v>0</v>
      </c>
      <c r="R8" s="2">
        <v>1300000</v>
      </c>
      <c r="S8" s="2">
        <v>1100000</v>
      </c>
      <c r="T8" s="2">
        <v>1242922</v>
      </c>
      <c r="U8" s="2">
        <v>1058465</v>
      </c>
      <c r="V8" s="2">
        <v>1012000</v>
      </c>
      <c r="W8" s="2">
        <v>960000</v>
      </c>
      <c r="X8" s="2">
        <v>0</v>
      </c>
      <c r="Y8" s="2">
        <v>532681</v>
      </c>
      <c r="Z8" s="2">
        <v>0</v>
      </c>
      <c r="AA8" s="2">
        <v>1300000</v>
      </c>
      <c r="AB8" s="2">
        <v>200000</v>
      </c>
      <c r="AC8" s="2">
        <v>0</v>
      </c>
      <c r="AD8" s="2">
        <v>13200</v>
      </c>
      <c r="AE8" s="2">
        <v>13200</v>
      </c>
      <c r="AF8" s="2">
        <v>1</v>
      </c>
      <c r="AG8" s="2">
        <v>0</v>
      </c>
      <c r="AH8" s="2">
        <v>0</v>
      </c>
      <c r="AI8" s="2">
        <v>0</v>
      </c>
      <c r="AJ8" s="2">
        <v>1198380</v>
      </c>
      <c r="AK8" s="2">
        <v>0</v>
      </c>
      <c r="AL8" s="2" t="str">
        <f t="shared" si="1"/>
        <v>گروه مالياتي 50 درصدي خدماتي</v>
      </c>
      <c r="AM8" s="2" t="str">
        <f t="shared" si="2"/>
        <v>شعبه شادگان</v>
      </c>
      <c r="AN8" s="2" t="str">
        <f>"50135194"</f>
        <v>50135194</v>
      </c>
    </row>
    <row r="9" spans="1:40">
      <c r="A9" s="2" t="str">
        <f>"9157050"</f>
        <v>9157050</v>
      </c>
      <c r="B9" s="2" t="str">
        <f>"حسين باوي"</f>
        <v>حسين باوي</v>
      </c>
      <c r="C9" s="2" t="str">
        <f t="shared" si="0"/>
        <v>توليد توسعه - دارخوين</v>
      </c>
      <c r="D9" s="2">
        <v>0</v>
      </c>
      <c r="E9" s="2">
        <v>0</v>
      </c>
      <c r="F9" s="2">
        <v>0</v>
      </c>
      <c r="G9" s="2">
        <v>50000000</v>
      </c>
      <c r="H9" s="2">
        <v>50000000</v>
      </c>
      <c r="I9" s="2">
        <v>19127745</v>
      </c>
      <c r="J9" s="2">
        <v>47222192</v>
      </c>
      <c r="K9" s="2">
        <v>2777808</v>
      </c>
      <c r="L9" s="2">
        <v>15877321</v>
      </c>
      <c r="M9" s="2">
        <v>11561460</v>
      </c>
      <c r="N9" s="2">
        <v>0</v>
      </c>
      <c r="O9" s="2">
        <v>3175817</v>
      </c>
      <c r="P9" s="2">
        <v>3250424</v>
      </c>
      <c r="Q9" s="2">
        <v>3248660</v>
      </c>
      <c r="R9" s="2">
        <v>1388888</v>
      </c>
      <c r="S9" s="2">
        <v>1100000</v>
      </c>
      <c r="T9" s="2">
        <v>1111536</v>
      </c>
      <c r="U9" s="2">
        <v>1045625</v>
      </c>
      <c r="V9" s="2">
        <v>1012000</v>
      </c>
      <c r="W9" s="2">
        <v>960000</v>
      </c>
      <c r="X9" s="2">
        <v>1388888</v>
      </c>
      <c r="Y9" s="2">
        <v>476373</v>
      </c>
      <c r="Z9" s="2">
        <v>750000</v>
      </c>
      <c r="AA9" s="2">
        <v>0</v>
      </c>
      <c r="AB9" s="2">
        <v>200000</v>
      </c>
      <c r="AC9" s="2">
        <v>0</v>
      </c>
      <c r="AD9" s="2">
        <v>13200</v>
      </c>
      <c r="AE9" s="2">
        <v>13200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 t="str">
        <f t="shared" si="1"/>
        <v>گروه مالياتي 50 درصدي خدماتي</v>
      </c>
      <c r="AM9" s="2" t="str">
        <f t="shared" si="2"/>
        <v>شعبه شادگان</v>
      </c>
      <c r="AN9" s="2" t="str">
        <f>"57952049"</f>
        <v>57952049</v>
      </c>
    </row>
    <row r="10" spans="1:40">
      <c r="A10" s="2" t="str">
        <f>"9157053"</f>
        <v>9157053</v>
      </c>
      <c r="B10" s="2" t="str">
        <f>"عظيم باوي سويره"</f>
        <v>عظيم باوي سويره</v>
      </c>
      <c r="C10" s="2" t="str">
        <f t="shared" si="0"/>
        <v>توليد توسعه - دارخوين</v>
      </c>
      <c r="D10" s="2">
        <v>60000000</v>
      </c>
      <c r="E10" s="2">
        <v>60000000</v>
      </c>
      <c r="F10" s="2">
        <v>52800000</v>
      </c>
      <c r="G10" s="2">
        <v>30000000</v>
      </c>
      <c r="H10" s="2">
        <v>30000000</v>
      </c>
      <c r="I10" s="2">
        <v>14621128</v>
      </c>
      <c r="J10" s="2">
        <v>21666672</v>
      </c>
      <c r="K10" s="2">
        <v>8333328</v>
      </c>
      <c r="L10" s="2">
        <v>11515613</v>
      </c>
      <c r="M10" s="2">
        <v>9120300</v>
      </c>
      <c r="N10" s="2">
        <v>7200000</v>
      </c>
      <c r="O10" s="2">
        <v>2761793</v>
      </c>
      <c r="P10" s="2">
        <v>3105515</v>
      </c>
      <c r="Q10" s="2">
        <v>812165</v>
      </c>
      <c r="R10" s="2">
        <v>1388888</v>
      </c>
      <c r="S10" s="2">
        <v>1100000</v>
      </c>
      <c r="T10" s="2">
        <v>966627</v>
      </c>
      <c r="U10" s="2">
        <v>981425</v>
      </c>
      <c r="V10" s="2">
        <v>1012000</v>
      </c>
      <c r="W10" s="2">
        <v>960000</v>
      </c>
      <c r="X10" s="2">
        <v>1388888</v>
      </c>
      <c r="Y10" s="2">
        <v>414269</v>
      </c>
      <c r="Z10" s="2">
        <v>750000</v>
      </c>
      <c r="AA10" s="2">
        <v>0</v>
      </c>
      <c r="AB10" s="2">
        <v>200000</v>
      </c>
      <c r="AC10" s="2">
        <v>332880</v>
      </c>
      <c r="AD10" s="2">
        <v>13200</v>
      </c>
      <c r="AE10" s="2">
        <v>13200</v>
      </c>
      <c r="AF10" s="2">
        <v>0</v>
      </c>
      <c r="AG10" s="2">
        <v>0</v>
      </c>
      <c r="AH10" s="2">
        <v>0</v>
      </c>
      <c r="AI10" s="2">
        <v>102358</v>
      </c>
      <c r="AJ10" s="2">
        <v>0</v>
      </c>
      <c r="AK10" s="2">
        <v>0</v>
      </c>
      <c r="AL10" s="2" t="str">
        <f t="shared" si="1"/>
        <v>گروه مالياتي 50 درصدي خدماتي</v>
      </c>
      <c r="AM10" s="2" t="str">
        <f t="shared" si="2"/>
        <v>شعبه شادگان</v>
      </c>
      <c r="AN10" s="2" t="str">
        <f>"57962120"</f>
        <v>57962120</v>
      </c>
    </row>
    <row r="11" spans="1:40">
      <c r="A11" s="2" t="str">
        <f>"9157054"</f>
        <v>9157054</v>
      </c>
      <c r="B11" s="2" t="str">
        <f>"عارف باوي فرد"</f>
        <v>عارف باوي فرد</v>
      </c>
      <c r="C11" s="2" t="str">
        <f t="shared" si="0"/>
        <v>توليد توسعه - دارخوين</v>
      </c>
      <c r="D11" s="2">
        <v>60000000</v>
      </c>
      <c r="E11" s="2">
        <v>60000000</v>
      </c>
      <c r="F11" s="2">
        <v>52800000</v>
      </c>
      <c r="G11" s="2">
        <v>30039</v>
      </c>
      <c r="H11" s="2">
        <v>30039</v>
      </c>
      <c r="I11" s="2">
        <v>14730925</v>
      </c>
      <c r="J11" s="2">
        <v>0</v>
      </c>
      <c r="K11" s="2">
        <v>30039</v>
      </c>
      <c r="L11" s="2">
        <v>13669721</v>
      </c>
      <c r="M11" s="2">
        <v>10007970</v>
      </c>
      <c r="N11" s="2">
        <v>7200000</v>
      </c>
      <c r="O11" s="2">
        <v>2946185</v>
      </c>
      <c r="P11" s="2">
        <v>1061204</v>
      </c>
      <c r="Q11" s="2">
        <v>0</v>
      </c>
      <c r="R11" s="2">
        <v>30039</v>
      </c>
      <c r="S11" s="2">
        <v>1100000</v>
      </c>
      <c r="T11" s="2">
        <v>1031165</v>
      </c>
      <c r="U11" s="2">
        <v>1007105</v>
      </c>
      <c r="V11" s="2">
        <v>1012000</v>
      </c>
      <c r="W11" s="2">
        <v>960000</v>
      </c>
      <c r="X11" s="2">
        <v>30039</v>
      </c>
      <c r="Y11" s="2">
        <v>441928</v>
      </c>
      <c r="Z11" s="2">
        <v>0</v>
      </c>
      <c r="AA11" s="2">
        <v>0</v>
      </c>
      <c r="AB11" s="2">
        <v>200000</v>
      </c>
      <c r="AC11" s="2">
        <v>443850</v>
      </c>
      <c r="AD11" s="2">
        <v>13200</v>
      </c>
      <c r="AE11" s="2">
        <v>13200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 t="str">
        <f t="shared" si="1"/>
        <v>گروه مالياتي 50 درصدي خدماتي</v>
      </c>
      <c r="AM11" s="2" t="str">
        <f t="shared" si="2"/>
        <v>شعبه شادگان</v>
      </c>
      <c r="AN11" s="2" t="str">
        <f>"52703310"</f>
        <v>52703310</v>
      </c>
    </row>
    <row r="12" spans="1:40">
      <c r="A12" s="2" t="str">
        <f>"9157055"</f>
        <v>9157055</v>
      </c>
      <c r="B12" s="2" t="str">
        <f>"نجم باوي فرد"</f>
        <v>نجم باوي فرد</v>
      </c>
      <c r="C12" s="2" t="str">
        <f t="shared" si="0"/>
        <v>توليد توسعه - دارخوين</v>
      </c>
      <c r="D12" s="2">
        <v>60000000</v>
      </c>
      <c r="E12" s="2">
        <v>60000000</v>
      </c>
      <c r="F12" s="2">
        <v>52800000</v>
      </c>
      <c r="G12" s="2">
        <v>50000000</v>
      </c>
      <c r="H12" s="2">
        <v>50000000</v>
      </c>
      <c r="I12" s="2">
        <v>16368095</v>
      </c>
      <c r="J12" s="2">
        <v>19444432</v>
      </c>
      <c r="K12" s="2">
        <v>30555568</v>
      </c>
      <c r="L12" s="2">
        <v>13197143</v>
      </c>
      <c r="M12" s="2">
        <v>10451820</v>
      </c>
      <c r="N12" s="2">
        <v>7200000</v>
      </c>
      <c r="O12" s="2">
        <v>2948753</v>
      </c>
      <c r="P12" s="2">
        <v>3170952</v>
      </c>
      <c r="Q12" s="2">
        <v>1624330</v>
      </c>
      <c r="R12" s="2">
        <v>1388888</v>
      </c>
      <c r="S12" s="2">
        <v>1100000</v>
      </c>
      <c r="T12" s="2">
        <v>1032064</v>
      </c>
      <c r="U12" s="2">
        <v>1019945</v>
      </c>
      <c r="V12" s="2">
        <v>1012000</v>
      </c>
      <c r="W12" s="2">
        <v>960000</v>
      </c>
      <c r="X12" s="2">
        <v>1388888</v>
      </c>
      <c r="Y12" s="2">
        <v>442313</v>
      </c>
      <c r="Z12" s="2">
        <v>750000</v>
      </c>
      <c r="AA12" s="2">
        <v>0</v>
      </c>
      <c r="AB12" s="2">
        <v>200000</v>
      </c>
      <c r="AC12" s="2">
        <v>0</v>
      </c>
      <c r="AD12" s="2">
        <v>13200</v>
      </c>
      <c r="AE12" s="2">
        <v>13200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 t="str">
        <f t="shared" si="1"/>
        <v>گروه مالياتي 50 درصدي خدماتي</v>
      </c>
      <c r="AM12" s="2" t="str">
        <f t="shared" si="2"/>
        <v>شعبه شادگان</v>
      </c>
      <c r="AN12" s="2" t="str">
        <f>"52554911"</f>
        <v>52554911</v>
      </c>
    </row>
    <row r="13" spans="1:40">
      <c r="A13" s="2" t="str">
        <f>"9157057"</f>
        <v>9157057</v>
      </c>
      <c r="B13" s="2" t="str">
        <f>"عباس بدوي"</f>
        <v>عباس بدوي</v>
      </c>
      <c r="C13" s="2" t="str">
        <f t="shared" si="0"/>
        <v>توليد توسعه - دارخوين</v>
      </c>
      <c r="D13" s="2">
        <v>60000000</v>
      </c>
      <c r="E13" s="2">
        <v>60000000</v>
      </c>
      <c r="F13" s="2">
        <v>52800000</v>
      </c>
      <c r="G13" s="2">
        <v>30000000</v>
      </c>
      <c r="H13" s="2">
        <v>30000000</v>
      </c>
      <c r="I13" s="2">
        <v>19127745</v>
      </c>
      <c r="J13" s="2">
        <v>21666672</v>
      </c>
      <c r="K13" s="2">
        <v>8333328</v>
      </c>
      <c r="L13" s="2">
        <v>15877321</v>
      </c>
      <c r="M13" s="2">
        <v>11561460</v>
      </c>
      <c r="N13" s="2">
        <v>7200000</v>
      </c>
      <c r="O13" s="2">
        <v>3175817</v>
      </c>
      <c r="P13" s="2">
        <v>3250424</v>
      </c>
      <c r="Q13" s="2">
        <v>3248660</v>
      </c>
      <c r="R13" s="2">
        <v>1388888</v>
      </c>
      <c r="S13" s="2">
        <v>1100000</v>
      </c>
      <c r="T13" s="2">
        <v>1111536</v>
      </c>
      <c r="U13" s="2">
        <v>1045625</v>
      </c>
      <c r="V13" s="2">
        <v>1012000</v>
      </c>
      <c r="W13" s="2">
        <v>960000</v>
      </c>
      <c r="X13" s="2">
        <v>1388888</v>
      </c>
      <c r="Y13" s="2">
        <v>476373</v>
      </c>
      <c r="Z13" s="2">
        <v>750000</v>
      </c>
      <c r="AA13" s="2">
        <v>0</v>
      </c>
      <c r="AB13" s="2">
        <v>200000</v>
      </c>
      <c r="AC13" s="2">
        <v>0</v>
      </c>
      <c r="AD13" s="2">
        <v>13200</v>
      </c>
      <c r="AE13" s="2">
        <v>13200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 t="str">
        <f t="shared" si="1"/>
        <v>گروه مالياتي 50 درصدي خدماتي</v>
      </c>
      <c r="AM13" s="2" t="str">
        <f t="shared" si="2"/>
        <v>شعبه شادگان</v>
      </c>
      <c r="AN13" s="2" t="str">
        <f>"50546913"</f>
        <v>50546913</v>
      </c>
    </row>
    <row r="14" spans="1:40">
      <c r="A14" s="2" t="str">
        <f>"9157058"</f>
        <v>9157058</v>
      </c>
      <c r="B14" s="2" t="str">
        <f>"طاهر پورحزبه"</f>
        <v>طاهر پورحزبه</v>
      </c>
      <c r="C14" s="2" t="str">
        <f t="shared" si="0"/>
        <v>توليد توسعه - دارخوين</v>
      </c>
      <c r="I14" s="2">
        <v>15879085</v>
      </c>
      <c r="L14" s="2">
        <v>14767549</v>
      </c>
      <c r="M14" s="2">
        <v>11561460</v>
      </c>
      <c r="O14" s="2">
        <v>3175817</v>
      </c>
      <c r="P14" s="2">
        <v>1111536</v>
      </c>
      <c r="Q14" s="2">
        <v>0</v>
      </c>
      <c r="R14" s="2">
        <v>0</v>
      </c>
      <c r="S14" s="2">
        <v>1100000</v>
      </c>
      <c r="T14" s="2">
        <v>1111536</v>
      </c>
      <c r="U14" s="2">
        <v>1045625</v>
      </c>
      <c r="V14" s="2">
        <v>1012000</v>
      </c>
      <c r="W14" s="2">
        <v>960000</v>
      </c>
      <c r="Y14" s="2">
        <v>476373</v>
      </c>
      <c r="Z14" s="2">
        <v>0</v>
      </c>
      <c r="AB14" s="2">
        <v>200000</v>
      </c>
      <c r="AC14" s="2">
        <v>0</v>
      </c>
      <c r="AD14" s="2">
        <v>13200</v>
      </c>
      <c r="AE14" s="2">
        <v>13200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 t="str">
        <f t="shared" si="1"/>
        <v>گروه مالياتي 50 درصدي خدماتي</v>
      </c>
      <c r="AM14" s="2" t="str">
        <f t="shared" si="2"/>
        <v>شعبه شادگان</v>
      </c>
      <c r="AN14" s="2" t="str">
        <f>"52537454"</f>
        <v>52537454</v>
      </c>
    </row>
    <row r="15" spans="1:40">
      <c r="A15" s="2" t="str">
        <f>"9157059"</f>
        <v>9157059</v>
      </c>
      <c r="B15" s="2" t="str">
        <f>"رحمه سياحي"</f>
        <v>رحمه سياحي</v>
      </c>
      <c r="C15" s="2" t="str">
        <f t="shared" si="0"/>
        <v>توليد توسعه - دارخوين</v>
      </c>
      <c r="D15" s="2">
        <v>60000000</v>
      </c>
      <c r="E15" s="2">
        <v>60000000</v>
      </c>
      <c r="F15" s="2">
        <v>52800000</v>
      </c>
      <c r="G15" s="2">
        <v>0</v>
      </c>
      <c r="H15" s="2">
        <v>0</v>
      </c>
      <c r="I15" s="2">
        <v>15330935</v>
      </c>
      <c r="J15" s="2">
        <v>0</v>
      </c>
      <c r="K15" s="2">
        <v>0</v>
      </c>
      <c r="L15" s="2">
        <v>14371473</v>
      </c>
      <c r="M15" s="2">
        <v>9120300</v>
      </c>
      <c r="N15" s="2">
        <v>7200000</v>
      </c>
      <c r="O15" s="2">
        <v>2741321</v>
      </c>
      <c r="P15" s="2">
        <v>959462</v>
      </c>
      <c r="Q15" s="2">
        <v>1624330</v>
      </c>
      <c r="R15" s="2">
        <v>0</v>
      </c>
      <c r="S15" s="2">
        <v>1100000</v>
      </c>
      <c r="T15" s="2">
        <v>959462</v>
      </c>
      <c r="U15" s="2">
        <v>981425</v>
      </c>
      <c r="V15" s="2">
        <v>1012000</v>
      </c>
      <c r="W15" s="2">
        <v>960000</v>
      </c>
      <c r="X15" s="2">
        <v>0</v>
      </c>
      <c r="Y15" s="2">
        <v>411198</v>
      </c>
      <c r="Z15" s="2">
        <v>0</v>
      </c>
      <c r="AA15" s="2">
        <v>0</v>
      </c>
      <c r="AB15" s="2">
        <v>200000</v>
      </c>
      <c r="AC15" s="2">
        <v>332880</v>
      </c>
      <c r="AD15" s="2">
        <v>13200</v>
      </c>
      <c r="AE15" s="2">
        <v>13200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 t="str">
        <f t="shared" si="1"/>
        <v>گروه مالياتي 50 درصدي خدماتي</v>
      </c>
      <c r="AM15" s="2" t="str">
        <f t="shared" si="2"/>
        <v>شعبه شادگان</v>
      </c>
      <c r="AN15" s="2" t="str">
        <f>"57963719"</f>
        <v>57963719</v>
      </c>
    </row>
    <row r="16" spans="1:40">
      <c r="A16" s="2" t="str">
        <f>"9157060"</f>
        <v>9157060</v>
      </c>
      <c r="B16" s="2" t="str">
        <f>"مرد سياحي"</f>
        <v>مرد سياحي</v>
      </c>
      <c r="C16" s="2" t="str">
        <f t="shared" si="0"/>
        <v>توليد توسعه - دارخوين</v>
      </c>
      <c r="D16" s="2">
        <v>60000000</v>
      </c>
      <c r="E16" s="2">
        <v>60000000</v>
      </c>
      <c r="F16" s="2">
        <v>52800000</v>
      </c>
      <c r="G16" s="2">
        <v>0</v>
      </c>
      <c r="H16" s="2">
        <v>0</v>
      </c>
      <c r="I16" s="2">
        <v>15404868</v>
      </c>
      <c r="J16" s="2">
        <v>0</v>
      </c>
      <c r="K16" s="2">
        <v>0</v>
      </c>
      <c r="L16" s="2">
        <v>14440230</v>
      </c>
      <c r="M16" s="2">
        <v>9120300</v>
      </c>
      <c r="N16" s="2">
        <v>7200000</v>
      </c>
      <c r="O16" s="2">
        <v>2756108</v>
      </c>
      <c r="P16" s="2">
        <v>964638</v>
      </c>
      <c r="Q16" s="2">
        <v>1624330</v>
      </c>
      <c r="R16" s="2">
        <v>0</v>
      </c>
      <c r="S16" s="2">
        <v>1100000</v>
      </c>
      <c r="T16" s="2">
        <v>964638</v>
      </c>
      <c r="U16" s="2">
        <v>981425</v>
      </c>
      <c r="V16" s="2">
        <v>1012000</v>
      </c>
      <c r="W16" s="2">
        <v>960000</v>
      </c>
      <c r="X16" s="2">
        <v>0</v>
      </c>
      <c r="Y16" s="2">
        <v>413416</v>
      </c>
      <c r="Z16" s="2">
        <v>0</v>
      </c>
      <c r="AA16" s="2">
        <v>0</v>
      </c>
      <c r="AB16" s="2">
        <v>200000</v>
      </c>
      <c r="AC16" s="2">
        <v>0</v>
      </c>
      <c r="AD16" s="2">
        <v>13200</v>
      </c>
      <c r="AE16" s="2">
        <v>13200</v>
      </c>
      <c r="AF16" s="2">
        <v>1</v>
      </c>
      <c r="AG16" s="2">
        <v>0</v>
      </c>
      <c r="AH16" s="2">
        <v>0</v>
      </c>
      <c r="AI16" s="2">
        <v>406813</v>
      </c>
      <c r="AJ16" s="2">
        <v>0</v>
      </c>
      <c r="AK16" s="2">
        <v>0</v>
      </c>
      <c r="AL16" s="2" t="str">
        <f t="shared" si="1"/>
        <v>گروه مالياتي 50 درصدي خدماتي</v>
      </c>
      <c r="AM16" s="2" t="str">
        <f t="shared" si="2"/>
        <v>شعبه شادگان</v>
      </c>
      <c r="AN16" s="2" t="str">
        <f>"57787686"</f>
        <v>57787686</v>
      </c>
    </row>
    <row r="17" spans="1:40">
      <c r="A17" s="2" t="str">
        <f>"9157065"</f>
        <v>9157065</v>
      </c>
      <c r="B17" s="2" t="str">
        <f>"رحيم عقباوي"</f>
        <v>رحيم عقباوي</v>
      </c>
      <c r="C17" s="2" t="str">
        <f t="shared" si="0"/>
        <v>توليد توسعه - دارخوين</v>
      </c>
      <c r="D17" s="2">
        <v>60000000</v>
      </c>
      <c r="E17" s="2">
        <v>60000000</v>
      </c>
      <c r="F17" s="2">
        <v>52800000</v>
      </c>
      <c r="G17" s="2">
        <v>30000000</v>
      </c>
      <c r="H17" s="2">
        <v>30000000</v>
      </c>
      <c r="I17" s="2">
        <v>18434984</v>
      </c>
      <c r="J17" s="2">
        <v>21666672</v>
      </c>
      <c r="K17" s="2">
        <v>8333328</v>
      </c>
      <c r="L17" s="2">
        <v>15176202</v>
      </c>
      <c r="M17" s="2">
        <v>10451820</v>
      </c>
      <c r="N17" s="2">
        <v>7200000</v>
      </c>
      <c r="O17" s="2">
        <v>3199698</v>
      </c>
      <c r="P17" s="2">
        <v>3258782</v>
      </c>
      <c r="Q17" s="2">
        <v>2436495</v>
      </c>
      <c r="R17" s="2">
        <v>1388888</v>
      </c>
      <c r="S17" s="2">
        <v>1100000</v>
      </c>
      <c r="T17" s="2">
        <v>1119894</v>
      </c>
      <c r="U17" s="2">
        <v>1019945</v>
      </c>
      <c r="V17" s="2">
        <v>1012000</v>
      </c>
      <c r="W17" s="2">
        <v>960000</v>
      </c>
      <c r="X17" s="2">
        <v>1388888</v>
      </c>
      <c r="Y17" s="2">
        <v>479955</v>
      </c>
      <c r="Z17" s="2">
        <v>750000</v>
      </c>
      <c r="AA17" s="2">
        <v>0</v>
      </c>
      <c r="AB17" s="2">
        <v>200000</v>
      </c>
      <c r="AC17" s="2">
        <v>0</v>
      </c>
      <c r="AD17" s="2">
        <v>13200</v>
      </c>
      <c r="AE17" s="2">
        <v>13200</v>
      </c>
      <c r="AF17" s="2">
        <v>0</v>
      </c>
      <c r="AG17" s="2">
        <v>900</v>
      </c>
      <c r="AH17" s="2">
        <v>1254724</v>
      </c>
      <c r="AI17" s="2">
        <v>0</v>
      </c>
      <c r="AJ17" s="2">
        <v>0</v>
      </c>
      <c r="AK17" s="2">
        <v>0</v>
      </c>
      <c r="AL17" s="2" t="str">
        <f t="shared" si="1"/>
        <v>گروه مالياتي 50 درصدي خدماتي</v>
      </c>
      <c r="AM17" s="2" t="str">
        <f t="shared" si="2"/>
        <v>شعبه شادگان</v>
      </c>
      <c r="AN17" s="2" t="str">
        <f>"57950611"</f>
        <v>57950611</v>
      </c>
    </row>
    <row r="18" spans="1:40">
      <c r="A18" s="2" t="str">
        <f>"9157066"</f>
        <v>9157066</v>
      </c>
      <c r="B18" s="2" t="str">
        <f>"جمشيد فرحانيان"</f>
        <v>جمشيد فرحانيان</v>
      </c>
      <c r="C18" s="2" t="str">
        <f t="shared" si="0"/>
        <v>توليد توسعه - دارخوين</v>
      </c>
      <c r="D18" s="2">
        <v>0</v>
      </c>
      <c r="E18" s="2">
        <v>0</v>
      </c>
      <c r="F18" s="2">
        <v>0</v>
      </c>
      <c r="G18" s="2">
        <v>50000000</v>
      </c>
      <c r="H18" s="2">
        <v>50000000</v>
      </c>
      <c r="I18" s="2">
        <v>18560055</v>
      </c>
      <c r="J18" s="2">
        <v>47222192</v>
      </c>
      <c r="K18" s="2">
        <v>2777808</v>
      </c>
      <c r="L18" s="2">
        <v>15349369</v>
      </c>
      <c r="M18" s="2">
        <v>11006610</v>
      </c>
      <c r="N18" s="2">
        <v>0</v>
      </c>
      <c r="O18" s="2">
        <v>3062279</v>
      </c>
      <c r="P18" s="2">
        <v>3210686</v>
      </c>
      <c r="Q18" s="2">
        <v>3248660</v>
      </c>
      <c r="R18" s="2">
        <v>1388888</v>
      </c>
      <c r="S18" s="2">
        <v>1100000</v>
      </c>
      <c r="T18" s="2">
        <v>1071798</v>
      </c>
      <c r="U18" s="2">
        <v>1032785</v>
      </c>
      <c r="V18" s="2">
        <v>1012000</v>
      </c>
      <c r="W18" s="2">
        <v>960000</v>
      </c>
      <c r="X18" s="2">
        <v>1388888</v>
      </c>
      <c r="Y18" s="2">
        <v>459342</v>
      </c>
      <c r="Z18" s="2">
        <v>750000</v>
      </c>
      <c r="AA18" s="2">
        <v>0</v>
      </c>
      <c r="AB18" s="2">
        <v>200000</v>
      </c>
      <c r="AC18" s="2">
        <v>0</v>
      </c>
      <c r="AD18" s="2">
        <v>13200</v>
      </c>
      <c r="AE18" s="2">
        <v>13200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 t="str">
        <f t="shared" si="1"/>
        <v>گروه مالياتي 50 درصدي خدماتي</v>
      </c>
      <c r="AM18" s="2" t="str">
        <f t="shared" si="2"/>
        <v>شعبه شادگان</v>
      </c>
      <c r="AN18" s="2" t="str">
        <f>"57951656"</f>
        <v>57951656</v>
      </c>
    </row>
    <row r="19" spans="1:40">
      <c r="A19" s="2" t="str">
        <f>"9157068"</f>
        <v>9157068</v>
      </c>
      <c r="B19" s="2" t="str">
        <f>"مجتبي قنواتي زاده"</f>
        <v>مجتبي قنواتي زاده</v>
      </c>
      <c r="C19" s="2" t="str">
        <f t="shared" si="0"/>
        <v>توليد توسعه - دارخوين</v>
      </c>
      <c r="D19" s="2">
        <v>60000000</v>
      </c>
      <c r="E19" s="2">
        <v>60000000</v>
      </c>
      <c r="F19" s="2">
        <v>52800000</v>
      </c>
      <c r="G19" s="2">
        <v>50000000</v>
      </c>
      <c r="H19" s="2">
        <v>50000000</v>
      </c>
      <c r="I19" s="2">
        <v>16368095</v>
      </c>
      <c r="J19" s="2">
        <v>23611096</v>
      </c>
      <c r="K19" s="2">
        <v>26388904</v>
      </c>
      <c r="L19" s="2">
        <v>12547143</v>
      </c>
      <c r="M19" s="2">
        <v>10451820</v>
      </c>
      <c r="N19" s="2">
        <v>7200000</v>
      </c>
      <c r="O19" s="2">
        <v>2948753</v>
      </c>
      <c r="P19" s="2">
        <v>3820952</v>
      </c>
      <c r="Q19" s="2">
        <v>1624330</v>
      </c>
      <c r="R19" s="2">
        <v>2038888</v>
      </c>
      <c r="S19" s="2">
        <v>1100000</v>
      </c>
      <c r="T19" s="2">
        <v>1032064</v>
      </c>
      <c r="U19" s="2">
        <v>1019945</v>
      </c>
      <c r="V19" s="2">
        <v>1012000</v>
      </c>
      <c r="W19" s="2">
        <v>960000</v>
      </c>
      <c r="X19" s="2">
        <v>1388888</v>
      </c>
      <c r="Y19" s="2">
        <v>442313</v>
      </c>
      <c r="Z19" s="2">
        <v>750000</v>
      </c>
      <c r="AA19" s="2">
        <v>650000</v>
      </c>
      <c r="AB19" s="2">
        <v>200000</v>
      </c>
      <c r="AC19" s="2">
        <v>0</v>
      </c>
      <c r="AD19" s="2">
        <v>13200</v>
      </c>
      <c r="AE19" s="2">
        <v>13200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 t="str">
        <f t="shared" si="1"/>
        <v>گروه مالياتي 50 درصدي خدماتي</v>
      </c>
      <c r="AM19" s="2" t="str">
        <f t="shared" si="2"/>
        <v>شعبه شادگان</v>
      </c>
      <c r="AN19" s="2" t="str">
        <f>"57964338"</f>
        <v>57964338</v>
      </c>
    </row>
    <row r="20" spans="1:40">
      <c r="A20" s="2" t="str">
        <f>"9157070"</f>
        <v>9157070</v>
      </c>
      <c r="B20" s="2" t="str">
        <f>"فاضل مقدم"</f>
        <v>فاضل مقدم</v>
      </c>
      <c r="C20" s="2" t="str">
        <f t="shared" si="0"/>
        <v>توليد توسعه - دارخوين</v>
      </c>
      <c r="I20" s="2">
        <v>17747890</v>
      </c>
      <c r="L20" s="2">
        <v>16676092</v>
      </c>
      <c r="M20" s="2">
        <v>11006610</v>
      </c>
      <c r="O20" s="2">
        <v>3062279</v>
      </c>
      <c r="P20" s="2">
        <v>1071798</v>
      </c>
      <c r="Q20" s="2">
        <v>2436495</v>
      </c>
      <c r="R20" s="2">
        <v>0</v>
      </c>
      <c r="S20" s="2">
        <v>1100000</v>
      </c>
      <c r="T20" s="2">
        <v>1071798</v>
      </c>
      <c r="U20" s="2">
        <v>1032785</v>
      </c>
      <c r="V20" s="2">
        <v>1012000</v>
      </c>
      <c r="W20" s="2">
        <v>960000</v>
      </c>
      <c r="Y20" s="2">
        <v>459342</v>
      </c>
      <c r="Z20" s="2">
        <v>0</v>
      </c>
      <c r="AB20" s="2">
        <v>200000</v>
      </c>
      <c r="AC20" s="2">
        <v>0</v>
      </c>
      <c r="AD20" s="2">
        <v>13200</v>
      </c>
      <c r="AE20" s="2">
        <v>13200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 t="str">
        <f t="shared" si="1"/>
        <v>گروه مالياتي 50 درصدي خدماتي</v>
      </c>
      <c r="AM20" s="2" t="str">
        <f t="shared" si="2"/>
        <v>شعبه شادگان</v>
      </c>
      <c r="AN20" s="2" t="str">
        <f>"76306655"</f>
        <v>76306655</v>
      </c>
    </row>
    <row r="21" spans="1:40">
      <c r="A21" s="2" t="str">
        <f>"9157072"</f>
        <v>9157072</v>
      </c>
      <c r="B21" s="2" t="str">
        <f>"محمدامين نادري"</f>
        <v>محمدامين نادري</v>
      </c>
      <c r="C21" s="2" t="str">
        <f t="shared" si="0"/>
        <v>توليد توسعه - دارخوين</v>
      </c>
      <c r="D21" s="2">
        <v>60000000</v>
      </c>
      <c r="E21" s="2">
        <v>60000000</v>
      </c>
      <c r="F21" s="2">
        <v>52800000</v>
      </c>
      <c r="G21" s="2">
        <v>0</v>
      </c>
      <c r="H21" s="2">
        <v>0</v>
      </c>
      <c r="I21" s="2">
        <v>15106080</v>
      </c>
      <c r="J21" s="2">
        <v>0</v>
      </c>
      <c r="K21" s="2">
        <v>0</v>
      </c>
      <c r="L21" s="2">
        <v>14105506</v>
      </c>
      <c r="M21" s="2">
        <v>10007970</v>
      </c>
      <c r="N21" s="2">
        <v>7200000</v>
      </c>
      <c r="O21" s="2">
        <v>2858783</v>
      </c>
      <c r="P21" s="2">
        <v>1000574</v>
      </c>
      <c r="Q21" s="2">
        <v>812165</v>
      </c>
      <c r="R21" s="2">
        <v>0</v>
      </c>
      <c r="S21" s="2">
        <v>1100000</v>
      </c>
      <c r="T21" s="2">
        <v>1000574</v>
      </c>
      <c r="U21" s="2">
        <v>1013945</v>
      </c>
      <c r="V21" s="2">
        <v>1012000</v>
      </c>
      <c r="W21" s="2">
        <v>960000</v>
      </c>
      <c r="X21" s="2">
        <v>0</v>
      </c>
      <c r="Y21" s="2">
        <v>428817</v>
      </c>
      <c r="Z21" s="2">
        <v>0</v>
      </c>
      <c r="AA21" s="2">
        <v>0</v>
      </c>
      <c r="AB21" s="2">
        <v>200000</v>
      </c>
      <c r="AC21" s="2">
        <v>0</v>
      </c>
      <c r="AD21" s="2">
        <v>13200</v>
      </c>
      <c r="AE21" s="2">
        <v>13200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 t="str">
        <f t="shared" si="1"/>
        <v>گروه مالياتي 50 درصدي خدماتي</v>
      </c>
      <c r="AM21" s="2" t="str">
        <f t="shared" si="2"/>
        <v>شعبه شادگان</v>
      </c>
      <c r="AN21" s="2" t="str">
        <f>"57959895"</f>
        <v>57959895</v>
      </c>
    </row>
    <row r="22" spans="1:40">
      <c r="A22" s="2" t="str">
        <f>"9157075"</f>
        <v>9157075</v>
      </c>
      <c r="B22" s="2" t="str">
        <f>"علي پورحزبه"</f>
        <v>علي پورحزبه</v>
      </c>
      <c r="C22" s="2" t="str">
        <f t="shared" si="0"/>
        <v>توليد توسعه - دارخوين</v>
      </c>
      <c r="D22" s="2">
        <v>60000000</v>
      </c>
      <c r="E22" s="2">
        <v>60000000</v>
      </c>
      <c r="F22" s="2">
        <v>52800000</v>
      </c>
      <c r="G22" s="2">
        <v>50000000</v>
      </c>
      <c r="H22" s="2">
        <v>50000000</v>
      </c>
      <c r="I22" s="2">
        <v>15549090</v>
      </c>
      <c r="J22" s="2">
        <v>13888880</v>
      </c>
      <c r="K22" s="2">
        <v>36111120</v>
      </c>
      <c r="L22" s="2">
        <v>12378617</v>
      </c>
      <c r="M22" s="2">
        <v>10451820</v>
      </c>
      <c r="N22" s="2">
        <v>7200000</v>
      </c>
      <c r="O22" s="2">
        <v>2947385</v>
      </c>
      <c r="P22" s="2">
        <v>3170473</v>
      </c>
      <c r="Q22" s="2">
        <v>812165</v>
      </c>
      <c r="R22" s="2">
        <v>1388888</v>
      </c>
      <c r="S22" s="2">
        <v>1100000</v>
      </c>
      <c r="T22" s="2">
        <v>1031585</v>
      </c>
      <c r="U22" s="2">
        <v>1013105</v>
      </c>
      <c r="V22" s="2">
        <v>1012000</v>
      </c>
      <c r="W22" s="2">
        <v>960000</v>
      </c>
      <c r="X22" s="2">
        <v>1388888</v>
      </c>
      <c r="Y22" s="2">
        <v>442108</v>
      </c>
      <c r="Z22" s="2">
        <v>750000</v>
      </c>
      <c r="AA22" s="2">
        <v>0</v>
      </c>
      <c r="AB22" s="2">
        <v>200000</v>
      </c>
      <c r="AC22" s="2">
        <v>0</v>
      </c>
      <c r="AD22" s="2">
        <v>13200</v>
      </c>
      <c r="AE22" s="2">
        <v>13200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 t="str">
        <f t="shared" si="1"/>
        <v>گروه مالياتي 50 درصدي خدماتي</v>
      </c>
      <c r="AM22" s="2" t="str">
        <f t="shared" si="2"/>
        <v>شعبه شادگان</v>
      </c>
      <c r="AN22" s="2" t="str">
        <f>"52551779"</f>
        <v>52551779</v>
      </c>
    </row>
    <row r="23" spans="1:40">
      <c r="A23" s="2" t="str">
        <f>"9157077"</f>
        <v>9157077</v>
      </c>
      <c r="B23" s="2" t="str">
        <f>"جاسم جامدي باوي"</f>
        <v>جاسم جامدي باوي</v>
      </c>
      <c r="C23" s="2" t="str">
        <f t="shared" si="0"/>
        <v>توليد توسعه - دارخوين</v>
      </c>
      <c r="D23" s="2">
        <v>60000000</v>
      </c>
      <c r="E23" s="2">
        <v>60000000</v>
      </c>
      <c r="F23" s="2">
        <v>52800000</v>
      </c>
      <c r="G23" s="2">
        <v>50000000</v>
      </c>
      <c r="H23" s="2">
        <v>50000000</v>
      </c>
      <c r="I23" s="2">
        <v>16355255</v>
      </c>
      <c r="J23" s="2">
        <v>5555552</v>
      </c>
      <c r="K23" s="2">
        <v>44444448</v>
      </c>
      <c r="L23" s="2">
        <v>13185202</v>
      </c>
      <c r="M23" s="2">
        <v>10007970</v>
      </c>
      <c r="N23" s="2">
        <v>7200000</v>
      </c>
      <c r="O23" s="2">
        <v>2946185</v>
      </c>
      <c r="P23" s="2">
        <v>3170053</v>
      </c>
      <c r="Q23" s="2">
        <v>1624330</v>
      </c>
      <c r="R23" s="2">
        <v>1388888</v>
      </c>
      <c r="S23" s="2">
        <v>1100000</v>
      </c>
      <c r="T23" s="2">
        <v>1031165</v>
      </c>
      <c r="U23" s="2">
        <v>1007105</v>
      </c>
      <c r="V23" s="2">
        <v>1012000</v>
      </c>
      <c r="W23" s="2">
        <v>960000</v>
      </c>
      <c r="X23" s="2">
        <v>1388888</v>
      </c>
      <c r="Y23" s="2">
        <v>441928</v>
      </c>
      <c r="Z23" s="2">
        <v>750000</v>
      </c>
      <c r="AA23" s="2">
        <v>0</v>
      </c>
      <c r="AB23" s="2">
        <v>200000</v>
      </c>
      <c r="AC23" s="2">
        <v>443850</v>
      </c>
      <c r="AD23" s="2">
        <v>13200</v>
      </c>
      <c r="AE23" s="2">
        <v>13200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 t="str">
        <f t="shared" si="1"/>
        <v>گروه مالياتي 50 درصدي خدماتي</v>
      </c>
      <c r="AM23" s="2" t="str">
        <f t="shared" si="2"/>
        <v>شعبه شادگان</v>
      </c>
      <c r="AN23" s="2" t="str">
        <f>"57963718"</f>
        <v>57963718</v>
      </c>
    </row>
    <row r="24" spans="1:40">
      <c r="A24" s="2" t="str">
        <f>"9157081"</f>
        <v>9157081</v>
      </c>
      <c r="B24" s="2" t="str">
        <f>"فهد چاملي"</f>
        <v>فهد چاملي</v>
      </c>
      <c r="C24" s="2" t="str">
        <f t="shared" si="0"/>
        <v>توليد توسعه - دارخوين</v>
      </c>
      <c r="D24" s="2">
        <v>0</v>
      </c>
      <c r="E24" s="2">
        <v>0</v>
      </c>
      <c r="F24" s="2">
        <v>0</v>
      </c>
      <c r="G24" s="2">
        <v>50000000</v>
      </c>
      <c r="H24" s="2">
        <v>50000000</v>
      </c>
      <c r="I24" s="2">
        <v>15918245</v>
      </c>
      <c r="J24" s="2">
        <v>48611080</v>
      </c>
      <c r="K24" s="2">
        <v>1388920</v>
      </c>
      <c r="L24" s="2">
        <v>12128751</v>
      </c>
      <c r="M24" s="2">
        <v>10007970</v>
      </c>
      <c r="N24" s="2">
        <v>0</v>
      </c>
      <c r="O24" s="2">
        <v>2858783</v>
      </c>
      <c r="P24" s="2">
        <v>3789494</v>
      </c>
      <c r="Q24" s="2">
        <v>1624330</v>
      </c>
      <c r="R24" s="2">
        <v>2038920</v>
      </c>
      <c r="S24" s="2">
        <v>1100000</v>
      </c>
      <c r="T24" s="2">
        <v>1000574</v>
      </c>
      <c r="U24" s="2">
        <v>1013945</v>
      </c>
      <c r="V24" s="2">
        <v>1012000</v>
      </c>
      <c r="W24" s="2">
        <v>960000</v>
      </c>
      <c r="X24" s="2">
        <v>1388920</v>
      </c>
      <c r="Y24" s="2">
        <v>428817</v>
      </c>
      <c r="Z24" s="2">
        <v>750000</v>
      </c>
      <c r="AA24" s="2">
        <v>650000</v>
      </c>
      <c r="AB24" s="2">
        <v>200000</v>
      </c>
      <c r="AC24" s="2">
        <v>0</v>
      </c>
      <c r="AD24" s="2">
        <v>13200</v>
      </c>
      <c r="AE24" s="2">
        <v>13200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 t="str">
        <f t="shared" si="1"/>
        <v>گروه مالياتي 50 درصدي خدماتي</v>
      </c>
      <c r="AM24" s="2" t="str">
        <f t="shared" si="2"/>
        <v>شعبه شادگان</v>
      </c>
      <c r="AN24" s="2" t="str">
        <f>"57961939"</f>
        <v>57961939</v>
      </c>
    </row>
    <row r="25" spans="1:40">
      <c r="A25" s="2" t="str">
        <f>"9157089"</f>
        <v>9157089</v>
      </c>
      <c r="B25" s="2" t="str">
        <f>"منصور خنفري راد"</f>
        <v>منصور خنفري راد</v>
      </c>
      <c r="C25" s="2" t="str">
        <f t="shared" si="0"/>
        <v>توليد توسعه - دارخوين</v>
      </c>
      <c r="D25" s="2">
        <v>60000000</v>
      </c>
      <c r="E25" s="2">
        <v>60000000</v>
      </c>
      <c r="F25" s="2">
        <v>52800000</v>
      </c>
      <c r="G25" s="2">
        <v>0</v>
      </c>
      <c r="H25" s="2">
        <v>0</v>
      </c>
      <c r="I25" s="2">
        <v>18181985</v>
      </c>
      <c r="J25" s="2">
        <v>0</v>
      </c>
      <c r="K25" s="2">
        <v>0</v>
      </c>
      <c r="L25" s="2">
        <v>15072949</v>
      </c>
      <c r="M25" s="2">
        <v>12227190</v>
      </c>
      <c r="N25" s="2">
        <v>7200000</v>
      </c>
      <c r="O25" s="2">
        <v>3311531</v>
      </c>
      <c r="P25" s="2">
        <v>3109036</v>
      </c>
      <c r="Q25" s="2">
        <v>1624330</v>
      </c>
      <c r="R25" s="2">
        <v>1950000</v>
      </c>
      <c r="S25" s="2">
        <v>1100000</v>
      </c>
      <c r="T25" s="2">
        <v>1159036</v>
      </c>
      <c r="U25" s="2">
        <v>1058465</v>
      </c>
      <c r="V25" s="2">
        <v>1012000</v>
      </c>
      <c r="W25" s="2">
        <v>960000</v>
      </c>
      <c r="X25" s="2">
        <v>0</v>
      </c>
      <c r="Y25" s="2">
        <v>496730</v>
      </c>
      <c r="Z25" s="2">
        <v>0</v>
      </c>
      <c r="AA25" s="2">
        <v>1950000</v>
      </c>
      <c r="AB25" s="2">
        <v>200000</v>
      </c>
      <c r="AC25" s="2">
        <v>0</v>
      </c>
      <c r="AD25" s="2">
        <v>13200</v>
      </c>
      <c r="AE25" s="2">
        <v>13200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 t="str">
        <f t="shared" si="1"/>
        <v>گروه مالياتي 50 درصدي خدماتي</v>
      </c>
      <c r="AM25" s="2" t="str">
        <f t="shared" si="2"/>
        <v>شعبه شادگان</v>
      </c>
      <c r="AN25" s="2" t="str">
        <f>"57962868"</f>
        <v>57962868</v>
      </c>
    </row>
    <row r="26" spans="1:40">
      <c r="A26" s="2" t="str">
        <f>"9157090"</f>
        <v>9157090</v>
      </c>
      <c r="B26" s="2" t="str">
        <f>"جميل زرگاني"</f>
        <v>جميل زرگاني</v>
      </c>
      <c r="C26" s="2" t="str">
        <f t="shared" si="0"/>
        <v>توليد توسعه - دارخوين</v>
      </c>
      <c r="D26" s="2">
        <v>60000000</v>
      </c>
      <c r="E26" s="2">
        <v>60000000</v>
      </c>
      <c r="F26" s="2">
        <v>52800000</v>
      </c>
      <c r="G26" s="2">
        <v>50000000</v>
      </c>
      <c r="H26" s="2">
        <v>50000000</v>
      </c>
      <c r="I26" s="2">
        <v>18181985</v>
      </c>
      <c r="J26" s="2">
        <v>33333312</v>
      </c>
      <c r="K26" s="2">
        <v>16666688</v>
      </c>
      <c r="L26" s="2">
        <v>14884061</v>
      </c>
      <c r="M26" s="2">
        <v>12227190</v>
      </c>
      <c r="N26" s="2">
        <v>7200000</v>
      </c>
      <c r="O26" s="2">
        <v>3311531</v>
      </c>
      <c r="P26" s="2">
        <v>3297924</v>
      </c>
      <c r="Q26" s="2">
        <v>1624330</v>
      </c>
      <c r="R26" s="2">
        <v>1388888</v>
      </c>
      <c r="S26" s="2">
        <v>1100000</v>
      </c>
      <c r="T26" s="2">
        <v>1159036</v>
      </c>
      <c r="U26" s="2">
        <v>1058465</v>
      </c>
      <c r="V26" s="2">
        <v>1012000</v>
      </c>
      <c r="W26" s="2">
        <v>960000</v>
      </c>
      <c r="X26" s="2">
        <v>1388888</v>
      </c>
      <c r="Y26" s="2">
        <v>496730</v>
      </c>
      <c r="Z26" s="2">
        <v>750000</v>
      </c>
      <c r="AA26" s="2">
        <v>0</v>
      </c>
      <c r="AB26" s="2">
        <v>200000</v>
      </c>
      <c r="AC26" s="2">
        <v>0</v>
      </c>
      <c r="AD26" s="2">
        <v>13200</v>
      </c>
      <c r="AE26" s="2">
        <v>13200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 t="str">
        <f t="shared" si="1"/>
        <v>گروه مالياتي 50 درصدي خدماتي</v>
      </c>
      <c r="AM26" s="2" t="str">
        <f t="shared" si="2"/>
        <v>شعبه شادگان</v>
      </c>
      <c r="AN26" s="2" t="str">
        <f>"57959541"</f>
        <v>57959541</v>
      </c>
    </row>
    <row r="27" spans="1:40">
      <c r="A27" s="2" t="str">
        <f>"9157091"</f>
        <v>9157091</v>
      </c>
      <c r="B27" s="2" t="str">
        <f>"علي ساري"</f>
        <v>علي ساري</v>
      </c>
      <c r="C27" s="2" t="str">
        <f t="shared" si="0"/>
        <v>توليد توسعه - دارخوين</v>
      </c>
      <c r="D27" s="2">
        <v>60000000</v>
      </c>
      <c r="E27" s="2">
        <v>60000000</v>
      </c>
      <c r="F27" s="2">
        <v>52800000</v>
      </c>
      <c r="G27" s="2">
        <v>0</v>
      </c>
      <c r="H27" s="2">
        <v>0</v>
      </c>
      <c r="I27" s="2">
        <v>15099240</v>
      </c>
      <c r="J27" s="2">
        <v>0</v>
      </c>
      <c r="K27" s="2">
        <v>0</v>
      </c>
      <c r="L27" s="2">
        <v>14099145</v>
      </c>
      <c r="M27" s="2">
        <v>10007970</v>
      </c>
      <c r="N27" s="2">
        <v>7200000</v>
      </c>
      <c r="O27" s="2">
        <v>2857415</v>
      </c>
      <c r="P27" s="2">
        <v>1000095</v>
      </c>
      <c r="Q27" s="2">
        <v>812165</v>
      </c>
      <c r="R27" s="2">
        <v>0</v>
      </c>
      <c r="S27" s="2">
        <v>1100000</v>
      </c>
      <c r="T27" s="2">
        <v>1000095</v>
      </c>
      <c r="U27" s="2">
        <v>1007105</v>
      </c>
      <c r="V27" s="2">
        <v>1012000</v>
      </c>
      <c r="W27" s="2">
        <v>960000</v>
      </c>
      <c r="X27" s="2">
        <v>0</v>
      </c>
      <c r="Y27" s="2">
        <v>428612</v>
      </c>
      <c r="Z27" s="2">
        <v>0</v>
      </c>
      <c r="AA27" s="2">
        <v>0</v>
      </c>
      <c r="AB27" s="2">
        <v>200000</v>
      </c>
      <c r="AC27" s="2">
        <v>0</v>
      </c>
      <c r="AD27" s="2">
        <v>13200</v>
      </c>
      <c r="AE27" s="2">
        <v>13200</v>
      </c>
      <c r="AF27" s="2">
        <v>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 t="str">
        <f t="shared" si="1"/>
        <v>گروه مالياتي 50 درصدي خدماتي</v>
      </c>
      <c r="AM27" s="2" t="str">
        <f t="shared" si="2"/>
        <v>شعبه شادگان</v>
      </c>
      <c r="AN27" s="2" t="str">
        <f>"52564961"</f>
        <v>52564961</v>
      </c>
    </row>
    <row r="28" spans="1:40">
      <c r="A28" s="3"/>
      <c r="B28" s="3"/>
      <c r="C28" s="3"/>
      <c r="D28" s="3">
        <f>SUM(D2:D27)</f>
        <v>1200000000</v>
      </c>
      <c r="E28" s="3">
        <f t="shared" ref="E28:AH28" si="3">SUM(E2:E27)</f>
        <v>1200000000</v>
      </c>
      <c r="F28" s="3">
        <f t="shared" si="3"/>
        <v>1062000000</v>
      </c>
      <c r="G28" s="3">
        <f t="shared" si="3"/>
        <v>640030039</v>
      </c>
      <c r="H28" s="3">
        <f t="shared" si="3"/>
        <v>640030039</v>
      </c>
      <c r="I28" s="3">
        <f t="shared" si="3"/>
        <v>436889850</v>
      </c>
      <c r="J28" s="3">
        <f t="shared" si="3"/>
        <v>394166472</v>
      </c>
      <c r="K28" s="3">
        <f t="shared" si="3"/>
        <v>245863567</v>
      </c>
      <c r="L28" s="3">
        <f t="shared" si="3"/>
        <v>374408284</v>
      </c>
      <c r="M28" s="3">
        <f t="shared" si="3"/>
        <v>282399510</v>
      </c>
      <c r="N28" s="3">
        <f t="shared" si="3"/>
        <v>138000000</v>
      </c>
      <c r="O28" s="3">
        <f t="shared" si="3"/>
        <v>79743620</v>
      </c>
      <c r="P28" s="3">
        <f t="shared" si="3"/>
        <v>62481566</v>
      </c>
      <c r="Q28" s="3">
        <f t="shared" si="3"/>
        <v>38171755</v>
      </c>
      <c r="R28" s="3">
        <f t="shared" si="3"/>
        <v>24024503</v>
      </c>
      <c r="S28" s="3">
        <f t="shared" si="3"/>
        <v>28600000</v>
      </c>
      <c r="T28" s="3">
        <f t="shared" si="3"/>
        <v>27910270</v>
      </c>
      <c r="U28" s="3">
        <f t="shared" si="3"/>
        <v>26730850</v>
      </c>
      <c r="V28" s="3">
        <f t="shared" si="3"/>
        <v>26312000</v>
      </c>
      <c r="W28" s="3">
        <f t="shared" si="3"/>
        <v>24960000</v>
      </c>
      <c r="X28" s="3">
        <f t="shared" si="3"/>
        <v>19474503</v>
      </c>
      <c r="Y28" s="3">
        <f t="shared" si="3"/>
        <v>11961546</v>
      </c>
      <c r="Z28" s="3">
        <f t="shared" si="3"/>
        <v>10500000</v>
      </c>
      <c r="AA28" s="3">
        <f t="shared" si="3"/>
        <v>4550000</v>
      </c>
      <c r="AB28" s="3">
        <f t="shared" si="3"/>
        <v>5200000</v>
      </c>
      <c r="AC28" s="3">
        <f t="shared" si="3"/>
        <v>1553460</v>
      </c>
      <c r="AD28" s="3">
        <f t="shared" si="3"/>
        <v>343200</v>
      </c>
      <c r="AE28" s="3">
        <f t="shared" si="3"/>
        <v>343200</v>
      </c>
      <c r="AF28" s="3">
        <f t="shared" si="3"/>
        <v>5</v>
      </c>
      <c r="AG28" s="3">
        <f t="shared" si="3"/>
        <v>900</v>
      </c>
      <c r="AH28" s="3">
        <f t="shared" si="3"/>
        <v>1254724</v>
      </c>
      <c r="AI28" s="3">
        <f t="shared" ref="AI28" si="4">SUM(AI2:AI27)</f>
        <v>509171</v>
      </c>
      <c r="AJ28" s="3">
        <f t="shared" ref="AJ28" si="5">SUM(AJ2:AJ27)</f>
        <v>1198380</v>
      </c>
      <c r="AK28" s="3">
        <f t="shared" ref="AK28" si="6">SUM(AK2:AK27)</f>
        <v>46793</v>
      </c>
      <c r="AL28" s="3">
        <f t="shared" ref="AL28" si="7">SUM(AL2:AL27)</f>
        <v>0</v>
      </c>
      <c r="AM28" s="3">
        <f t="shared" ref="AM28" si="8">SUM(AM2:AM27)</f>
        <v>0</v>
      </c>
      <c r="AN28" s="3">
        <f t="shared" ref="AN28" si="9">SUM(AN2:AN27)</f>
        <v>0</v>
      </c>
    </row>
    <row r="30" spans="1:40" s="53" customFormat="1">
      <c r="D30" s="53">
        <v>1200000000</v>
      </c>
      <c r="E30" s="53">
        <v>1200000000</v>
      </c>
      <c r="F30" s="53">
        <v>1062000000</v>
      </c>
      <c r="G30" s="53">
        <v>640030039</v>
      </c>
      <c r="H30" s="53">
        <v>640030039</v>
      </c>
      <c r="I30" s="53">
        <v>436889850</v>
      </c>
      <c r="J30" s="53">
        <v>394166472</v>
      </c>
      <c r="K30" s="53">
        <v>245863567</v>
      </c>
      <c r="L30" s="53">
        <v>374408284</v>
      </c>
      <c r="M30" s="53">
        <v>282399510</v>
      </c>
      <c r="N30" s="53">
        <v>138000000</v>
      </c>
      <c r="O30" s="53">
        <v>79743620</v>
      </c>
      <c r="P30" s="53">
        <v>62481566</v>
      </c>
      <c r="Q30" s="53">
        <v>38171755</v>
      </c>
      <c r="R30" s="53">
        <v>24024503</v>
      </c>
      <c r="S30" s="53">
        <v>28600000</v>
      </c>
      <c r="T30" s="53">
        <v>27910270</v>
      </c>
      <c r="U30" s="53">
        <v>26730850</v>
      </c>
      <c r="V30" s="53">
        <v>26312000</v>
      </c>
      <c r="W30" s="53">
        <v>24960000</v>
      </c>
      <c r="X30" s="53">
        <v>19474503</v>
      </c>
      <c r="Y30" s="53">
        <v>11961546</v>
      </c>
      <c r="Z30" s="53">
        <v>10500000</v>
      </c>
      <c r="AA30" s="53">
        <v>4550000</v>
      </c>
      <c r="AB30" s="53">
        <v>5200000</v>
      </c>
      <c r="AC30" s="53">
        <v>1553460</v>
      </c>
      <c r="AD30" s="53">
        <v>343200</v>
      </c>
      <c r="AE30" s="53">
        <v>343200</v>
      </c>
      <c r="AF30" s="53">
        <v>5</v>
      </c>
      <c r="AG30" s="53">
        <v>900</v>
      </c>
      <c r="AH30" s="53">
        <v>1254724</v>
      </c>
      <c r="AI30" s="53">
        <v>509171</v>
      </c>
      <c r="AJ30" s="53">
        <v>1198380</v>
      </c>
      <c r="AK30" s="53">
        <v>46793</v>
      </c>
      <c r="AL30" s="53">
        <v>0</v>
      </c>
      <c r="AM30" s="53">
        <v>0</v>
      </c>
      <c r="AN30" s="53">
        <v>0</v>
      </c>
    </row>
    <row r="32" spans="1:40">
      <c r="AG32" s="54"/>
    </row>
  </sheetData>
  <sortState columnSort="1" ref="A1:IK28">
    <sortCondition descending="1" ref="A28:IK2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rightToLeft="1" topLeftCell="A15" workbookViewId="0">
      <selection activeCell="F28" sqref="F28"/>
    </sheetView>
  </sheetViews>
  <sheetFormatPr defaultRowHeight="21"/>
  <cols>
    <col min="1" max="1" width="9.140625" style="6"/>
    <col min="2" max="2" width="12.5703125" style="6" bestFit="1" customWidth="1"/>
    <col min="3" max="3" width="26.28515625" style="6" bestFit="1" customWidth="1"/>
    <col min="4" max="4" width="21" style="6" bestFit="1" customWidth="1"/>
    <col min="5" max="5" width="17.5703125" style="6" bestFit="1" customWidth="1"/>
    <col min="6" max="6" width="16.5703125" style="58" bestFit="1" customWidth="1"/>
    <col min="7" max="7" width="17.5703125" style="6" bestFit="1" customWidth="1"/>
    <col min="8" max="8" width="25.42578125" style="6" bestFit="1" customWidth="1"/>
    <col min="9" max="9" width="23.7109375" style="6" bestFit="1" customWidth="1"/>
    <col min="10" max="10" width="26.42578125" style="6" bestFit="1" customWidth="1"/>
    <col min="11" max="11" width="24.42578125" style="6" bestFit="1" customWidth="1"/>
    <col min="12" max="12" width="23.140625" style="6" bestFit="1" customWidth="1"/>
    <col min="13" max="13" width="28.85546875" style="6" bestFit="1" customWidth="1"/>
    <col min="14" max="14" width="24.42578125" style="6" bestFit="1" customWidth="1"/>
    <col min="15" max="15" width="26.140625" style="6" bestFit="1" customWidth="1"/>
    <col min="16" max="16" width="28.140625" style="6" bestFit="1" customWidth="1"/>
    <col min="17" max="16384" width="9.140625" style="6"/>
  </cols>
  <sheetData>
    <row r="1" spans="1:25">
      <c r="A1" s="4" t="s">
        <v>79</v>
      </c>
      <c r="B1" s="4" t="s">
        <v>0</v>
      </c>
      <c r="C1" s="4" t="s">
        <v>1</v>
      </c>
      <c r="D1" s="4" t="s">
        <v>2</v>
      </c>
      <c r="E1" s="5" t="s">
        <v>40</v>
      </c>
      <c r="F1" s="55" t="s">
        <v>41</v>
      </c>
      <c r="G1" s="5" t="s">
        <v>42</v>
      </c>
      <c r="H1" s="4" t="s">
        <v>43</v>
      </c>
      <c r="I1" s="4" t="s">
        <v>44</v>
      </c>
      <c r="J1" s="4" t="s">
        <v>45</v>
      </c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/>
      <c r="R1" s="4"/>
      <c r="S1" s="4"/>
      <c r="T1" s="4"/>
      <c r="U1" s="4"/>
      <c r="V1" s="4"/>
      <c r="W1" s="4"/>
      <c r="X1" s="4"/>
      <c r="Y1" s="4"/>
    </row>
    <row r="2" spans="1:25">
      <c r="A2" s="6">
        <v>32</v>
      </c>
      <c r="B2" s="7">
        <v>9157041</v>
      </c>
      <c r="C2" s="8" t="s">
        <v>52</v>
      </c>
      <c r="D2" s="8" t="s">
        <v>53</v>
      </c>
      <c r="E2" s="9">
        <f t="shared" ref="E2:E27" si="0">IF(G2*2&gt;24364980,24364980,G2*2)/12</f>
        <v>1976397.5</v>
      </c>
      <c r="F2" s="56">
        <f t="shared" ref="F2:F27" si="1">G2/12</f>
        <v>988198.75</v>
      </c>
      <c r="G2" s="9">
        <v>11858385</v>
      </c>
      <c r="H2" s="8">
        <v>1100000</v>
      </c>
      <c r="I2" s="8">
        <v>0</v>
      </c>
      <c r="J2" s="8">
        <v>200000</v>
      </c>
      <c r="K2" s="8">
        <v>9564120</v>
      </c>
      <c r="L2" s="8">
        <v>0</v>
      </c>
      <c r="M2" s="8">
        <v>0</v>
      </c>
      <c r="N2" s="8">
        <v>0</v>
      </c>
      <c r="O2" s="8">
        <v>994265</v>
      </c>
      <c r="P2" s="8">
        <v>0</v>
      </c>
    </row>
    <row r="3" spans="1:25">
      <c r="A3" s="6">
        <v>33</v>
      </c>
      <c r="B3" s="7">
        <v>9157043</v>
      </c>
      <c r="C3" s="8" t="s">
        <v>54</v>
      </c>
      <c r="D3" s="8" t="s">
        <v>53</v>
      </c>
      <c r="E3" s="9">
        <f t="shared" si="0"/>
        <v>2030415</v>
      </c>
      <c r="F3" s="56">
        <f t="shared" si="1"/>
        <v>1283151.6666666667</v>
      </c>
      <c r="G3" s="9">
        <v>15397820</v>
      </c>
      <c r="H3" s="8">
        <v>1100000</v>
      </c>
      <c r="I3" s="8">
        <v>812165</v>
      </c>
      <c r="J3" s="8">
        <v>200000</v>
      </c>
      <c r="K3" s="8">
        <v>12227190</v>
      </c>
      <c r="L3" s="8">
        <v>0</v>
      </c>
      <c r="M3" s="8">
        <v>0</v>
      </c>
      <c r="N3" s="8">
        <v>0</v>
      </c>
      <c r="O3" s="8">
        <v>1058465</v>
      </c>
      <c r="P3" s="8">
        <v>0</v>
      </c>
    </row>
    <row r="4" spans="1:25">
      <c r="A4" s="6">
        <v>34</v>
      </c>
      <c r="B4" s="7">
        <v>9157045</v>
      </c>
      <c r="C4" s="8" t="s">
        <v>55</v>
      </c>
      <c r="D4" s="8" t="s">
        <v>53</v>
      </c>
      <c r="E4" s="9">
        <f t="shared" si="0"/>
        <v>2030415</v>
      </c>
      <c r="F4" s="56">
        <f t="shared" si="1"/>
        <v>1131994.1666666667</v>
      </c>
      <c r="G4" s="9">
        <v>13583930</v>
      </c>
      <c r="H4" s="8">
        <v>1100000</v>
      </c>
      <c r="I4" s="8">
        <v>812165</v>
      </c>
      <c r="J4" s="8">
        <v>200000</v>
      </c>
      <c r="K4" s="8">
        <v>10451820</v>
      </c>
      <c r="L4" s="8">
        <v>0</v>
      </c>
      <c r="M4" s="8">
        <v>0</v>
      </c>
      <c r="N4" s="8">
        <v>0</v>
      </c>
      <c r="O4" s="8">
        <v>1019945</v>
      </c>
      <c r="P4" s="8">
        <v>0</v>
      </c>
    </row>
    <row r="5" spans="1:25">
      <c r="A5" s="6">
        <v>35</v>
      </c>
      <c r="B5" s="7">
        <v>9157046</v>
      </c>
      <c r="C5" s="8" t="s">
        <v>56</v>
      </c>
      <c r="D5" s="8" t="s">
        <v>53</v>
      </c>
      <c r="E5" s="9">
        <f t="shared" si="0"/>
        <v>2030415</v>
      </c>
      <c r="F5" s="56">
        <f t="shared" si="1"/>
        <v>1532680</v>
      </c>
      <c r="G5" s="9">
        <v>18392160</v>
      </c>
      <c r="H5" s="8">
        <v>1100000</v>
      </c>
      <c r="I5" s="8">
        <v>2436495</v>
      </c>
      <c r="J5" s="8">
        <v>200000</v>
      </c>
      <c r="K5" s="8">
        <v>13558680</v>
      </c>
      <c r="L5" s="8">
        <v>0</v>
      </c>
      <c r="M5" s="8">
        <v>0</v>
      </c>
      <c r="N5" s="8">
        <v>0</v>
      </c>
      <c r="O5" s="8">
        <v>1096985</v>
      </c>
      <c r="P5" s="8">
        <v>0</v>
      </c>
    </row>
    <row r="6" spans="1:25">
      <c r="A6" s="6">
        <v>36</v>
      </c>
      <c r="B6" s="7">
        <v>9157047</v>
      </c>
      <c r="C6" s="8" t="s">
        <v>57</v>
      </c>
      <c r="D6" s="8" t="s">
        <v>53</v>
      </c>
      <c r="E6" s="9">
        <f t="shared" si="0"/>
        <v>2030415</v>
      </c>
      <c r="F6" s="56">
        <f t="shared" si="1"/>
        <v>1397319.1666666667</v>
      </c>
      <c r="G6" s="9">
        <v>16767830</v>
      </c>
      <c r="H6" s="8">
        <v>1100000</v>
      </c>
      <c r="I6" s="8">
        <v>812165</v>
      </c>
      <c r="J6" s="8">
        <v>200000</v>
      </c>
      <c r="K6" s="8">
        <v>13558680</v>
      </c>
      <c r="L6" s="8">
        <v>0</v>
      </c>
      <c r="M6" s="8">
        <v>0</v>
      </c>
      <c r="N6" s="8">
        <v>0</v>
      </c>
      <c r="O6" s="8">
        <v>1096985</v>
      </c>
      <c r="P6" s="8">
        <v>0</v>
      </c>
    </row>
    <row r="7" spans="1:25">
      <c r="A7" s="6">
        <v>37</v>
      </c>
      <c r="B7" s="7">
        <v>9157049</v>
      </c>
      <c r="C7" s="8" t="s">
        <v>58</v>
      </c>
      <c r="D7" s="8" t="s">
        <v>53</v>
      </c>
      <c r="E7" s="9">
        <f t="shared" si="0"/>
        <v>2030415</v>
      </c>
      <c r="F7" s="56">
        <f t="shared" si="1"/>
        <v>1315336.25</v>
      </c>
      <c r="G7" s="9">
        <v>15784035</v>
      </c>
      <c r="H7" s="8">
        <v>1100000</v>
      </c>
      <c r="I7" s="8">
        <v>0</v>
      </c>
      <c r="J7" s="8">
        <v>200000</v>
      </c>
      <c r="K7" s="8">
        <v>12227190</v>
      </c>
      <c r="L7" s="8">
        <v>0</v>
      </c>
      <c r="M7" s="8">
        <v>0</v>
      </c>
      <c r="N7" s="8">
        <v>1198380</v>
      </c>
      <c r="O7" s="8">
        <v>1058465</v>
      </c>
      <c r="P7" s="8">
        <v>0</v>
      </c>
    </row>
    <row r="8" spans="1:25">
      <c r="A8" s="6">
        <v>38</v>
      </c>
      <c r="B8" s="7">
        <v>9157050</v>
      </c>
      <c r="C8" s="8" t="s">
        <v>59</v>
      </c>
      <c r="D8" s="8" t="s">
        <v>53</v>
      </c>
      <c r="E8" s="9">
        <f t="shared" si="0"/>
        <v>2030415</v>
      </c>
      <c r="F8" s="56">
        <f t="shared" si="1"/>
        <v>1429645.4166666667</v>
      </c>
      <c r="G8" s="9">
        <v>17155745</v>
      </c>
      <c r="H8" s="8">
        <v>1100000</v>
      </c>
      <c r="I8" s="8">
        <v>3248660</v>
      </c>
      <c r="J8" s="8">
        <v>200000</v>
      </c>
      <c r="K8" s="8">
        <v>11561460</v>
      </c>
      <c r="L8" s="8">
        <v>0</v>
      </c>
      <c r="M8" s="8">
        <v>0</v>
      </c>
      <c r="N8" s="8">
        <v>0</v>
      </c>
      <c r="O8" s="8">
        <v>1045625</v>
      </c>
      <c r="P8" s="8">
        <v>0</v>
      </c>
    </row>
    <row r="9" spans="1:25">
      <c r="A9" s="6">
        <v>39</v>
      </c>
      <c r="B9" s="7">
        <v>9157053</v>
      </c>
      <c r="C9" s="8" t="s">
        <v>60</v>
      </c>
      <c r="D9" s="8" t="s">
        <v>53</v>
      </c>
      <c r="E9" s="9">
        <f t="shared" si="0"/>
        <v>2030415</v>
      </c>
      <c r="F9" s="56">
        <f t="shared" si="1"/>
        <v>1054094</v>
      </c>
      <c r="G9" s="9">
        <v>12649128</v>
      </c>
      <c r="H9" s="8">
        <v>1100000</v>
      </c>
      <c r="I9" s="8">
        <v>812165</v>
      </c>
      <c r="J9" s="8">
        <v>200000</v>
      </c>
      <c r="K9" s="8">
        <v>9120300</v>
      </c>
      <c r="L9" s="8">
        <v>332880</v>
      </c>
      <c r="M9" s="8">
        <v>0</v>
      </c>
      <c r="N9" s="8">
        <v>0</v>
      </c>
      <c r="O9" s="8">
        <v>981425</v>
      </c>
      <c r="P9" s="8">
        <v>102358</v>
      </c>
    </row>
    <row r="10" spans="1:25">
      <c r="A10" s="6">
        <v>40</v>
      </c>
      <c r="B10" s="7">
        <v>9157054</v>
      </c>
      <c r="C10" s="8" t="s">
        <v>61</v>
      </c>
      <c r="D10" s="8" t="s">
        <v>53</v>
      </c>
      <c r="E10" s="9">
        <f t="shared" si="0"/>
        <v>2030415</v>
      </c>
      <c r="F10" s="56">
        <f t="shared" si="1"/>
        <v>1063243.75</v>
      </c>
      <c r="G10" s="9">
        <v>12758925</v>
      </c>
      <c r="H10" s="8">
        <v>1100000</v>
      </c>
      <c r="I10" s="8">
        <v>0</v>
      </c>
      <c r="J10" s="8">
        <v>200000</v>
      </c>
      <c r="K10" s="8">
        <v>10007970</v>
      </c>
      <c r="L10" s="8">
        <v>443850</v>
      </c>
      <c r="M10" s="8">
        <v>0</v>
      </c>
      <c r="N10" s="8">
        <v>0</v>
      </c>
      <c r="O10" s="8">
        <v>1007105</v>
      </c>
      <c r="P10" s="8">
        <v>0</v>
      </c>
    </row>
    <row r="11" spans="1:25">
      <c r="A11" s="6">
        <v>41</v>
      </c>
      <c r="B11" s="7">
        <v>9157055</v>
      </c>
      <c r="C11" s="8" t="s">
        <v>62</v>
      </c>
      <c r="D11" s="8" t="s">
        <v>53</v>
      </c>
      <c r="E11" s="9">
        <f t="shared" si="0"/>
        <v>2030415</v>
      </c>
      <c r="F11" s="56">
        <f t="shared" si="1"/>
        <v>1199674.5833333333</v>
      </c>
      <c r="G11" s="9">
        <v>14396095</v>
      </c>
      <c r="H11" s="8">
        <v>1100000</v>
      </c>
      <c r="I11" s="8">
        <v>1624330</v>
      </c>
      <c r="J11" s="8">
        <v>200000</v>
      </c>
      <c r="K11" s="8">
        <v>10451820</v>
      </c>
      <c r="L11" s="8">
        <v>0</v>
      </c>
      <c r="M11" s="8">
        <v>0</v>
      </c>
      <c r="N11" s="8">
        <v>0</v>
      </c>
      <c r="O11" s="8">
        <v>1019945</v>
      </c>
      <c r="P11" s="8">
        <v>0</v>
      </c>
    </row>
    <row r="12" spans="1:25">
      <c r="A12" s="6">
        <v>42</v>
      </c>
      <c r="B12" s="7">
        <v>9157057</v>
      </c>
      <c r="C12" s="8" t="s">
        <v>63</v>
      </c>
      <c r="D12" s="8" t="s">
        <v>53</v>
      </c>
      <c r="E12" s="9">
        <f t="shared" si="0"/>
        <v>2030415</v>
      </c>
      <c r="F12" s="56">
        <f t="shared" si="1"/>
        <v>1429645.4166666667</v>
      </c>
      <c r="G12" s="9">
        <v>17155745</v>
      </c>
      <c r="H12" s="8">
        <v>1100000</v>
      </c>
      <c r="I12" s="8">
        <v>3248660</v>
      </c>
      <c r="J12" s="8">
        <v>200000</v>
      </c>
      <c r="K12" s="8">
        <v>11561460</v>
      </c>
      <c r="L12" s="8">
        <v>0</v>
      </c>
      <c r="M12" s="8">
        <v>0</v>
      </c>
      <c r="N12" s="8">
        <v>0</v>
      </c>
      <c r="O12" s="8">
        <v>1045625</v>
      </c>
      <c r="P12" s="8">
        <v>0</v>
      </c>
    </row>
    <row r="13" spans="1:25">
      <c r="A13" s="6">
        <v>43</v>
      </c>
      <c r="B13" s="7">
        <v>9157059</v>
      </c>
      <c r="C13" s="8" t="s">
        <v>64</v>
      </c>
      <c r="D13" s="8" t="s">
        <v>53</v>
      </c>
      <c r="E13" s="9">
        <f t="shared" si="0"/>
        <v>2030415</v>
      </c>
      <c r="F13" s="56">
        <f t="shared" si="1"/>
        <v>1113244.5833333333</v>
      </c>
      <c r="G13" s="9">
        <v>13358935</v>
      </c>
      <c r="H13" s="8">
        <v>1100000</v>
      </c>
      <c r="I13" s="8">
        <v>1624330</v>
      </c>
      <c r="J13" s="8">
        <v>200000</v>
      </c>
      <c r="K13" s="8">
        <v>9120300</v>
      </c>
      <c r="L13" s="8">
        <v>332880</v>
      </c>
      <c r="M13" s="8">
        <v>0</v>
      </c>
      <c r="N13" s="8">
        <v>0</v>
      </c>
      <c r="O13" s="8">
        <v>981425</v>
      </c>
      <c r="P13" s="8">
        <v>0</v>
      </c>
    </row>
    <row r="14" spans="1:25">
      <c r="A14" s="6">
        <v>44</v>
      </c>
      <c r="B14" s="7">
        <v>9157060</v>
      </c>
      <c r="C14" s="8" t="s">
        <v>65</v>
      </c>
      <c r="D14" s="8" t="s">
        <v>53</v>
      </c>
      <c r="E14" s="9">
        <f t="shared" si="0"/>
        <v>2030415</v>
      </c>
      <c r="F14" s="56">
        <f t="shared" si="1"/>
        <v>1119405.6666666667</v>
      </c>
      <c r="G14" s="9">
        <v>13432868</v>
      </c>
      <c r="H14" s="8">
        <v>1100000</v>
      </c>
      <c r="I14" s="8">
        <v>1624330</v>
      </c>
      <c r="J14" s="8">
        <v>200000</v>
      </c>
      <c r="K14" s="8">
        <v>9120300</v>
      </c>
      <c r="L14" s="8">
        <v>0</v>
      </c>
      <c r="M14" s="8">
        <v>0</v>
      </c>
      <c r="N14" s="8">
        <v>0</v>
      </c>
      <c r="O14" s="8">
        <v>981425</v>
      </c>
      <c r="P14" s="8">
        <v>406813</v>
      </c>
    </row>
    <row r="15" spans="1:25">
      <c r="A15" s="6">
        <v>45</v>
      </c>
      <c r="B15" s="7">
        <v>9157065</v>
      </c>
      <c r="C15" s="8" t="s">
        <v>66</v>
      </c>
      <c r="D15" s="8" t="s">
        <v>53</v>
      </c>
      <c r="E15" s="9">
        <f t="shared" si="0"/>
        <v>2030415</v>
      </c>
      <c r="F15" s="56">
        <f t="shared" si="1"/>
        <v>1267355</v>
      </c>
      <c r="G15" s="9">
        <v>15208260</v>
      </c>
      <c r="H15" s="8">
        <v>1100000</v>
      </c>
      <c r="I15" s="8">
        <v>2436495</v>
      </c>
      <c r="J15" s="8">
        <v>200000</v>
      </c>
      <c r="K15" s="8">
        <v>10451820</v>
      </c>
      <c r="L15" s="8">
        <v>0</v>
      </c>
      <c r="M15" s="8">
        <v>0</v>
      </c>
      <c r="N15" s="8">
        <v>0</v>
      </c>
      <c r="O15" s="8">
        <v>1019945</v>
      </c>
      <c r="P15" s="8">
        <v>0</v>
      </c>
    </row>
    <row r="16" spans="1:25">
      <c r="A16" s="6">
        <v>46</v>
      </c>
      <c r="B16" s="7">
        <v>9157066</v>
      </c>
      <c r="C16" s="8" t="s">
        <v>67</v>
      </c>
      <c r="D16" s="8" t="s">
        <v>53</v>
      </c>
      <c r="E16" s="9">
        <f t="shared" si="0"/>
        <v>2030415</v>
      </c>
      <c r="F16" s="56">
        <f t="shared" si="1"/>
        <v>1382337.9166666667</v>
      </c>
      <c r="G16" s="9">
        <v>16588055</v>
      </c>
      <c r="H16" s="8">
        <v>1100000</v>
      </c>
      <c r="I16" s="8">
        <v>3248660</v>
      </c>
      <c r="J16" s="8">
        <v>200000</v>
      </c>
      <c r="K16" s="8">
        <v>11006610</v>
      </c>
      <c r="L16" s="8">
        <v>0</v>
      </c>
      <c r="M16" s="8">
        <v>0</v>
      </c>
      <c r="N16" s="8">
        <v>0</v>
      </c>
      <c r="O16" s="8">
        <v>1032785</v>
      </c>
      <c r="P16" s="8">
        <v>0</v>
      </c>
    </row>
    <row r="17" spans="1:25">
      <c r="A17" s="6">
        <v>47</v>
      </c>
      <c r="B17" s="7">
        <v>9157068</v>
      </c>
      <c r="C17" s="8" t="s">
        <v>68</v>
      </c>
      <c r="D17" s="8" t="s">
        <v>53</v>
      </c>
      <c r="E17" s="9">
        <f t="shared" si="0"/>
        <v>2030415</v>
      </c>
      <c r="F17" s="56">
        <f t="shared" si="1"/>
        <v>1199674.5833333333</v>
      </c>
      <c r="G17" s="9">
        <v>14396095</v>
      </c>
      <c r="H17" s="8">
        <v>1100000</v>
      </c>
      <c r="I17" s="8">
        <v>1624330</v>
      </c>
      <c r="J17" s="8">
        <v>200000</v>
      </c>
      <c r="K17" s="8">
        <v>10451820</v>
      </c>
      <c r="L17" s="8">
        <v>0</v>
      </c>
      <c r="M17" s="8">
        <v>0</v>
      </c>
      <c r="N17" s="8">
        <v>0</v>
      </c>
      <c r="O17" s="8">
        <v>1019945</v>
      </c>
      <c r="P17" s="8">
        <v>0</v>
      </c>
    </row>
    <row r="18" spans="1:25">
      <c r="A18" s="6">
        <v>48</v>
      </c>
      <c r="B18" s="7">
        <v>9157072</v>
      </c>
      <c r="C18" s="8" t="s">
        <v>69</v>
      </c>
      <c r="D18" s="8" t="s">
        <v>53</v>
      </c>
      <c r="E18" s="9">
        <f t="shared" si="0"/>
        <v>2030415</v>
      </c>
      <c r="F18" s="56">
        <f t="shared" si="1"/>
        <v>1094506.6666666667</v>
      </c>
      <c r="G18" s="9">
        <v>13134080</v>
      </c>
      <c r="H18" s="8">
        <v>1100000</v>
      </c>
      <c r="I18" s="8">
        <v>812165</v>
      </c>
      <c r="J18" s="8">
        <v>200000</v>
      </c>
      <c r="K18" s="8">
        <v>10007970</v>
      </c>
      <c r="L18" s="8">
        <v>0</v>
      </c>
      <c r="M18" s="8">
        <v>0</v>
      </c>
      <c r="N18" s="8">
        <v>0</v>
      </c>
      <c r="O18" s="8">
        <v>1013945</v>
      </c>
      <c r="P18" s="8">
        <v>0</v>
      </c>
    </row>
    <row r="19" spans="1:25">
      <c r="A19" s="6">
        <v>49</v>
      </c>
      <c r="B19" s="7">
        <v>9157075</v>
      </c>
      <c r="C19" s="8" t="s">
        <v>70</v>
      </c>
      <c r="D19" s="8" t="s">
        <v>53</v>
      </c>
      <c r="E19" s="9">
        <f t="shared" si="0"/>
        <v>2030415</v>
      </c>
      <c r="F19" s="56">
        <f t="shared" si="1"/>
        <v>1131424.1666666667</v>
      </c>
      <c r="G19" s="9">
        <v>13577090</v>
      </c>
      <c r="H19" s="8">
        <v>1100000</v>
      </c>
      <c r="I19" s="8">
        <v>812165</v>
      </c>
      <c r="J19" s="8">
        <v>200000</v>
      </c>
      <c r="K19" s="8">
        <v>10451820</v>
      </c>
      <c r="L19" s="8">
        <v>0</v>
      </c>
      <c r="M19" s="8">
        <v>0</v>
      </c>
      <c r="N19" s="8">
        <v>0</v>
      </c>
      <c r="O19" s="8">
        <v>1013105</v>
      </c>
      <c r="P19" s="8">
        <v>0</v>
      </c>
    </row>
    <row r="20" spans="1:25">
      <c r="A20" s="6">
        <v>50</v>
      </c>
      <c r="B20" s="7">
        <v>9157077</v>
      </c>
      <c r="C20" s="8" t="s">
        <v>71</v>
      </c>
      <c r="D20" s="8" t="s">
        <v>53</v>
      </c>
      <c r="E20" s="9">
        <f t="shared" si="0"/>
        <v>2030415</v>
      </c>
      <c r="F20" s="56">
        <f t="shared" si="1"/>
        <v>1198604.5833333333</v>
      </c>
      <c r="G20" s="9">
        <v>14383255</v>
      </c>
      <c r="H20" s="8">
        <v>1100000</v>
      </c>
      <c r="I20" s="8">
        <v>1624330</v>
      </c>
      <c r="J20" s="8">
        <v>200000</v>
      </c>
      <c r="K20" s="8">
        <v>10007970</v>
      </c>
      <c r="L20" s="8">
        <v>443850</v>
      </c>
      <c r="M20" s="8">
        <v>0</v>
      </c>
      <c r="N20" s="8">
        <v>0</v>
      </c>
      <c r="O20" s="8">
        <v>1007105</v>
      </c>
      <c r="P20" s="8">
        <v>0</v>
      </c>
    </row>
    <row r="21" spans="1:25">
      <c r="A21" s="6">
        <v>51</v>
      </c>
      <c r="B21" s="7">
        <v>9157081</v>
      </c>
      <c r="C21" s="8" t="s">
        <v>72</v>
      </c>
      <c r="D21" s="8" t="s">
        <v>53</v>
      </c>
      <c r="E21" s="9">
        <f t="shared" si="0"/>
        <v>2030415</v>
      </c>
      <c r="F21" s="56">
        <f t="shared" si="1"/>
        <v>1162187.0833333333</v>
      </c>
      <c r="G21" s="9">
        <v>13946245</v>
      </c>
      <c r="H21" s="8">
        <v>1100000</v>
      </c>
      <c r="I21" s="8">
        <v>1624330</v>
      </c>
      <c r="J21" s="8">
        <v>200000</v>
      </c>
      <c r="K21" s="8">
        <v>10007970</v>
      </c>
      <c r="L21" s="8">
        <v>0</v>
      </c>
      <c r="M21" s="8">
        <v>0</v>
      </c>
      <c r="N21" s="8">
        <v>0</v>
      </c>
      <c r="O21" s="8">
        <v>1013945</v>
      </c>
      <c r="P21" s="8">
        <v>0</v>
      </c>
    </row>
    <row r="22" spans="1:25">
      <c r="A22" s="6">
        <v>52</v>
      </c>
      <c r="B22" s="7">
        <v>9157089</v>
      </c>
      <c r="C22" s="8" t="s">
        <v>73</v>
      </c>
      <c r="D22" s="8" t="s">
        <v>53</v>
      </c>
      <c r="E22" s="9">
        <f t="shared" si="0"/>
        <v>2030415</v>
      </c>
      <c r="F22" s="56">
        <f t="shared" si="1"/>
        <v>1350832.0833333333</v>
      </c>
      <c r="G22" s="9">
        <v>16209985</v>
      </c>
      <c r="H22" s="8">
        <v>1100000</v>
      </c>
      <c r="I22" s="8">
        <v>1624330</v>
      </c>
      <c r="J22" s="8">
        <v>200000</v>
      </c>
      <c r="K22" s="8">
        <v>12227190</v>
      </c>
      <c r="L22" s="8">
        <v>0</v>
      </c>
      <c r="M22" s="8">
        <v>0</v>
      </c>
      <c r="N22" s="8">
        <v>0</v>
      </c>
      <c r="O22" s="8">
        <v>1058465</v>
      </c>
      <c r="P22" s="8">
        <v>0</v>
      </c>
    </row>
    <row r="23" spans="1:25">
      <c r="A23" s="6">
        <v>53</v>
      </c>
      <c r="B23" s="7">
        <v>9157090</v>
      </c>
      <c r="C23" s="8" t="s">
        <v>74</v>
      </c>
      <c r="D23" s="8" t="s">
        <v>53</v>
      </c>
      <c r="E23" s="9">
        <f t="shared" si="0"/>
        <v>2030415</v>
      </c>
      <c r="F23" s="56">
        <f t="shared" si="1"/>
        <v>1350832.0833333333</v>
      </c>
      <c r="G23" s="9">
        <v>16209985</v>
      </c>
      <c r="H23" s="8">
        <v>1100000</v>
      </c>
      <c r="I23" s="8">
        <v>1624330</v>
      </c>
      <c r="J23" s="8">
        <v>200000</v>
      </c>
      <c r="K23" s="8">
        <v>12227190</v>
      </c>
      <c r="L23" s="8">
        <v>0</v>
      </c>
      <c r="M23" s="8">
        <v>0</v>
      </c>
      <c r="N23" s="8">
        <v>0</v>
      </c>
      <c r="O23" s="8">
        <v>1058465</v>
      </c>
      <c r="P23" s="8">
        <v>0</v>
      </c>
    </row>
    <row r="24" spans="1:25">
      <c r="A24" s="6">
        <v>54</v>
      </c>
      <c r="B24" s="7">
        <v>9157091</v>
      </c>
      <c r="C24" s="8" t="s">
        <v>75</v>
      </c>
      <c r="D24" s="8" t="s">
        <v>53</v>
      </c>
      <c r="E24" s="9">
        <f t="shared" si="0"/>
        <v>2030415</v>
      </c>
      <c r="F24" s="56">
        <f t="shared" si="1"/>
        <v>1093936.6666666667</v>
      </c>
      <c r="G24" s="9">
        <v>13127240</v>
      </c>
      <c r="H24" s="8">
        <v>1100000</v>
      </c>
      <c r="I24" s="8">
        <v>812165</v>
      </c>
      <c r="J24" s="8">
        <v>200000</v>
      </c>
      <c r="K24" s="8">
        <v>10007970</v>
      </c>
      <c r="L24" s="8">
        <v>0</v>
      </c>
      <c r="M24" s="8">
        <v>0</v>
      </c>
      <c r="N24" s="8">
        <v>0</v>
      </c>
      <c r="O24" s="8">
        <v>1007105</v>
      </c>
      <c r="P24" s="8">
        <v>0</v>
      </c>
    </row>
    <row r="25" spans="1:25">
      <c r="A25" s="6">
        <v>55</v>
      </c>
      <c r="B25" s="7">
        <v>9157044</v>
      </c>
      <c r="C25" s="8" t="s">
        <v>76</v>
      </c>
      <c r="D25" s="8" t="s">
        <v>53</v>
      </c>
      <c r="E25" s="9">
        <f t="shared" si="0"/>
        <v>2030415</v>
      </c>
      <c r="F25" s="56">
        <f t="shared" si="1"/>
        <v>1267355</v>
      </c>
      <c r="G25" s="9">
        <v>15208260</v>
      </c>
      <c r="H25" s="8">
        <v>1100000</v>
      </c>
      <c r="I25" s="8">
        <v>2436495</v>
      </c>
      <c r="J25" s="8">
        <v>200000</v>
      </c>
      <c r="K25" s="8">
        <v>10451820</v>
      </c>
      <c r="L25" s="8">
        <v>0</v>
      </c>
      <c r="M25" s="8">
        <v>0</v>
      </c>
      <c r="N25" s="8">
        <v>0</v>
      </c>
      <c r="O25" s="8">
        <v>1019945</v>
      </c>
      <c r="P25" s="8">
        <v>0</v>
      </c>
    </row>
    <row r="26" spans="1:25">
      <c r="A26" s="6">
        <v>56</v>
      </c>
      <c r="B26" s="7">
        <v>9157070</v>
      </c>
      <c r="C26" s="8" t="s">
        <v>77</v>
      </c>
      <c r="D26" s="8" t="s">
        <v>53</v>
      </c>
      <c r="E26" s="9">
        <f t="shared" si="0"/>
        <v>2030415</v>
      </c>
      <c r="F26" s="56">
        <f t="shared" si="1"/>
        <v>1314657.5</v>
      </c>
      <c r="G26" s="9">
        <v>15775890</v>
      </c>
      <c r="H26" s="8">
        <v>1100000</v>
      </c>
      <c r="I26" s="8">
        <v>2436495</v>
      </c>
      <c r="J26" s="8">
        <v>200000</v>
      </c>
      <c r="K26" s="8">
        <v>11006610</v>
      </c>
      <c r="L26" s="8">
        <v>0</v>
      </c>
      <c r="M26" s="8">
        <v>0</v>
      </c>
      <c r="N26" s="8">
        <v>0</v>
      </c>
      <c r="O26" s="8">
        <v>1032785</v>
      </c>
      <c r="P26" s="8">
        <v>0</v>
      </c>
    </row>
    <row r="27" spans="1:25">
      <c r="A27" s="6">
        <v>57</v>
      </c>
      <c r="B27" s="7">
        <v>9157058</v>
      </c>
      <c r="C27" s="8" t="s">
        <v>78</v>
      </c>
      <c r="D27" s="8" t="s">
        <v>53</v>
      </c>
      <c r="E27" s="9">
        <f t="shared" si="0"/>
        <v>2030415</v>
      </c>
      <c r="F27" s="56">
        <f t="shared" si="1"/>
        <v>1158923.75</v>
      </c>
      <c r="G27" s="9">
        <v>13907085</v>
      </c>
      <c r="H27" s="8">
        <v>1100000</v>
      </c>
      <c r="I27" s="8">
        <v>0</v>
      </c>
      <c r="J27" s="8">
        <v>200000</v>
      </c>
      <c r="K27" s="8">
        <v>11561460</v>
      </c>
      <c r="L27" s="8">
        <v>0</v>
      </c>
      <c r="M27" s="8">
        <v>0</v>
      </c>
      <c r="N27" s="8">
        <v>0</v>
      </c>
      <c r="O27" s="8">
        <v>1045625</v>
      </c>
      <c r="P27" s="8">
        <v>0</v>
      </c>
    </row>
    <row r="28" spans="1:25">
      <c r="A28" s="6">
        <v>58</v>
      </c>
      <c r="E28" s="10">
        <f t="shared" ref="E28:P28" si="2">SUM(E2:E27)</f>
        <v>52736772.5</v>
      </c>
      <c r="F28" s="57">
        <f t="shared" si="2"/>
        <v>32030260.5</v>
      </c>
      <c r="G28" s="10">
        <f t="shared" si="2"/>
        <v>384363126</v>
      </c>
      <c r="H28" s="10">
        <f t="shared" si="2"/>
        <v>28600000</v>
      </c>
      <c r="I28" s="10">
        <f t="shared" si="2"/>
        <v>38171755</v>
      </c>
      <c r="J28" s="10">
        <f t="shared" si="2"/>
        <v>5200000</v>
      </c>
      <c r="K28" s="10">
        <f t="shared" si="2"/>
        <v>282399510</v>
      </c>
      <c r="L28" s="10">
        <f t="shared" si="2"/>
        <v>1553460</v>
      </c>
      <c r="M28" s="10">
        <f t="shared" si="2"/>
        <v>0</v>
      </c>
      <c r="N28" s="10">
        <f t="shared" si="2"/>
        <v>1198380</v>
      </c>
      <c r="O28" s="10">
        <f t="shared" si="2"/>
        <v>26730850</v>
      </c>
      <c r="P28" s="10">
        <f t="shared" si="2"/>
        <v>509171</v>
      </c>
      <c r="Q28" s="10"/>
      <c r="R28" s="10"/>
      <c r="S28" s="10"/>
      <c r="T28" s="10"/>
      <c r="U28" s="10"/>
      <c r="V28" s="10"/>
      <c r="W28" s="10"/>
      <c r="X28" s="10"/>
      <c r="Y2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tabSelected="1" view="pageBreakPreview" topLeftCell="A13" zoomScaleNormal="100" zoomScaleSheetLayoutView="100" workbookViewId="0">
      <selection activeCell="F9" sqref="F9"/>
    </sheetView>
  </sheetViews>
  <sheetFormatPr defaultRowHeight="15"/>
  <cols>
    <col min="1" max="1" width="5.5703125" style="12" customWidth="1"/>
    <col min="2" max="2" width="9.28515625" style="12" customWidth="1"/>
    <col min="3" max="3" width="15" style="12" customWidth="1"/>
    <col min="4" max="4" width="15.7109375" style="12" customWidth="1"/>
    <col min="5" max="5" width="20.7109375" style="12" customWidth="1"/>
    <col min="6" max="6" width="21.85546875" style="12" customWidth="1"/>
    <col min="7" max="7" width="17.140625" style="12" customWidth="1"/>
    <col min="8" max="8" width="17.28515625" style="12" customWidth="1"/>
    <col min="9" max="9" width="25.5703125" style="12" bestFit="1" customWidth="1"/>
    <col min="10" max="10" width="20.7109375" style="12" customWidth="1"/>
    <col min="11" max="11" width="5.5703125" style="12" customWidth="1"/>
    <col min="12" max="16384" width="9.140625" style="12"/>
  </cols>
  <sheetData>
    <row r="1" spans="1:11" ht="41.25" customHeight="1">
      <c r="A1" s="11"/>
      <c r="B1" s="59" t="s">
        <v>94</v>
      </c>
      <c r="C1" s="59"/>
      <c r="D1" s="59"/>
      <c r="E1" s="59"/>
      <c r="F1" s="59"/>
      <c r="G1" s="59"/>
      <c r="H1" s="59"/>
      <c r="I1" s="59"/>
      <c r="J1" s="59"/>
      <c r="K1" s="11"/>
    </row>
    <row r="2" spans="1:11" ht="26.25">
      <c r="A2" s="11"/>
      <c r="B2" s="13"/>
      <c r="C2" s="13"/>
      <c r="D2" s="13"/>
      <c r="E2" s="13"/>
      <c r="F2" s="13"/>
      <c r="G2" s="13"/>
      <c r="H2" s="13"/>
      <c r="I2" s="13"/>
      <c r="J2" s="13"/>
      <c r="K2" s="11"/>
    </row>
    <row r="3" spans="1:11" ht="24.75">
      <c r="A3" s="11"/>
      <c r="B3" s="14"/>
      <c r="C3" s="14"/>
      <c r="D3" s="14"/>
      <c r="E3" s="15"/>
      <c r="F3" s="15"/>
      <c r="G3" s="15"/>
      <c r="H3" s="15"/>
      <c r="I3" s="15"/>
      <c r="J3" s="15"/>
      <c r="K3" s="11"/>
    </row>
    <row r="4" spans="1:11" s="21" customFormat="1" ht="48">
      <c r="A4" s="16"/>
      <c r="B4" s="17" t="s">
        <v>79</v>
      </c>
      <c r="C4" s="17" t="s">
        <v>80</v>
      </c>
      <c r="D4" s="17" t="s">
        <v>81</v>
      </c>
      <c r="E4" s="18" t="s">
        <v>82</v>
      </c>
      <c r="F4" s="19" t="s">
        <v>83</v>
      </c>
      <c r="G4" s="19" t="s">
        <v>84</v>
      </c>
      <c r="H4" s="19" t="s">
        <v>85</v>
      </c>
      <c r="I4" s="19" t="s">
        <v>86</v>
      </c>
      <c r="J4" s="18" t="s">
        <v>87</v>
      </c>
      <c r="K4" s="20"/>
    </row>
    <row r="5" spans="1:11" ht="36.75" customHeight="1">
      <c r="A5" s="22"/>
      <c r="B5" s="23">
        <v>1</v>
      </c>
      <c r="C5" s="23" t="s">
        <v>93</v>
      </c>
      <c r="D5" s="23">
        <v>26</v>
      </c>
      <c r="E5" s="24">
        <f>'توليد توسعه دارخوين مهر '!I28</f>
        <v>436889850</v>
      </c>
      <c r="F5" s="24">
        <f>'توليد توسعه دارخوين مهر '!Y28+'توليد توسعه دارخوين مهر '!O28</f>
        <v>91705166</v>
      </c>
      <c r="G5" s="24">
        <f>'عیدی و سنوات '!F28</f>
        <v>32030260.5</v>
      </c>
      <c r="H5" s="24">
        <f>'عیدی و سنوات '!E28</f>
        <v>52736772.5</v>
      </c>
      <c r="I5" s="24">
        <f>'رفاهی '!I31</f>
        <v>7800000</v>
      </c>
      <c r="J5" s="24">
        <f>SUM(E5:I5)</f>
        <v>621162049</v>
      </c>
      <c r="K5" s="25"/>
    </row>
    <row r="6" spans="1:11" s="30" customFormat="1" ht="36.75" customHeight="1">
      <c r="A6" s="26"/>
      <c r="B6" s="27"/>
      <c r="C6" s="60" t="s">
        <v>87</v>
      </c>
      <c r="D6" s="61"/>
      <c r="E6" s="28">
        <f t="shared" ref="E6:J6" si="0">SUM(E5:E5)</f>
        <v>436889850</v>
      </c>
      <c r="F6" s="28">
        <f t="shared" si="0"/>
        <v>91705166</v>
      </c>
      <c r="G6" s="28">
        <f t="shared" si="0"/>
        <v>32030260.5</v>
      </c>
      <c r="H6" s="28">
        <f t="shared" si="0"/>
        <v>52736772.5</v>
      </c>
      <c r="I6" s="28">
        <f t="shared" si="0"/>
        <v>7800000</v>
      </c>
      <c r="J6" s="28">
        <f t="shared" si="0"/>
        <v>621162049</v>
      </c>
      <c r="K6" s="29"/>
    </row>
    <row r="7" spans="1:11" s="30" customFormat="1" ht="36.75" customHeight="1">
      <c r="A7" s="31"/>
      <c r="B7" s="26"/>
      <c r="C7" s="32"/>
      <c r="D7" s="33"/>
      <c r="E7" s="33"/>
      <c r="F7" s="31"/>
      <c r="G7" s="33"/>
      <c r="H7" s="33"/>
      <c r="I7" s="34" t="s">
        <v>88</v>
      </c>
      <c r="J7" s="35">
        <f>J6</f>
        <v>621162049</v>
      </c>
      <c r="K7" s="29"/>
    </row>
    <row r="8" spans="1:11" s="30" customFormat="1" ht="36.75" customHeight="1">
      <c r="A8" s="31"/>
      <c r="E8" s="36"/>
      <c r="F8" s="37"/>
      <c r="G8" s="38"/>
      <c r="I8" s="34" t="s">
        <v>89</v>
      </c>
      <c r="J8" s="35">
        <f>J7*9%</f>
        <v>55904584.409999996</v>
      </c>
      <c r="K8" s="29"/>
    </row>
    <row r="9" spans="1:11" s="30" customFormat="1" ht="36.75" customHeight="1">
      <c r="A9" s="39"/>
      <c r="B9" s="40"/>
      <c r="C9" s="40"/>
      <c r="D9" s="40"/>
      <c r="E9" s="41"/>
      <c r="F9" s="33"/>
      <c r="G9" s="41"/>
      <c r="H9" s="42"/>
      <c r="I9" s="43" t="s">
        <v>87</v>
      </c>
      <c r="J9" s="28">
        <f>J7+J8</f>
        <v>677066633.40999997</v>
      </c>
      <c r="K9" s="41"/>
    </row>
    <row r="10" spans="1:11" ht="24">
      <c r="D10" s="44"/>
      <c r="E10" s="44"/>
      <c r="H10" s="45"/>
      <c r="I10" s="46"/>
      <c r="J10" s="47"/>
    </row>
    <row r="11" spans="1:11" ht="26.25">
      <c r="B11" s="48"/>
      <c r="C11" s="48"/>
      <c r="D11" s="48"/>
      <c r="E11" s="48"/>
      <c r="F11" s="48"/>
      <c r="G11" s="48"/>
      <c r="H11" s="48"/>
      <c r="I11" s="49"/>
      <c r="J11" s="49"/>
      <c r="K11" s="49"/>
    </row>
    <row r="13" spans="1:11" ht="15.75" thickBot="1"/>
    <row r="14" spans="1:11" ht="129.94999999999999" customHeight="1" thickBot="1">
      <c r="A14" s="50"/>
      <c r="B14" s="62" t="s">
        <v>90</v>
      </c>
      <c r="C14" s="63"/>
      <c r="D14" s="64"/>
      <c r="E14" s="62" t="s">
        <v>91</v>
      </c>
      <c r="F14" s="63"/>
      <c r="G14" s="64"/>
      <c r="H14" s="65" t="s">
        <v>92</v>
      </c>
      <c r="I14" s="66"/>
      <c r="J14" s="67"/>
      <c r="K14" s="51"/>
    </row>
  </sheetData>
  <mergeCells count="5">
    <mergeCell ref="B1:J1"/>
    <mergeCell ref="C6:D6"/>
    <mergeCell ref="B14:D14"/>
    <mergeCell ref="E14:G14"/>
    <mergeCell ref="H14:J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رفاهی </vt:lpstr>
      <vt:lpstr>توليد توسعه دارخوين مهر </vt:lpstr>
      <vt:lpstr>عیدی و سنوات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2016-11-21T10:47:38Z</cp:lastPrinted>
  <dcterms:created xsi:type="dcterms:W3CDTF">2016-10-29T13:57:16Z</dcterms:created>
  <dcterms:modified xsi:type="dcterms:W3CDTF">2016-11-21T10:48:23Z</dcterms:modified>
</cp:coreProperties>
</file>