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9720" activeTab="4"/>
  </bookViews>
  <sheets>
    <sheet name="خرداد دارخوين " sheetId="1" r:id="rId1"/>
    <sheet name="بیمه تکمیلی " sheetId="6" r:id="rId2"/>
    <sheet name="سنوات " sheetId="2" r:id="rId3"/>
    <sheet name="بازخرید مرخصی " sheetId="5" r:id="rId4"/>
    <sheet name="صورت وضعیت " sheetId="4" r:id="rId5"/>
  </sheets>
  <definedNames>
    <definedName name="_xlnm.Print_Area" localSheetId="4">'صورت وضعیت '!$A$1:$N$16</definedName>
  </definedNames>
  <calcPr calcId="144525"/>
</workbook>
</file>

<file path=xl/calcChain.xml><?xml version="1.0" encoding="utf-8"?>
<calcChain xmlns="http://schemas.openxmlformats.org/spreadsheetml/2006/main">
  <c r="N107" i="6" l="1"/>
  <c r="O107" i="6" s="1"/>
  <c r="J106" i="6"/>
  <c r="L105" i="6"/>
  <c r="L104" i="6"/>
  <c r="L103" i="6"/>
  <c r="L102" i="6"/>
  <c r="N102" i="6" s="1"/>
  <c r="L101" i="6"/>
  <c r="L100" i="6"/>
  <c r="L99" i="6"/>
  <c r="L98" i="6"/>
  <c r="L97" i="6"/>
  <c r="N97" i="6" s="1"/>
  <c r="L96" i="6"/>
  <c r="L95" i="6"/>
  <c r="L94" i="6"/>
  <c r="L93" i="6"/>
  <c r="L92" i="6"/>
  <c r="N92" i="6" s="1"/>
  <c r="L91" i="6"/>
  <c r="L90" i="6"/>
  <c r="L89" i="6"/>
  <c r="N88" i="6"/>
  <c r="L88" i="6"/>
  <c r="N87" i="6"/>
  <c r="L87" i="6"/>
  <c r="L86" i="6"/>
  <c r="L85" i="6"/>
  <c r="N85" i="6" s="1"/>
  <c r="L84" i="6"/>
  <c r="N84" i="6" s="1"/>
  <c r="L83" i="6"/>
  <c r="L82" i="6"/>
  <c r="L81" i="6"/>
  <c r="N80" i="6"/>
  <c r="L80" i="6"/>
  <c r="L79" i="6"/>
  <c r="L78" i="6"/>
  <c r="L77" i="6"/>
  <c r="L76" i="6"/>
  <c r="N76" i="6" s="1"/>
  <c r="L75" i="6"/>
  <c r="L74" i="6"/>
  <c r="L73" i="6"/>
  <c r="N72" i="6"/>
  <c r="L72" i="6"/>
  <c r="N71" i="6"/>
  <c r="L71" i="6"/>
  <c r="N70" i="6"/>
  <c r="L70" i="6"/>
  <c r="L69" i="6"/>
  <c r="L68" i="6"/>
  <c r="N67" i="6"/>
  <c r="L67" i="6"/>
  <c r="L66" i="6"/>
  <c r="L65" i="6"/>
  <c r="L64" i="6"/>
  <c r="L63" i="6"/>
  <c r="N63" i="6" s="1"/>
  <c r="L62" i="6"/>
  <c r="N61" i="6"/>
  <c r="L61" i="6"/>
  <c r="L60" i="6"/>
  <c r="L59" i="6"/>
  <c r="L58" i="6"/>
  <c r="L57" i="6"/>
  <c r="N56" i="6"/>
  <c r="L56" i="6"/>
  <c r="L55" i="6"/>
  <c r="L54" i="6"/>
  <c r="N54" i="6" s="1"/>
  <c r="L53" i="6"/>
  <c r="L52" i="6"/>
  <c r="L51" i="6"/>
  <c r="N51" i="6" s="1"/>
  <c r="L50" i="6"/>
  <c r="L49" i="6"/>
  <c r="L48" i="6"/>
  <c r="N47" i="6"/>
  <c r="L47" i="6"/>
  <c r="L46" i="6"/>
  <c r="L45" i="6"/>
  <c r="L44" i="6"/>
  <c r="L43" i="6"/>
  <c r="N42" i="6"/>
  <c r="L42" i="6"/>
  <c r="L41" i="6"/>
  <c r="L40" i="6"/>
  <c r="L39" i="6"/>
  <c r="L38" i="6"/>
  <c r="N38" i="6" s="1"/>
  <c r="L37" i="6"/>
  <c r="L36" i="6"/>
  <c r="L35" i="6"/>
  <c r="N35" i="6" s="1"/>
  <c r="L34" i="6"/>
  <c r="N33" i="6"/>
  <c r="L33" i="6"/>
  <c r="L32" i="6"/>
  <c r="L31" i="6"/>
  <c r="L30" i="6"/>
  <c r="L29" i="6"/>
  <c r="N29" i="6" s="1"/>
  <c r="L28" i="6"/>
  <c r="N27" i="6"/>
  <c r="L27" i="6"/>
  <c r="L26" i="6"/>
  <c r="L25" i="6"/>
  <c r="N25" i="6" s="1"/>
  <c r="L24" i="6"/>
  <c r="L23" i="6"/>
  <c r="L22" i="6"/>
  <c r="N22" i="6" s="1"/>
  <c r="L21" i="6"/>
  <c r="N20" i="6"/>
  <c r="L20" i="6"/>
  <c r="L19" i="6"/>
  <c r="L18" i="6"/>
  <c r="N17" i="6"/>
  <c r="L17" i="6"/>
  <c r="L16" i="6"/>
  <c r="L15" i="6"/>
  <c r="L14" i="6"/>
  <c r="L13" i="6"/>
  <c r="N13" i="6" s="1"/>
  <c r="L12" i="6"/>
  <c r="L11" i="6"/>
  <c r="L10" i="6"/>
  <c r="N9" i="6"/>
  <c r="L9" i="6"/>
  <c r="L8" i="6"/>
  <c r="L7" i="6"/>
  <c r="N7" i="6" s="1"/>
  <c r="L6" i="6"/>
  <c r="L5" i="6"/>
  <c r="L4" i="6"/>
  <c r="N4" i="6" s="1"/>
  <c r="L3" i="6"/>
  <c r="N2" i="6"/>
  <c r="L2" i="6"/>
  <c r="N106" i="6" l="1"/>
  <c r="N109" i="6" s="1"/>
  <c r="L106" i="6"/>
  <c r="L109" i="6" s="1"/>
  <c r="K6" i="4" l="1"/>
  <c r="K5" i="4"/>
  <c r="E13" i="5"/>
  <c r="L5" i="4"/>
  <c r="I5" i="4" l="1"/>
  <c r="I6" i="4" s="1"/>
  <c r="H5" i="4"/>
  <c r="H6" i="4" s="1"/>
  <c r="F5" i="4"/>
  <c r="F6" i="4" s="1"/>
  <c r="E5" i="4"/>
  <c r="E6" i="4" s="1"/>
  <c r="J6" i="4" l="1"/>
  <c r="G6" i="4"/>
  <c r="L6" i="4" l="1"/>
  <c r="M5" i="4" l="1"/>
  <c r="M6" i="4" s="1"/>
  <c r="M7" i="4" s="1"/>
  <c r="M8" i="4" l="1"/>
  <c r="M9" i="4" s="1"/>
  <c r="I49" i="2" l="1"/>
  <c r="L49" i="2"/>
  <c r="M49" i="2"/>
  <c r="N49" i="2"/>
  <c r="L3" i="2"/>
  <c r="M3" i="2" s="1"/>
  <c r="N3" i="2"/>
  <c r="L4" i="2"/>
  <c r="M4" i="2"/>
  <c r="N4" i="2"/>
  <c r="L5" i="2"/>
  <c r="M5" i="2" s="1"/>
  <c r="N5" i="2"/>
  <c r="L6" i="2"/>
  <c r="M6" i="2"/>
  <c r="N6" i="2"/>
  <c r="L7" i="2"/>
  <c r="M7" i="2" s="1"/>
  <c r="N7" i="2"/>
  <c r="L8" i="2"/>
  <c r="M8" i="2"/>
  <c r="N8" i="2"/>
  <c r="L9" i="2"/>
  <c r="M9" i="2" s="1"/>
  <c r="N9" i="2"/>
  <c r="L10" i="2"/>
  <c r="M10" i="2"/>
  <c r="N10" i="2"/>
  <c r="L11" i="2"/>
  <c r="M11" i="2" s="1"/>
  <c r="N11" i="2"/>
  <c r="L12" i="2"/>
  <c r="M12" i="2"/>
  <c r="N12" i="2"/>
  <c r="L13" i="2"/>
  <c r="M13" i="2" s="1"/>
  <c r="N13" i="2"/>
  <c r="L14" i="2"/>
  <c r="M14" i="2"/>
  <c r="N14" i="2"/>
  <c r="L15" i="2"/>
  <c r="M15" i="2" s="1"/>
  <c r="N15" i="2"/>
  <c r="L16" i="2"/>
  <c r="M16" i="2"/>
  <c r="N16" i="2"/>
  <c r="L17" i="2"/>
  <c r="M17" i="2" s="1"/>
  <c r="N17" i="2"/>
  <c r="L18" i="2"/>
  <c r="M18" i="2"/>
  <c r="N18" i="2"/>
  <c r="L19" i="2"/>
  <c r="M19" i="2" s="1"/>
  <c r="N19" i="2"/>
  <c r="L20" i="2"/>
  <c r="M20" i="2"/>
  <c r="N20" i="2"/>
  <c r="L21" i="2"/>
  <c r="M21" i="2" s="1"/>
  <c r="N21" i="2"/>
  <c r="L22" i="2"/>
  <c r="M22" i="2"/>
  <c r="N22" i="2"/>
  <c r="L23" i="2"/>
  <c r="M23" i="2" s="1"/>
  <c r="N23" i="2"/>
  <c r="L24" i="2"/>
  <c r="M24" i="2"/>
  <c r="N24" i="2"/>
  <c r="L25" i="2"/>
  <c r="M25" i="2" s="1"/>
  <c r="N25" i="2"/>
  <c r="L26" i="2"/>
  <c r="M26" i="2"/>
  <c r="N26" i="2"/>
  <c r="L27" i="2"/>
  <c r="M27" i="2" s="1"/>
  <c r="N27" i="2"/>
  <c r="L28" i="2"/>
  <c r="M28" i="2"/>
  <c r="N28" i="2"/>
  <c r="L29" i="2"/>
  <c r="M29" i="2" s="1"/>
  <c r="N29" i="2"/>
  <c r="L30" i="2"/>
  <c r="M30" i="2"/>
  <c r="N30" i="2"/>
  <c r="L31" i="2"/>
  <c r="N31" i="2" s="1"/>
  <c r="L32" i="2"/>
  <c r="M32" i="2"/>
  <c r="N32" i="2"/>
  <c r="L33" i="2"/>
  <c r="M33" i="2" s="1"/>
  <c r="L34" i="2"/>
  <c r="M34" i="2"/>
  <c r="N34" i="2"/>
  <c r="L35" i="2"/>
  <c r="M35" i="2" s="1"/>
  <c r="L36" i="2"/>
  <c r="M36" i="2"/>
  <c r="N36" i="2"/>
  <c r="L37" i="2"/>
  <c r="M37" i="2" s="1"/>
  <c r="L38" i="2"/>
  <c r="M38" i="2"/>
  <c r="N38" i="2"/>
  <c r="L39" i="2"/>
  <c r="M39" i="2" s="1"/>
  <c r="L40" i="2"/>
  <c r="M40" i="2"/>
  <c r="N40" i="2"/>
  <c r="L41" i="2"/>
  <c r="M41" i="2" s="1"/>
  <c r="L42" i="2"/>
  <c r="M42" i="2"/>
  <c r="N42" i="2"/>
  <c r="L43" i="2"/>
  <c r="M43" i="2" s="1"/>
  <c r="L44" i="2"/>
  <c r="M44" i="2"/>
  <c r="N44" i="2"/>
  <c r="L45" i="2"/>
  <c r="N45" i="2" s="1"/>
  <c r="L46" i="2"/>
  <c r="M46" i="2"/>
  <c r="N46" i="2"/>
  <c r="L47" i="2"/>
  <c r="N47" i="2" s="1"/>
  <c r="L48" i="2"/>
  <c r="M48" i="2"/>
  <c r="N48" i="2"/>
  <c r="N2" i="2"/>
  <c r="M2" i="2"/>
  <c r="L2" i="2"/>
  <c r="D49" i="2"/>
  <c r="E49" i="2"/>
  <c r="F49" i="2"/>
  <c r="G49" i="2"/>
  <c r="H49" i="2"/>
  <c r="J49" i="2"/>
  <c r="K49" i="2"/>
  <c r="AI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D49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N43" i="2" l="1"/>
  <c r="N41" i="2"/>
  <c r="N39" i="2"/>
  <c r="N37" i="2"/>
  <c r="N35" i="2"/>
  <c r="N33" i="2"/>
  <c r="M47" i="2"/>
  <c r="M45" i="2"/>
  <c r="M31" i="2"/>
</calcChain>
</file>

<file path=xl/sharedStrings.xml><?xml version="1.0" encoding="utf-8"?>
<sst xmlns="http://schemas.openxmlformats.org/spreadsheetml/2006/main" count="917" uniqueCount="408">
  <si>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</si>
  <si>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</si>
  <si>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</si>
  <si>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</si>
  <si>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</si>
  <si>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</si>
  <si>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ماموريت</t>
  </si>
  <si>
    <t>حق اولأد</t>
  </si>
  <si>
    <t>حق مسكن</t>
  </si>
  <si>
    <t>بن کارگري</t>
  </si>
  <si>
    <t>حق ناهار</t>
  </si>
  <si>
    <t>حق پرتو کاري</t>
  </si>
  <si>
    <t>اياب وذهاب</t>
  </si>
  <si>
    <t>تفاوت تطبيق</t>
  </si>
  <si>
    <t>مزد شغل</t>
  </si>
  <si>
    <t>مزد رتبه</t>
  </si>
  <si>
    <t>مزد سنوات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</si>
  <si>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</si>
  <si>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</si>
  <si>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</si>
  <si>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</si>
  <si>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</si>
  <si>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</si>
  <si>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</si>
  <si>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</si>
  <si>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</si>
  <si>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</si>
  <si>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</si>
  <si>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</si>
  <si>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</si>
  <si>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</si>
  <si>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</si>
  <si>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</si>
  <si>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عمروحادثه</t>
  </si>
  <si>
    <t xml:space="preserve"> مبلغ قسط بيمه ايران شرکت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</si>
  <si>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</si>
  <si>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</si>
  <si>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</si>
  <si>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</si>
  <si>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</si>
  <si>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حق پرتو کاري</t>
  </si>
  <si>
    <t xml:space="preserve"> مبلغ در حكم مزد سنوات</t>
  </si>
  <si>
    <t xml:space="preserve"> مبلغ در حكم تفاوت تطبيق</t>
  </si>
  <si>
    <t>9157041</t>
  </si>
  <si>
    <t>عيد آسماني</t>
  </si>
  <si>
    <t>توليد توسعه - دارخوين</t>
  </si>
  <si>
    <t>9157042</t>
  </si>
  <si>
    <t>کاظم آل بالدي</t>
  </si>
  <si>
    <t>9157043</t>
  </si>
  <si>
    <t>عبداله البوبالد</t>
  </si>
  <si>
    <t>9157044</t>
  </si>
  <si>
    <t>سعيد ال بوبالدي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</si>
  <si>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</si>
  <si>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</si>
  <si>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</si>
  <si>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</si>
  <si>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</si>
  <si>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</si>
  <si>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9157048</t>
  </si>
  <si>
    <t>مني اسمي زاده</t>
  </si>
  <si>
    <t>9157049</t>
  </si>
  <si>
    <t>عبدالامام بالدي</t>
  </si>
  <si>
    <t>9157050</t>
  </si>
  <si>
    <t>حسين باوي</t>
  </si>
  <si>
    <t>9157051</t>
  </si>
  <si>
    <t>عاصي باوي</t>
  </si>
  <si>
    <t>9157052</t>
  </si>
  <si>
    <t>ناصر باوي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</si>
  <si>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</si>
  <si>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</si>
  <si>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</si>
  <si>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</si>
  <si>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</si>
  <si>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</si>
  <si>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9157056</t>
  </si>
  <si>
    <t>سعيد بدوي</t>
  </si>
  <si>
    <t>9157057</t>
  </si>
  <si>
    <t>عباس بدوي</t>
  </si>
  <si>
    <t>9157058</t>
  </si>
  <si>
    <t>طاهر پورحزبه</t>
  </si>
  <si>
    <t>9157059</t>
  </si>
  <si>
    <t>رحمه سياحي</t>
  </si>
  <si>
    <t>9157060</t>
  </si>
  <si>
    <t>مرد سياحي</t>
  </si>
  <si>
    <t>9157062</t>
  </si>
  <si>
    <t>حسن عسگري</t>
  </si>
  <si>
    <t>9157063</t>
  </si>
  <si>
    <t>حسين عسگري</t>
  </si>
  <si>
    <t>9157065</t>
  </si>
  <si>
    <t>رحيم عقباوي</t>
  </si>
  <si>
    <t>9157066</t>
  </si>
  <si>
    <t>جمشيد فرحانيان</t>
  </si>
  <si>
    <t>9157067</t>
  </si>
  <si>
    <t>کريم فرحانيان</t>
  </si>
  <si>
    <t>9157068</t>
  </si>
  <si>
    <t>مجتبي قنواتي زاده</t>
  </si>
  <si>
    <t>9157069</t>
  </si>
  <si>
    <t>رضا محمدحسيني</t>
  </si>
  <si>
    <t>9157070</t>
  </si>
  <si>
    <t>فاضل مقدم</t>
  </si>
  <si>
    <t>9157071</t>
  </si>
  <si>
    <t>بابک موسوي</t>
  </si>
  <si>
    <t>9157072</t>
  </si>
  <si>
    <t>محمدامين نادري</t>
  </si>
  <si>
    <t>9157073</t>
  </si>
  <si>
    <t>حسين ناصري کريموند</t>
  </si>
  <si>
    <t>9157075</t>
  </si>
  <si>
    <t>علي پورحزبه</t>
  </si>
  <si>
    <t>9157076</t>
  </si>
  <si>
    <t>عبدالامير جاسمي</t>
  </si>
  <si>
    <t>9157077</t>
  </si>
  <si>
    <t>جاسم جامدي باوي</t>
  </si>
  <si>
    <t>9157078</t>
  </si>
  <si>
    <t>عادل جبارزاده</t>
  </si>
  <si>
    <t>9157079</t>
  </si>
  <si>
    <t>مزعل جليزي</t>
  </si>
  <si>
    <t>9157080</t>
  </si>
  <si>
    <t>احمد جميلي</t>
  </si>
  <si>
    <t>9157081</t>
  </si>
  <si>
    <t>فهد چاملي</t>
  </si>
  <si>
    <t>9157082</t>
  </si>
  <si>
    <t>حاتم حرساني طغري</t>
  </si>
  <si>
    <t>9157083</t>
  </si>
  <si>
    <t>راحله حسيني انصاري</t>
  </si>
  <si>
    <t>9157084</t>
  </si>
  <si>
    <t>ايوب حويزاوي</t>
  </si>
  <si>
    <t>9157086</t>
  </si>
  <si>
    <t>ابراهيم خضيراوي</t>
  </si>
  <si>
    <t>9157087</t>
  </si>
  <si>
    <t>حسين خنفري</t>
  </si>
  <si>
    <t>9157089</t>
  </si>
  <si>
    <t>منصور خنفري راد</t>
  </si>
  <si>
    <t>9157090</t>
  </si>
  <si>
    <t>جميل زرگاني</t>
  </si>
  <si>
    <t>9157091</t>
  </si>
  <si>
    <t>علي ساري</t>
  </si>
  <si>
    <t>9157092</t>
  </si>
  <si>
    <t>جهاد سياحي</t>
  </si>
  <si>
    <t xml:space="preserve">حکم حقوقی </t>
  </si>
  <si>
    <t xml:space="preserve">سنوات </t>
  </si>
  <si>
    <t xml:space="preserve">عیدی 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</si>
  <si>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</si>
  <si>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</si>
  <si>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</si>
  <si>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</si>
  <si>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</si>
  <si>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>رفاهیات شماره 2</t>
  </si>
  <si>
    <t xml:space="preserve">عیدی و پاداش </t>
  </si>
  <si>
    <t xml:space="preserve">رفاهیات </t>
  </si>
  <si>
    <t>سایر مزایا</t>
  </si>
  <si>
    <t xml:space="preserve">جمع کل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</si>
  <si>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</si>
  <si>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</si>
  <si>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</si>
  <si>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</si>
  <si>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خرداد </t>
  </si>
  <si>
    <t xml:space="preserve">گزارش صورت وضعیت خرداد ماه 94پرسنل شرکت تولید توسعه انرژی اتمی (دارخوین) </t>
  </si>
  <si>
    <t xml:space="preserve">بازخرید مرخصی </t>
  </si>
  <si>
    <t xml:space="preserve">کدپرسنلی </t>
  </si>
  <si>
    <t xml:space="preserve">نام و نام خانوادگی </t>
  </si>
  <si>
    <t xml:space="preserve">حسین عسگری </t>
  </si>
  <si>
    <t xml:space="preserve">راحله انصاری </t>
  </si>
  <si>
    <t xml:space="preserve">عصی باوی </t>
  </si>
  <si>
    <t xml:space="preserve">عبدالامیر جاسمی </t>
  </si>
  <si>
    <t xml:space="preserve">کریم فرحانیان </t>
  </si>
  <si>
    <t xml:space="preserve">منی اسمی زاده </t>
  </si>
  <si>
    <t xml:space="preserve">ناصر باوی </t>
  </si>
  <si>
    <t xml:space="preserve">لیست پرسنل مامور به تولید توسعه (دارخوین) بابت تسویه حساب در سال 94 </t>
  </si>
  <si>
    <t>رديف</t>
  </si>
  <si>
    <t>کد پرسنلی</t>
  </si>
  <si>
    <t>نام</t>
  </si>
  <si>
    <t>نام خانوادگی</t>
  </si>
  <si>
    <t>نام پدر</t>
  </si>
  <si>
    <t>تاریخ شروع پوشش</t>
  </si>
  <si>
    <t>تاریخ خاتمه پوشش</t>
  </si>
  <si>
    <t>مرکز هزینه</t>
  </si>
  <si>
    <t>نسبت</t>
  </si>
  <si>
    <t>تعداد افراد تحت پوشش</t>
  </si>
  <si>
    <t>مبلغ یک نفرسهم کارمند</t>
  </si>
  <si>
    <t>سهم کارمند یک ماه</t>
  </si>
  <si>
    <t>تعداد اقساط</t>
  </si>
  <si>
    <t>سهم کارمند یک سال</t>
  </si>
  <si>
    <t>عبدالامام</t>
  </si>
  <si>
    <t>بالدي</t>
  </si>
  <si>
    <t>سبحان</t>
  </si>
  <si>
    <t>1394/02/25</t>
  </si>
  <si>
    <t>1395/02/25</t>
  </si>
  <si>
    <t>سرپرست</t>
  </si>
  <si>
    <t>رضیه</t>
  </si>
  <si>
    <t>حميداوي</t>
  </si>
  <si>
    <t>یعقوب</t>
  </si>
  <si>
    <t>مادر</t>
  </si>
  <si>
    <t>عباس</t>
  </si>
  <si>
    <t>نافلي</t>
  </si>
  <si>
    <t>محمد</t>
  </si>
  <si>
    <t>تولید و توسعه - تهران</t>
  </si>
  <si>
    <t>شهلا</t>
  </si>
  <si>
    <t>مهدي زاده</t>
  </si>
  <si>
    <t>اسكندر</t>
  </si>
  <si>
    <t>نیلوفر</t>
  </si>
  <si>
    <t>محمدرضا</t>
  </si>
  <si>
    <t>طاعتي گرفمي</t>
  </si>
  <si>
    <t>علي اكبر</t>
  </si>
  <si>
    <t>سمیه</t>
  </si>
  <si>
    <t xml:space="preserve"> نجفي</t>
  </si>
  <si>
    <t>حجت اله</t>
  </si>
  <si>
    <t xml:space="preserve">حبیب اله </t>
  </si>
  <si>
    <t>نام آور دولان</t>
  </si>
  <si>
    <t>نور اله</t>
  </si>
  <si>
    <t>فرح ناز</t>
  </si>
  <si>
    <t>پور حسن حداديان</t>
  </si>
  <si>
    <t>سعد اله</t>
  </si>
  <si>
    <t>الناز</t>
  </si>
  <si>
    <t>حبيب اله</t>
  </si>
  <si>
    <t>زینب</t>
  </si>
  <si>
    <t>هاشم</t>
  </si>
  <si>
    <t>خانميرزائي</t>
  </si>
  <si>
    <t>محمد رضا</t>
  </si>
  <si>
    <t>معصومه</t>
  </si>
  <si>
    <t>مجرد</t>
  </si>
  <si>
    <t>عليرضا</t>
  </si>
  <si>
    <t>شایان</t>
  </si>
  <si>
    <t>ستایش</t>
  </si>
  <si>
    <t>روح اله</t>
  </si>
  <si>
    <t>رنجبر</t>
  </si>
  <si>
    <t>علي صفدر</t>
  </si>
  <si>
    <t>وصالي محمودي</t>
  </si>
  <si>
    <t>محمد اسماعيل</t>
  </si>
  <si>
    <t>رومینا</t>
  </si>
  <si>
    <t>غلامرضا</t>
  </si>
  <si>
    <t>اژدري نيک جه</t>
  </si>
  <si>
    <t>زلفعلي</t>
  </si>
  <si>
    <t>سهیلا</t>
  </si>
  <si>
    <t>عابدين زاده بقال خوش نقش</t>
  </si>
  <si>
    <t>خسرو</t>
  </si>
  <si>
    <t>میلاد</t>
  </si>
  <si>
    <t>بخشي</t>
  </si>
  <si>
    <t>خير علي</t>
  </si>
  <si>
    <t>پانیذ</t>
  </si>
  <si>
    <t>ميلاد</t>
  </si>
  <si>
    <t>فائضه السادات</t>
  </si>
  <si>
    <t>عباسي</t>
  </si>
  <si>
    <t>سيد محمد</t>
  </si>
  <si>
    <t>خانعلی</t>
  </si>
  <si>
    <t>خداشناس ماکلواني</t>
  </si>
  <si>
    <t>عزيز</t>
  </si>
  <si>
    <t>فاطمه</t>
  </si>
  <si>
    <t>ورديان</t>
  </si>
  <si>
    <t>وردي</t>
  </si>
  <si>
    <t>محبوب</t>
  </si>
  <si>
    <t>جعفري پردستي</t>
  </si>
  <si>
    <t>علي حيدر</t>
  </si>
  <si>
    <t>يوسف پور</t>
  </si>
  <si>
    <t>ارسلان</t>
  </si>
  <si>
    <t>حسین</t>
  </si>
  <si>
    <t>رستمي</t>
  </si>
  <si>
    <t>نادعلي</t>
  </si>
  <si>
    <t>صغری</t>
  </si>
  <si>
    <t>برجلو</t>
  </si>
  <si>
    <t>قربان علي</t>
  </si>
  <si>
    <t>امین</t>
  </si>
  <si>
    <t>حسين</t>
  </si>
  <si>
    <t>ریحانه</t>
  </si>
  <si>
    <t>بیت اله</t>
  </si>
  <si>
    <t>وحيدي</t>
  </si>
  <si>
    <t>ام البنین</t>
  </si>
  <si>
    <t>مهردخت</t>
  </si>
  <si>
    <t>عبد اله</t>
  </si>
  <si>
    <t>اسماعلیل</t>
  </si>
  <si>
    <t>حسن زاده</t>
  </si>
  <si>
    <t>خدابخش</t>
  </si>
  <si>
    <t>گروسي</t>
  </si>
  <si>
    <t>لطف اله</t>
  </si>
  <si>
    <t>حدیثه</t>
  </si>
  <si>
    <t>اسماعیل</t>
  </si>
  <si>
    <t>کورش</t>
  </si>
  <si>
    <t>روگشاي</t>
  </si>
  <si>
    <t>رضا</t>
  </si>
  <si>
    <t>پروانه</t>
  </si>
  <si>
    <t>پاهنگ</t>
  </si>
  <si>
    <t>ولي</t>
  </si>
  <si>
    <t>پارمیدا</t>
  </si>
  <si>
    <t>كورش</t>
  </si>
  <si>
    <t>علی</t>
  </si>
  <si>
    <t>بهرام</t>
  </si>
  <si>
    <t>صفريان بلقيس آباد</t>
  </si>
  <si>
    <t>علي</t>
  </si>
  <si>
    <t>مددي سيد لري</t>
  </si>
  <si>
    <t>غفار</t>
  </si>
  <si>
    <t>زهرا</t>
  </si>
  <si>
    <t>زهره</t>
  </si>
  <si>
    <t>رویا</t>
  </si>
  <si>
    <t>اصغر</t>
  </si>
  <si>
    <t>خدابخشي فر</t>
  </si>
  <si>
    <t>صفر</t>
  </si>
  <si>
    <t>چهاردولي اشاقي</t>
  </si>
  <si>
    <t>محمد حسن</t>
  </si>
  <si>
    <t>سارا</t>
  </si>
  <si>
    <t xml:space="preserve">سهیل </t>
  </si>
  <si>
    <t>عباسعلی</t>
  </si>
  <si>
    <t>سربندي فراهاني</t>
  </si>
  <si>
    <t>محمد حسين</t>
  </si>
  <si>
    <t>صدیقه</t>
  </si>
  <si>
    <t>درمنكي فراهاني</t>
  </si>
  <si>
    <t>دارستاني فراهاني</t>
  </si>
  <si>
    <t>صمد</t>
  </si>
  <si>
    <t>مرداني</t>
  </si>
  <si>
    <t>احد</t>
  </si>
  <si>
    <t>مهناز</t>
  </si>
  <si>
    <t>ايزدي سربنداني</t>
  </si>
  <si>
    <t>علی محمد</t>
  </si>
  <si>
    <t>قرباني</t>
  </si>
  <si>
    <t>غلامحسن</t>
  </si>
  <si>
    <t>مریم</t>
  </si>
  <si>
    <t>رسولپور</t>
  </si>
  <si>
    <t>صغري</t>
  </si>
  <si>
    <t>امیرعلی</t>
  </si>
  <si>
    <t>علي محمد</t>
  </si>
  <si>
    <t>قرباني پرديسي</t>
  </si>
  <si>
    <t>محمود علي</t>
  </si>
  <si>
    <t>پدر</t>
  </si>
  <si>
    <t>بتول</t>
  </si>
  <si>
    <t>رحيمي پركوه</t>
  </si>
  <si>
    <t>عيوض</t>
  </si>
  <si>
    <t>عیسی</t>
  </si>
  <si>
    <t>پور قلي كولانكوه</t>
  </si>
  <si>
    <t>عمو</t>
  </si>
  <si>
    <t>رفیقه</t>
  </si>
  <si>
    <t>سلطان حسيني</t>
  </si>
  <si>
    <t>سلطان علي</t>
  </si>
  <si>
    <t>اكبري</t>
  </si>
  <si>
    <t>ابراهيم</t>
  </si>
  <si>
    <t>ساره</t>
  </si>
  <si>
    <t>طالش كراتي</t>
  </si>
  <si>
    <t>هستی</t>
  </si>
  <si>
    <t>منصور</t>
  </si>
  <si>
    <t>خنفري راد</t>
  </si>
  <si>
    <t>رحيم</t>
  </si>
  <si>
    <t>تولید و توسعه - دارخوین</t>
  </si>
  <si>
    <t>سعیده</t>
  </si>
  <si>
    <t>آلبوخنفر</t>
  </si>
  <si>
    <t>عطيه</t>
  </si>
  <si>
    <t>وداي</t>
  </si>
  <si>
    <t>فهد</t>
  </si>
  <si>
    <t>چاملي</t>
  </si>
  <si>
    <t>فريح</t>
  </si>
  <si>
    <t>محمدحسيني</t>
  </si>
  <si>
    <t>حيدر</t>
  </si>
  <si>
    <t>طائی سميرمي</t>
  </si>
  <si>
    <t>اسفنديار</t>
  </si>
  <si>
    <t>ربابه</t>
  </si>
  <si>
    <t>طائي</t>
  </si>
  <si>
    <t>نرگس</t>
  </si>
  <si>
    <t>طائي سميرمي</t>
  </si>
  <si>
    <t>یونس</t>
  </si>
  <si>
    <t>مشهدي</t>
  </si>
  <si>
    <t>جواد</t>
  </si>
  <si>
    <t>حيدري</t>
  </si>
  <si>
    <t>محمود</t>
  </si>
  <si>
    <t>مجتبی</t>
  </si>
  <si>
    <t>نجفي پور خالكي</t>
  </si>
  <si>
    <t>مختار</t>
  </si>
  <si>
    <t>فدائي آشپز</t>
  </si>
  <si>
    <t>اسد اله</t>
  </si>
  <si>
    <t>مجتبي</t>
  </si>
  <si>
    <t>مبینا</t>
  </si>
  <si>
    <t>مسلمي</t>
  </si>
  <si>
    <t>بهادر</t>
  </si>
  <si>
    <t>اسلام دوست جامي</t>
  </si>
  <si>
    <t>در محمد</t>
  </si>
  <si>
    <t>آسیه</t>
  </si>
  <si>
    <t>مصطفی</t>
  </si>
  <si>
    <t>يزداني کچوئي</t>
  </si>
  <si>
    <t>عباس قلي</t>
  </si>
  <si>
    <t>هوشنگ</t>
  </si>
  <si>
    <t>حيدري نژاد</t>
  </si>
  <si>
    <t>مير حاجي</t>
  </si>
  <si>
    <t>سیده</t>
  </si>
  <si>
    <t>شاهرخي</t>
  </si>
  <si>
    <t>مهدی</t>
  </si>
  <si>
    <t>مینا</t>
  </si>
  <si>
    <t>شعبانيان</t>
  </si>
  <si>
    <t>کلثوم</t>
  </si>
  <si>
    <t>رضوان طلب</t>
  </si>
  <si>
    <t>کبری</t>
  </si>
  <si>
    <t>چاكي سخت سر</t>
  </si>
  <si>
    <t>سعید</t>
  </si>
  <si>
    <t>کریمی</t>
  </si>
  <si>
    <t>طاهره</t>
  </si>
  <si>
    <t>زرنوشه فراهانی</t>
  </si>
  <si>
    <t>محمد علي</t>
  </si>
  <si>
    <t>دس</t>
  </si>
  <si>
    <t>سعيد</t>
  </si>
  <si>
    <t>ایلیا</t>
  </si>
  <si>
    <t>گودرزی</t>
  </si>
  <si>
    <t>حاجي علي</t>
  </si>
  <si>
    <t xml:space="preserve">کاظم </t>
  </si>
  <si>
    <t>خانمیرزایی</t>
  </si>
  <si>
    <t xml:space="preserve">محمد رضا </t>
  </si>
  <si>
    <t>علیرضا</t>
  </si>
  <si>
    <t xml:space="preserve">علی  </t>
  </si>
  <si>
    <t>پویا</t>
  </si>
  <si>
    <t>جمع کل</t>
  </si>
  <si>
    <t>1394/04/18</t>
  </si>
  <si>
    <t>امیر محمد</t>
  </si>
  <si>
    <t>فرزند</t>
  </si>
  <si>
    <t>بازخرید مرخصی (روز)</t>
  </si>
  <si>
    <t xml:space="preserve">مبلغ (ریال)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</si>
</sst>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(\-;[Red]#,##0\-\)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b/>
      <sz val="12"/>
      <color rgb="FFFF0000"/>
      <name val="Calibri"/>
      <family val="2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2"/>
      <color rgb="FFFF0000"/>
      <name val="Tahoma"/>
      <family val="2"/>
    </font>
    <font>
      <sz val="12"/>
      <name val="B Zar"/>
      <charset val="178"/>
    </font>
    <font>
      <sz val="12"/>
      <color theme="1"/>
      <name val="B Zar"/>
      <charset val="178"/>
    </font>
    <font>
      <sz val="11"/>
      <color theme="1"/>
      <name val="B Zar"/>
      <charset val="178"/>
    </font>
    <font>
      <sz val="12"/>
      <color rgb="FFFF0000"/>
      <name val="B Zar"/>
      <charset val="178"/>
    </font>
    <font>
      <sz val="11"/>
      <color rgb="FFFF0000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NumberFormat="1" applyFont="1"/>
    <xf numFmtId="0" fontId="2" fillId="0" borderId="0" xfId="0" applyFont="1"/>
    <xf numFmtId="0" fontId="3" fillId="0" borderId="0" xfId="0" applyFont="1"/>
    <xf numFmtId="164" fontId="5" fillId="0" borderId="0" xfId="1" applyNumberFormat="1" applyFont="1"/>
    <xf numFmtId="164" fontId="0" fillId="0" borderId="0" xfId="1" applyNumberFormat="1" applyFont="1"/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left" vertical="center"/>
    </xf>
    <xf numFmtId="3" fontId="12" fillId="0" borderId="12" xfId="0" applyNumberFormat="1" applyFont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2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164" fontId="2" fillId="0" borderId="0" xfId="1" applyNumberFormat="1" applyFont="1"/>
    <xf numFmtId="164" fontId="6" fillId="0" borderId="21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8" fillId="0" borderId="21" xfId="1" applyNumberFormat="1" applyFont="1" applyBorder="1" applyAlignment="1">
      <alignment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164" fontId="16" fillId="0" borderId="0" xfId="1" applyNumberFormat="1" applyFont="1"/>
    <xf numFmtId="0" fontId="17" fillId="3" borderId="21" xfId="0" applyFont="1" applyFill="1" applyBorder="1" applyAlignment="1">
      <alignment horizontal="center" vertical="center" wrapText="1" shrinkToFit="1"/>
    </xf>
    <xf numFmtId="1" fontId="17" fillId="3" borderId="21" xfId="0" applyNumberFormat="1" applyFont="1" applyFill="1" applyBorder="1" applyAlignment="1">
      <alignment horizontal="center" vertical="center" wrapText="1" shrinkToFit="1"/>
    </xf>
    <xf numFmtId="164" fontId="17" fillId="3" borderId="21" xfId="1" applyNumberFormat="1" applyFont="1" applyFill="1" applyBorder="1" applyAlignment="1">
      <alignment horizontal="center" vertical="center" wrapText="1" shrinkToFit="1"/>
    </xf>
    <xf numFmtId="164" fontId="17" fillId="3" borderId="21" xfId="1" applyNumberFormat="1" applyFont="1" applyFill="1" applyBorder="1" applyAlignment="1">
      <alignment wrapText="1" shrinkToFit="1"/>
    </xf>
    <xf numFmtId="0" fontId="0" fillId="0" borderId="0" xfId="0" applyAlignment="1">
      <alignment wrapText="1"/>
    </xf>
    <xf numFmtId="0" fontId="17" fillId="2" borderId="21" xfId="0" applyFont="1" applyFill="1" applyBorder="1" applyAlignment="1">
      <alignment horizontal="center" vertical="center" shrinkToFit="1"/>
    </xf>
    <xf numFmtId="0" fontId="17" fillId="4" borderId="21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/>
    </xf>
    <xf numFmtId="49" fontId="18" fillId="4" borderId="21" xfId="0" applyNumberFormat="1" applyFont="1" applyFill="1" applyBorder="1" applyAlignment="1">
      <alignment horizontal="center"/>
    </xf>
    <xf numFmtId="164" fontId="19" fillId="4" borderId="21" xfId="1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164" fontId="19" fillId="2" borderId="21" xfId="1" applyNumberFormat="1" applyFont="1" applyFill="1" applyBorder="1" applyAlignment="1">
      <alignment horizontal="center" vertical="center"/>
    </xf>
    <xf numFmtId="164" fontId="19" fillId="0" borderId="21" xfId="1" applyNumberFormat="1" applyFont="1" applyBorder="1" applyAlignment="1">
      <alignment horizontal="center" vertical="center"/>
    </xf>
    <xf numFmtId="164" fontId="0" fillId="0" borderId="21" xfId="1" applyNumberFormat="1" applyFont="1" applyBorder="1"/>
    <xf numFmtId="0" fontId="17" fillId="0" borderId="21" xfId="0" applyFont="1" applyFill="1" applyBorder="1" applyAlignment="1">
      <alignment horizontal="center" vertical="center" shrinkToFit="1"/>
    </xf>
    <xf numFmtId="0" fontId="20" fillId="4" borderId="21" xfId="0" applyFont="1" applyFill="1" applyBorder="1" applyAlignment="1">
      <alignment horizontal="center" vertical="center" shrinkToFit="1"/>
    </xf>
    <xf numFmtId="0" fontId="20" fillId="4" borderId="21" xfId="0" applyFont="1" applyFill="1" applyBorder="1" applyAlignment="1">
      <alignment horizontal="center"/>
    </xf>
    <xf numFmtId="164" fontId="21" fillId="4" borderId="21" xfId="1" applyNumberFormat="1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 shrinkToFit="1"/>
    </xf>
    <xf numFmtId="1" fontId="17" fillId="2" borderId="21" xfId="0" applyNumberFormat="1" applyFont="1" applyFill="1" applyBorder="1" applyAlignment="1">
      <alignment horizontal="center" vertical="center" shrinkToFit="1"/>
    </xf>
    <xf numFmtId="164" fontId="19" fillId="6" borderId="20" xfId="1" applyNumberFormat="1" applyFont="1" applyFill="1" applyBorder="1" applyAlignment="1">
      <alignment horizontal="center" vertical="center"/>
    </xf>
    <xf numFmtId="164" fontId="19" fillId="6" borderId="9" xfId="1" applyNumberFormat="1" applyFont="1" applyFill="1" applyBorder="1" applyAlignment="1">
      <alignment horizontal="center" vertical="center"/>
    </xf>
    <xf numFmtId="164" fontId="0" fillId="2" borderId="21" xfId="1" applyNumberFormat="1" applyFont="1" applyFill="1" applyBorder="1" applyAlignment="1">
      <alignment horizontal="center"/>
    </xf>
    <xf numFmtId="164" fontId="17" fillId="0" borderId="21" xfId="1" applyNumberFormat="1" applyFont="1" applyFill="1" applyBorder="1" applyAlignment="1">
      <alignment shrinkToFit="1"/>
    </xf>
    <xf numFmtId="0" fontId="0" fillId="2" borderId="0" xfId="0" applyFill="1"/>
    <xf numFmtId="0" fontId="0" fillId="0" borderId="21" xfId="0" applyBorder="1"/>
    <xf numFmtId="0" fontId="0" fillId="7" borderId="21" xfId="0" applyFill="1" applyBorder="1"/>
    <xf numFmtId="164" fontId="0" fillId="7" borderId="21" xfId="1" applyNumberFormat="1" applyFont="1" applyFill="1" applyBorder="1"/>
    <xf numFmtId="164" fontId="19" fillId="7" borderId="21" xfId="1" applyNumberFormat="1" applyFont="1" applyFill="1" applyBorder="1" applyAlignment="1">
      <alignment horizontal="center" vertical="center"/>
    </xf>
    <xf numFmtId="164" fontId="0" fillId="7" borderId="0" xfId="1" applyNumberFormat="1" applyFont="1" applyFill="1"/>
    <xf numFmtId="0" fontId="6" fillId="0" borderId="21" xfId="1" applyNumberFormat="1" applyFont="1" applyBorder="1" applyAlignment="1">
      <alignment vertical="center"/>
    </xf>
    <xf numFmtId="164" fontId="6" fillId="0" borderId="21" xfId="1" applyNumberFormat="1" applyFont="1" applyBorder="1" applyAlignment="1">
      <alignment horizontal="center" vertical="center" wrapText="1"/>
    </xf>
    <xf numFmtId="164" fontId="6" fillId="0" borderId="21" xfId="1" applyNumberFormat="1" applyFont="1" applyBorder="1" applyAlignment="1">
      <alignment horizontal="right" vertical="center" wrapText="1"/>
    </xf>
    <xf numFmtId="164" fontId="0" fillId="6" borderId="25" xfId="1" applyNumberFormat="1" applyFont="1" applyFill="1" applyBorder="1" applyAlignment="1">
      <alignment horizontal="center"/>
    </xf>
    <xf numFmtId="164" fontId="0" fillId="6" borderId="20" xfId="1" applyNumberFormat="1" applyFont="1" applyFill="1" applyBorder="1" applyAlignment="1">
      <alignment horizontal="center"/>
    </xf>
    <xf numFmtId="164" fontId="0" fillId="6" borderId="9" xfId="1" applyNumberFormat="1" applyFont="1" applyFill="1" applyBorder="1" applyAlignment="1">
      <alignment horizontal="center"/>
    </xf>
    <xf numFmtId="164" fontId="8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5" fillId="2" borderId="16" xfId="0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right" vertical="top" wrapText="1"/>
    </xf>
    <xf numFmtId="0" fontId="15" fillId="2" borderId="18" xfId="0" applyFont="1" applyFill="1" applyBorder="1" applyAlignment="1">
      <alignment horizontal="right" vertical="top" wrapText="1"/>
    </xf>
    <xf numFmtId="3" fontId="15" fillId="2" borderId="16" xfId="0" applyNumberFormat="1" applyFont="1" applyFill="1" applyBorder="1" applyAlignment="1">
      <alignment horizontal="right" vertical="top" wrapText="1"/>
    </xf>
    <xf numFmtId="3" fontId="15" fillId="2" borderId="17" xfId="0" applyNumberFormat="1" applyFont="1" applyFill="1" applyBorder="1" applyAlignment="1">
      <alignment horizontal="right" vertical="top" wrapText="1"/>
    </xf>
    <xf numFmtId="3" fontId="15" fillId="2" borderId="18" xfId="0" applyNumberFormat="1" applyFont="1" applyFill="1" applyBorder="1" applyAlignment="1">
      <alignment horizontal="right" vertical="top" wrapText="1"/>
    </xf>
    <xf numFmtId="3" fontId="9" fillId="0" borderId="22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rightToLeft="1" topLeftCell="M1" zoomScale="85" zoomScaleNormal="85" workbookViewId="0">
      <pane ySplit="1" topLeftCell="A28" activePane="bottomLeft" state="frozen"/>
      <selection pane="bottomLeft" activeCell="U52" sqref="A52:XFD52"/>
    </sheetView>
  </sheetViews>
  <sheetFormatPr defaultRowHeight="14.25"/>
  <cols>
    <col min="1" max="1" width="12.5703125" style="1" bestFit="1" customWidth="1"/>
    <col min="2" max="2" width="20.85546875" style="1" bestFit="1" customWidth="1"/>
    <col min="3" max="3" width="21" style="1" bestFit="1" customWidth="1"/>
    <col min="4" max="4" width="20.140625" style="1" bestFit="1" customWidth="1"/>
    <col min="5" max="5" width="16" style="1" bestFit="1" customWidth="1"/>
    <col min="6" max="6" width="18.28515625" style="1" bestFit="1" customWidth="1"/>
    <col min="7" max="7" width="14.5703125" style="1" bestFit="1" customWidth="1"/>
    <col min="8" max="8" width="19.7109375" style="1" bestFit="1" customWidth="1"/>
    <col min="9" max="9" width="18.28515625" style="1" bestFit="1" customWidth="1"/>
    <col min="10" max="13" width="19.7109375" style="1" bestFit="1" customWidth="1"/>
    <col min="14" max="14" width="18.28515625" style="1" bestFit="1" customWidth="1"/>
    <col min="15" max="15" width="21.140625" style="1" bestFit="1" customWidth="1"/>
    <col min="16" max="16" width="18.28515625" style="1" bestFit="1" customWidth="1"/>
    <col min="17" max="17" width="19.7109375" style="1" bestFit="1" customWidth="1"/>
    <col min="18" max="18" width="36.42578125" style="1" bestFit="1" customWidth="1"/>
    <col min="19" max="19" width="9.85546875" style="1" bestFit="1" customWidth="1"/>
    <col min="20" max="21" width="19.7109375" style="1" bestFit="1" customWidth="1"/>
    <col min="22" max="22" width="22.7109375" style="1" bestFit="1" customWidth="1"/>
    <col min="23" max="23" width="35.85546875" style="1" bestFit="1" customWidth="1"/>
    <col min="24" max="24" width="19.7109375" style="1" bestFit="1" customWidth="1"/>
    <col min="25" max="25" width="16" style="1" bestFit="1" customWidth="1"/>
    <col min="26" max="27" width="21.140625" style="62" bestFit="1" customWidth="1"/>
    <col min="28" max="28" width="21.140625" style="1" bestFit="1" customWidth="1"/>
    <col min="29" max="29" width="48.85546875" style="1" bestFit="1" customWidth="1"/>
    <col min="30" max="30" width="46.42578125" style="1" bestFit="1" customWidth="1"/>
    <col min="31" max="31" width="51.42578125" style="1" bestFit="1" customWidth="1"/>
    <col min="32" max="32" width="41.42578125" style="1" bestFit="1" customWidth="1"/>
    <col min="33" max="33" width="50.5703125" style="1" bestFit="1" customWidth="1"/>
    <col min="34" max="34" width="24.28515625" style="1" bestFit="1" customWidth="1"/>
    <col min="35" max="35" width="30.85546875" style="1" bestFit="1" customWidth="1"/>
    <col min="36" max="16384" width="9.140625" style="1"/>
  </cols>
  <sheetData>
    <row r="1" spans="1: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61" t="s">
        <v>25</v>
      </c>
      <c r="AA1" s="61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</row>
    <row r="2" spans="1:35">
      <c r="A2" s="1" t="str">
        <f>"9157041"</f>
        <v>9157041</v>
      </c>
      <c r="B2" s="1" t="str">
        <f>"عيد آسماني"</f>
        <v>عيد آسماني</v>
      </c>
      <c r="C2" s="1" t="str">
        <f t="shared" ref="C2:C48" si="0">"توليد توسعه - دارخوين"</f>
        <v>توليد توسعه - دارخوين</v>
      </c>
      <c r="D2" s="1">
        <v>0</v>
      </c>
      <c r="E2" s="1">
        <v>13640</v>
      </c>
      <c r="F2" s="1">
        <v>45867</v>
      </c>
      <c r="G2" s="1">
        <v>0</v>
      </c>
      <c r="H2" s="1">
        <v>0</v>
      </c>
      <c r="I2" s="1">
        <v>200000</v>
      </c>
      <c r="J2" s="1">
        <v>1700000</v>
      </c>
      <c r="K2" s="1">
        <v>1012000</v>
      </c>
      <c r="L2" s="1">
        <v>-741346</v>
      </c>
      <c r="M2" s="1">
        <v>960000</v>
      </c>
      <c r="N2" s="1">
        <v>-502205</v>
      </c>
      <c r="O2" s="1">
        <v>11188489</v>
      </c>
      <c r="P2" s="1">
        <v>0</v>
      </c>
      <c r="Q2" s="1">
        <v>1356410</v>
      </c>
      <c r="R2" s="1">
        <v>829304</v>
      </c>
      <c r="S2" s="1">
        <v>0</v>
      </c>
      <c r="T2" s="1">
        <v>0</v>
      </c>
      <c r="U2" s="1">
        <v>1057300</v>
      </c>
      <c r="V2" s="1">
        <v>650000</v>
      </c>
      <c r="W2" s="1">
        <v>2369443</v>
      </c>
      <c r="X2" s="1">
        <v>355418</v>
      </c>
      <c r="Y2" s="1">
        <v>13640</v>
      </c>
      <c r="Z2" s="62">
        <v>12682611</v>
      </c>
      <c r="AA2" s="62">
        <v>15219215</v>
      </c>
      <c r="AB2" s="1">
        <v>2536604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1057300</v>
      </c>
      <c r="AI2" s="1">
        <v>0</v>
      </c>
    </row>
    <row r="3" spans="1:35">
      <c r="A3" s="1" t="str">
        <f>"9157042"</f>
        <v>9157042</v>
      </c>
      <c r="B3" s="1" t="str">
        <f>"کاظم آل بالدي"</f>
        <v>کاظم آل بالدي</v>
      </c>
      <c r="C3" s="1" t="str">
        <f t="shared" si="0"/>
        <v>توليد توسعه - دارخوين</v>
      </c>
      <c r="D3" s="1">
        <v>0</v>
      </c>
      <c r="E3" s="1">
        <v>13640</v>
      </c>
      <c r="F3" s="1">
        <v>572516</v>
      </c>
      <c r="G3" s="1">
        <v>0</v>
      </c>
      <c r="H3" s="1">
        <v>3677820</v>
      </c>
      <c r="I3" s="1">
        <v>200000</v>
      </c>
      <c r="J3" s="1">
        <v>1700000</v>
      </c>
      <c r="K3" s="1">
        <v>1012000</v>
      </c>
      <c r="L3" s="1">
        <v>-1457550</v>
      </c>
      <c r="M3" s="1">
        <v>960000</v>
      </c>
      <c r="N3" s="1">
        <v>0</v>
      </c>
      <c r="O3" s="1">
        <v>13525052</v>
      </c>
      <c r="P3" s="1">
        <v>0</v>
      </c>
      <c r="Q3" s="1">
        <v>1430810</v>
      </c>
      <c r="R3" s="1">
        <v>1019958</v>
      </c>
      <c r="S3" s="1">
        <v>0</v>
      </c>
      <c r="T3" s="1">
        <v>382862</v>
      </c>
      <c r="U3" s="1">
        <v>2446188</v>
      </c>
      <c r="V3" s="1">
        <v>650000</v>
      </c>
      <c r="W3" s="1">
        <v>2914166</v>
      </c>
      <c r="X3" s="1">
        <v>437126</v>
      </c>
      <c r="Y3" s="1">
        <v>13640</v>
      </c>
      <c r="Z3" s="62">
        <v>17121640</v>
      </c>
      <c r="AA3" s="62">
        <v>21620648</v>
      </c>
      <c r="AB3" s="1">
        <v>4499008</v>
      </c>
      <c r="AC3" s="1">
        <v>1388888</v>
      </c>
      <c r="AD3" s="1">
        <v>43055528</v>
      </c>
      <c r="AE3" s="1">
        <v>6944472</v>
      </c>
      <c r="AF3" s="1">
        <v>50000000</v>
      </c>
      <c r="AG3" s="1">
        <v>50000000</v>
      </c>
      <c r="AH3" s="1">
        <v>1057300</v>
      </c>
      <c r="AI3" s="1">
        <v>0</v>
      </c>
    </row>
    <row r="4" spans="1:35">
      <c r="A4" s="1" t="str">
        <f>"9157043"</f>
        <v>9157043</v>
      </c>
      <c r="B4" s="1" t="str">
        <f>"عبداله البوبالد"</f>
        <v>عبداله البوبالد</v>
      </c>
      <c r="C4" s="1" t="str">
        <f t="shared" si="0"/>
        <v>توليد توسعه - دارخوين</v>
      </c>
      <c r="D4" s="1">
        <v>0</v>
      </c>
      <c r="E4" s="1">
        <v>13640</v>
      </c>
      <c r="F4" s="1">
        <v>87726</v>
      </c>
      <c r="G4" s="1">
        <v>0</v>
      </c>
      <c r="H4" s="1">
        <v>1838910</v>
      </c>
      <c r="I4" s="1">
        <v>200000</v>
      </c>
      <c r="J4" s="1">
        <v>1700000</v>
      </c>
      <c r="K4" s="1">
        <v>1012000</v>
      </c>
      <c r="L4" s="1">
        <v>-1545176</v>
      </c>
      <c r="M4" s="1">
        <v>960000</v>
      </c>
      <c r="N4" s="1">
        <v>0</v>
      </c>
      <c r="O4" s="1">
        <v>14303834</v>
      </c>
      <c r="P4" s="1">
        <v>0</v>
      </c>
      <c r="Q4" s="1">
        <v>1449410</v>
      </c>
      <c r="R4" s="1">
        <v>1035705</v>
      </c>
      <c r="S4" s="1">
        <v>0</v>
      </c>
      <c r="T4" s="1">
        <v>301940</v>
      </c>
      <c r="U4" s="1">
        <v>2446188</v>
      </c>
      <c r="V4" s="1">
        <v>650000</v>
      </c>
      <c r="W4" s="1">
        <v>2959159</v>
      </c>
      <c r="X4" s="1">
        <v>443874</v>
      </c>
      <c r="Y4" s="1">
        <v>13640</v>
      </c>
      <c r="Z4" s="62">
        <v>15572871</v>
      </c>
      <c r="AA4" s="62">
        <v>20006704</v>
      </c>
      <c r="AB4" s="1">
        <v>4433833</v>
      </c>
      <c r="AC4" s="1">
        <v>1388888</v>
      </c>
      <c r="AD4" s="1">
        <v>45833304</v>
      </c>
      <c r="AE4" s="1">
        <v>4166696</v>
      </c>
      <c r="AF4" s="1">
        <v>50000000</v>
      </c>
      <c r="AG4" s="1">
        <v>50000000</v>
      </c>
      <c r="AH4" s="1">
        <v>1057300</v>
      </c>
      <c r="AI4" s="1">
        <v>0</v>
      </c>
    </row>
    <row r="5" spans="1:35">
      <c r="A5" s="1" t="str">
        <f>"9157044"</f>
        <v>9157044</v>
      </c>
      <c r="B5" s="1" t="str">
        <f>"سعيد ال بوبالدي"</f>
        <v>سعيد ال بوبالدي</v>
      </c>
      <c r="C5" s="1" t="str">
        <f t="shared" si="0"/>
        <v>توليد توسعه - دارخوين</v>
      </c>
      <c r="D5" s="1">
        <v>0</v>
      </c>
      <c r="E5" s="1">
        <v>13640</v>
      </c>
      <c r="F5" s="1">
        <v>635403</v>
      </c>
      <c r="G5" s="1">
        <v>0</v>
      </c>
      <c r="H5" s="1">
        <v>4597275</v>
      </c>
      <c r="I5" s="1">
        <v>200000</v>
      </c>
      <c r="J5" s="1">
        <v>1700000</v>
      </c>
      <c r="K5" s="1">
        <v>1012000</v>
      </c>
      <c r="L5" s="1">
        <v>-1187922</v>
      </c>
      <c r="M5" s="1">
        <v>960000</v>
      </c>
      <c r="N5" s="1">
        <v>0</v>
      </c>
      <c r="O5" s="1">
        <v>12226989</v>
      </c>
      <c r="P5" s="1">
        <v>0</v>
      </c>
      <c r="Q5" s="1">
        <v>1393610</v>
      </c>
      <c r="R5" s="1">
        <v>949766</v>
      </c>
      <c r="S5" s="1">
        <v>0</v>
      </c>
      <c r="T5" s="1">
        <v>379700</v>
      </c>
      <c r="U5" s="1">
        <v>1057300</v>
      </c>
      <c r="V5" s="1">
        <v>0</v>
      </c>
      <c r="W5" s="1">
        <v>2713617</v>
      </c>
      <c r="X5" s="1">
        <v>407042</v>
      </c>
      <c r="Y5" s="1">
        <v>13640</v>
      </c>
      <c r="Z5" s="62">
        <v>19150589</v>
      </c>
      <c r="AA5" s="62">
        <v>21537355</v>
      </c>
      <c r="AB5" s="1">
        <v>2386766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1057300</v>
      </c>
      <c r="AI5" s="1">
        <v>0</v>
      </c>
    </row>
    <row r="6" spans="1:35">
      <c r="A6" s="1" t="str">
        <f>"9157045"</f>
        <v>9157045</v>
      </c>
      <c r="B6" s="1" t="str">
        <f>"شريف آلبوبالدي"</f>
        <v>شريف آلبوبالدي</v>
      </c>
      <c r="C6" s="1" t="str">
        <f t="shared" si="0"/>
        <v>توليد توسعه - دارخوين</v>
      </c>
      <c r="D6" s="1">
        <v>0</v>
      </c>
      <c r="E6" s="1">
        <v>13640</v>
      </c>
      <c r="F6" s="1">
        <v>136735</v>
      </c>
      <c r="G6" s="1">
        <v>0</v>
      </c>
      <c r="H6" s="1">
        <v>1838910</v>
      </c>
      <c r="I6" s="1">
        <v>200000</v>
      </c>
      <c r="J6" s="1">
        <v>1700000</v>
      </c>
      <c r="K6" s="1">
        <v>1012000</v>
      </c>
      <c r="L6" s="1">
        <v>-1104616</v>
      </c>
      <c r="M6" s="1">
        <v>960000</v>
      </c>
      <c r="N6" s="1">
        <v>0</v>
      </c>
      <c r="O6" s="1">
        <v>12226989</v>
      </c>
      <c r="P6" s="1">
        <v>0</v>
      </c>
      <c r="Q6" s="1">
        <v>1393610</v>
      </c>
      <c r="R6" s="1">
        <v>920690</v>
      </c>
      <c r="S6" s="1">
        <v>0</v>
      </c>
      <c r="T6" s="1">
        <v>221429</v>
      </c>
      <c r="U6" s="1">
        <v>1057300</v>
      </c>
      <c r="V6" s="1">
        <v>650000</v>
      </c>
      <c r="W6" s="1">
        <v>2630544</v>
      </c>
      <c r="X6" s="1">
        <v>394582</v>
      </c>
      <c r="Y6" s="1">
        <v>13640</v>
      </c>
      <c r="Z6" s="62">
        <v>15514209</v>
      </c>
      <c r="AA6" s="62">
        <v>18363628</v>
      </c>
      <c r="AB6" s="1">
        <v>2849419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1057300</v>
      </c>
      <c r="AI6" s="1">
        <v>0</v>
      </c>
    </row>
    <row r="7" spans="1:35">
      <c r="A7" s="1" t="str">
        <f>"9157046"</f>
        <v>9157046</v>
      </c>
      <c r="B7" s="1" t="str">
        <f>"يعقوب آلبوبالدي"</f>
        <v>يعقوب آلبوبالدي</v>
      </c>
      <c r="C7" s="1" t="str">
        <f t="shared" si="0"/>
        <v>توليد توسعه - دارخوين</v>
      </c>
      <c r="D7" s="1">
        <v>0</v>
      </c>
      <c r="E7" s="1">
        <v>13640</v>
      </c>
      <c r="F7" s="1">
        <v>0</v>
      </c>
      <c r="G7" s="1">
        <v>0</v>
      </c>
      <c r="H7" s="1">
        <v>2758365</v>
      </c>
      <c r="I7" s="1">
        <v>200000</v>
      </c>
      <c r="J7" s="1">
        <v>1700000</v>
      </c>
      <c r="K7" s="1">
        <v>1012000</v>
      </c>
      <c r="L7" s="1">
        <v>-1108242</v>
      </c>
      <c r="M7" s="1">
        <v>960000</v>
      </c>
      <c r="N7" s="1">
        <v>0</v>
      </c>
      <c r="O7" s="1">
        <v>14486021</v>
      </c>
      <c r="P7" s="1">
        <v>0</v>
      </c>
      <c r="Q7" s="1">
        <v>1505210</v>
      </c>
      <c r="R7" s="1">
        <v>1076810</v>
      </c>
      <c r="S7" s="1">
        <v>0</v>
      </c>
      <c r="T7" s="1">
        <v>376685</v>
      </c>
      <c r="U7" s="1">
        <v>1057300</v>
      </c>
      <c r="V7" s="1">
        <v>650000</v>
      </c>
      <c r="W7" s="1">
        <v>3076599</v>
      </c>
      <c r="X7" s="1">
        <v>461490</v>
      </c>
      <c r="Y7" s="1">
        <v>13640</v>
      </c>
      <c r="Z7" s="62">
        <v>18352559</v>
      </c>
      <c r="AA7" s="62">
        <v>21513354</v>
      </c>
      <c r="AB7" s="1">
        <v>3160795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1057300</v>
      </c>
      <c r="AI7" s="1">
        <v>0</v>
      </c>
    </row>
    <row r="8" spans="1:35">
      <c r="A8" s="1" t="str">
        <f>"9157047"</f>
        <v>9157047</v>
      </c>
      <c r="B8" s="1" t="str">
        <f>"محمد البوغبيش"</f>
        <v>محمد البوغبيش</v>
      </c>
      <c r="C8" s="1" t="str">
        <f t="shared" si="0"/>
        <v>توليد توسعه - دارخوين</v>
      </c>
      <c r="D8" s="1">
        <v>0</v>
      </c>
      <c r="E8" s="1">
        <v>13640</v>
      </c>
      <c r="F8" s="1">
        <v>119485</v>
      </c>
      <c r="G8" s="1">
        <v>0</v>
      </c>
      <c r="H8" s="1">
        <v>0</v>
      </c>
      <c r="I8" s="1">
        <v>200000</v>
      </c>
      <c r="J8" s="1">
        <v>1700000</v>
      </c>
      <c r="K8" s="1">
        <v>1012000</v>
      </c>
      <c r="L8" s="1">
        <v>-1032940</v>
      </c>
      <c r="M8" s="1">
        <v>960000</v>
      </c>
      <c r="N8" s="1">
        <v>0</v>
      </c>
      <c r="O8" s="1">
        <v>15861491</v>
      </c>
      <c r="P8" s="1">
        <v>0</v>
      </c>
      <c r="Q8" s="1">
        <v>1505210</v>
      </c>
      <c r="R8" s="1">
        <v>1186727</v>
      </c>
      <c r="S8" s="1">
        <v>0</v>
      </c>
      <c r="T8" s="1">
        <v>315709</v>
      </c>
      <c r="U8" s="1">
        <v>2418411</v>
      </c>
      <c r="V8" s="1">
        <v>650000</v>
      </c>
      <c r="W8" s="1">
        <v>3390650</v>
      </c>
      <c r="X8" s="1">
        <v>508598</v>
      </c>
      <c r="Y8" s="1">
        <v>13640</v>
      </c>
      <c r="Z8" s="62">
        <v>15754399</v>
      </c>
      <c r="AA8" s="62">
        <v>20325246</v>
      </c>
      <c r="AB8" s="1">
        <v>4570847</v>
      </c>
      <c r="AC8" s="1">
        <v>1361111</v>
      </c>
      <c r="AD8" s="1">
        <v>20416665</v>
      </c>
      <c r="AE8" s="1">
        <v>28583335</v>
      </c>
      <c r="AF8" s="1">
        <v>49000000</v>
      </c>
      <c r="AG8" s="1">
        <v>49000000</v>
      </c>
      <c r="AH8" s="1">
        <v>1057300</v>
      </c>
      <c r="AI8" s="1">
        <v>0</v>
      </c>
    </row>
    <row r="9" spans="1:35">
      <c r="A9" s="1" t="str">
        <f>"9157048"</f>
        <v>9157048</v>
      </c>
      <c r="B9" s="1" t="str">
        <f>"مني اسمي زاده"</f>
        <v>مني اسمي زاده</v>
      </c>
      <c r="C9" s="1" t="str">
        <f t="shared" si="0"/>
        <v>توليد توسعه - دارخوين</v>
      </c>
      <c r="D9" s="1">
        <v>0</v>
      </c>
      <c r="E9" s="1">
        <v>13640</v>
      </c>
      <c r="F9" s="1">
        <v>0</v>
      </c>
      <c r="G9" s="1">
        <v>0</v>
      </c>
      <c r="H9" s="1">
        <v>919455</v>
      </c>
      <c r="I9" s="1">
        <v>200000</v>
      </c>
      <c r="J9" s="1">
        <v>1700000</v>
      </c>
      <c r="K9" s="1">
        <v>1012000</v>
      </c>
      <c r="L9" s="1">
        <v>850971</v>
      </c>
      <c r="M9" s="1">
        <v>960000</v>
      </c>
      <c r="N9" s="1">
        <v>0</v>
      </c>
      <c r="O9" s="1">
        <v>15861491</v>
      </c>
      <c r="P9" s="1">
        <v>0</v>
      </c>
      <c r="Q9" s="1">
        <v>1505210</v>
      </c>
      <c r="R9" s="1">
        <v>1310236</v>
      </c>
      <c r="S9" s="1">
        <v>0</v>
      </c>
      <c r="T9" s="1">
        <v>448139</v>
      </c>
      <c r="U9" s="1">
        <v>1057300</v>
      </c>
      <c r="V9" s="1">
        <v>650000</v>
      </c>
      <c r="W9" s="1">
        <v>3743533</v>
      </c>
      <c r="X9" s="1">
        <v>561530</v>
      </c>
      <c r="Y9" s="1">
        <v>13640</v>
      </c>
      <c r="Z9" s="62">
        <v>19543452</v>
      </c>
      <c r="AA9" s="62">
        <v>23009127</v>
      </c>
      <c r="AB9" s="1">
        <v>3465675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1057300</v>
      </c>
      <c r="AI9" s="1">
        <v>0</v>
      </c>
    </row>
    <row r="10" spans="1:35">
      <c r="A10" s="1" t="str">
        <f>"9157049"</f>
        <v>9157049</v>
      </c>
      <c r="B10" s="1" t="str">
        <f>"عبدالامام بالدي"</f>
        <v>عبدالامام بالدي</v>
      </c>
      <c r="C10" s="1" t="str">
        <f t="shared" si="0"/>
        <v>توليد توسعه - دارخوين</v>
      </c>
      <c r="D10" s="1">
        <v>0</v>
      </c>
      <c r="E10" s="1">
        <v>13640</v>
      </c>
      <c r="F10" s="1">
        <v>0</v>
      </c>
      <c r="G10" s="1">
        <v>0</v>
      </c>
      <c r="H10" s="1">
        <v>0</v>
      </c>
      <c r="I10" s="1">
        <v>200000</v>
      </c>
      <c r="J10" s="1">
        <v>1700000</v>
      </c>
      <c r="K10" s="1">
        <v>1012000</v>
      </c>
      <c r="L10" s="1">
        <v>-986118</v>
      </c>
      <c r="M10" s="1">
        <v>960000</v>
      </c>
      <c r="N10" s="1">
        <v>0</v>
      </c>
      <c r="O10" s="1">
        <v>14303834</v>
      </c>
      <c r="P10" s="1">
        <v>0</v>
      </c>
      <c r="Q10" s="1">
        <v>1449410</v>
      </c>
      <c r="R10" s="1">
        <v>1068699</v>
      </c>
      <c r="S10" s="1">
        <v>0</v>
      </c>
      <c r="T10" s="1">
        <v>233090</v>
      </c>
      <c r="U10" s="1">
        <v>3316188</v>
      </c>
      <c r="V10" s="1">
        <v>650000</v>
      </c>
      <c r="W10" s="1">
        <v>3053426</v>
      </c>
      <c r="X10" s="1">
        <v>458014</v>
      </c>
      <c r="Y10" s="1">
        <v>13640</v>
      </c>
      <c r="Z10" s="62">
        <v>13371149</v>
      </c>
      <c r="AA10" s="62">
        <v>18639126</v>
      </c>
      <c r="AB10" s="1">
        <v>5267977</v>
      </c>
      <c r="AC10" s="1">
        <v>1388888</v>
      </c>
      <c r="AD10" s="1">
        <v>20833320</v>
      </c>
      <c r="AE10" s="1">
        <v>29166680</v>
      </c>
      <c r="AF10" s="1">
        <v>50000000</v>
      </c>
      <c r="AG10" s="1">
        <v>50000000</v>
      </c>
      <c r="AH10" s="1">
        <v>1057300</v>
      </c>
      <c r="AI10" s="1">
        <v>870000</v>
      </c>
    </row>
    <row r="11" spans="1:35">
      <c r="A11" s="1" t="str">
        <f>"9157050"</f>
        <v>9157050</v>
      </c>
      <c r="B11" s="1" t="str">
        <f>"حسين باوي"</f>
        <v>حسين باوي</v>
      </c>
      <c r="C11" s="1" t="str">
        <f t="shared" si="0"/>
        <v>توليد توسعه - دارخوين</v>
      </c>
      <c r="D11" s="1">
        <v>0</v>
      </c>
      <c r="E11" s="1">
        <v>13640</v>
      </c>
      <c r="F11" s="1">
        <v>128041</v>
      </c>
      <c r="G11" s="1">
        <v>0</v>
      </c>
      <c r="H11" s="1">
        <v>3677820</v>
      </c>
      <c r="I11" s="1">
        <v>200000</v>
      </c>
      <c r="J11" s="1">
        <v>1700000</v>
      </c>
      <c r="K11" s="1">
        <v>1012000</v>
      </c>
      <c r="L11" s="1">
        <v>-1424466</v>
      </c>
      <c r="M11" s="1">
        <v>960000</v>
      </c>
      <c r="N11" s="1">
        <v>0</v>
      </c>
      <c r="O11" s="1">
        <v>13525052</v>
      </c>
      <c r="P11" s="1">
        <v>0</v>
      </c>
      <c r="Q11" s="1">
        <v>1430810</v>
      </c>
      <c r="R11" s="1">
        <v>991161</v>
      </c>
      <c r="S11" s="1">
        <v>0</v>
      </c>
      <c r="T11" s="1">
        <v>362703</v>
      </c>
      <c r="U11" s="1">
        <v>1057300</v>
      </c>
      <c r="V11" s="1">
        <v>0</v>
      </c>
      <c r="W11" s="1">
        <v>2831887</v>
      </c>
      <c r="X11" s="1">
        <v>424784</v>
      </c>
      <c r="Y11" s="1">
        <v>13640</v>
      </c>
      <c r="Z11" s="62">
        <v>18798093</v>
      </c>
      <c r="AA11" s="62">
        <v>21209257</v>
      </c>
      <c r="AB11" s="1">
        <v>2411164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1057300</v>
      </c>
      <c r="AI11" s="1">
        <v>0</v>
      </c>
    </row>
    <row r="12" spans="1:35">
      <c r="A12" s="1" t="str">
        <f>"9157051"</f>
        <v>9157051</v>
      </c>
      <c r="B12" s="1" t="str">
        <f>"عاصي باوي"</f>
        <v>عاصي باوي</v>
      </c>
      <c r="C12" s="1" t="str">
        <f t="shared" si="0"/>
        <v>توليد توسعه - دارخوين</v>
      </c>
      <c r="D12" s="1">
        <v>0</v>
      </c>
      <c r="E12" s="1">
        <v>13640</v>
      </c>
      <c r="F12" s="1">
        <v>801969</v>
      </c>
      <c r="G12" s="1">
        <v>0</v>
      </c>
      <c r="H12" s="1">
        <v>1838910</v>
      </c>
      <c r="I12" s="1">
        <v>200000</v>
      </c>
      <c r="J12" s="1">
        <v>1700000</v>
      </c>
      <c r="K12" s="1">
        <v>1012000</v>
      </c>
      <c r="L12" s="1">
        <v>903047</v>
      </c>
      <c r="M12" s="1">
        <v>960000</v>
      </c>
      <c r="N12" s="1">
        <v>-417936</v>
      </c>
      <c r="O12" s="1">
        <v>12226989</v>
      </c>
      <c r="P12" s="1">
        <v>0</v>
      </c>
      <c r="Q12" s="1">
        <v>1393610</v>
      </c>
      <c r="R12" s="1">
        <v>1078538</v>
      </c>
      <c r="S12" s="1">
        <v>0</v>
      </c>
      <c r="T12" s="1">
        <v>331922</v>
      </c>
      <c r="U12" s="1">
        <v>1057300</v>
      </c>
      <c r="V12" s="1">
        <v>650000</v>
      </c>
      <c r="W12" s="1">
        <v>3081536</v>
      </c>
      <c r="X12" s="1">
        <v>462231</v>
      </c>
      <c r="Y12" s="1">
        <v>13640</v>
      </c>
      <c r="Z12" s="62">
        <v>17500829</v>
      </c>
      <c r="AA12" s="62">
        <v>20618589</v>
      </c>
      <c r="AB12" s="1">
        <v>3117760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1057300</v>
      </c>
      <c r="AI12" s="1">
        <v>0</v>
      </c>
    </row>
    <row r="13" spans="1:35">
      <c r="A13" s="1" t="str">
        <f>"9157052"</f>
        <v>9157052</v>
      </c>
      <c r="B13" s="1" t="str">
        <f>"ناصر باوي"</f>
        <v>ناصر باوي</v>
      </c>
      <c r="C13" s="1" t="str">
        <f t="shared" si="0"/>
        <v>توليد توسعه - دارخوين</v>
      </c>
      <c r="D13" s="1">
        <v>0</v>
      </c>
      <c r="E13" s="1">
        <v>13640</v>
      </c>
      <c r="F13" s="1">
        <v>0</v>
      </c>
      <c r="G13" s="1">
        <v>0</v>
      </c>
      <c r="H13" s="1">
        <v>0</v>
      </c>
      <c r="I13" s="1">
        <v>200000</v>
      </c>
      <c r="J13" s="1">
        <v>1700000</v>
      </c>
      <c r="K13" s="1">
        <v>1012000</v>
      </c>
      <c r="L13" s="1">
        <v>692977</v>
      </c>
      <c r="M13" s="1">
        <v>960000</v>
      </c>
      <c r="N13" s="1">
        <v>-668552</v>
      </c>
      <c r="O13" s="1">
        <v>12876005</v>
      </c>
      <c r="P13" s="1">
        <v>0</v>
      </c>
      <c r="Q13" s="1">
        <v>1412210</v>
      </c>
      <c r="R13" s="1">
        <v>1036885</v>
      </c>
      <c r="S13" s="1">
        <v>0</v>
      </c>
      <c r="T13" s="1">
        <v>162521</v>
      </c>
      <c r="U13" s="1">
        <v>1057300</v>
      </c>
      <c r="V13" s="1">
        <v>0</v>
      </c>
      <c r="W13" s="1">
        <v>2962526</v>
      </c>
      <c r="X13" s="1">
        <v>444381</v>
      </c>
      <c r="Y13" s="1">
        <v>13640</v>
      </c>
      <c r="Z13" s="62">
        <v>15927934</v>
      </c>
      <c r="AA13" s="62">
        <v>18184640</v>
      </c>
      <c r="AB13" s="1">
        <v>2256706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1057300</v>
      </c>
      <c r="AI13" s="1">
        <v>0</v>
      </c>
    </row>
    <row r="14" spans="1:35">
      <c r="A14" s="1" t="str">
        <f>"9157053"</f>
        <v>9157053</v>
      </c>
      <c r="B14" s="1" t="str">
        <f>"عظيم باوي سويره"</f>
        <v>عظيم باوي سويره</v>
      </c>
      <c r="C14" s="1" t="str">
        <f t="shared" si="0"/>
        <v>توليد توسعه - دارخوين</v>
      </c>
      <c r="D14" s="1">
        <v>0</v>
      </c>
      <c r="E14" s="1">
        <v>13640</v>
      </c>
      <c r="F14" s="1">
        <v>0</v>
      </c>
      <c r="G14" s="1">
        <v>0</v>
      </c>
      <c r="H14" s="1">
        <v>919455</v>
      </c>
      <c r="I14" s="1">
        <v>200000</v>
      </c>
      <c r="J14" s="1">
        <v>1700000</v>
      </c>
      <c r="K14" s="1">
        <v>1012000</v>
      </c>
      <c r="L14" s="1">
        <v>-675874</v>
      </c>
      <c r="M14" s="1">
        <v>960000</v>
      </c>
      <c r="N14" s="1">
        <v>-222830</v>
      </c>
      <c r="O14" s="1">
        <v>10669301</v>
      </c>
      <c r="P14" s="1">
        <v>905169</v>
      </c>
      <c r="Q14" s="1">
        <v>1337810</v>
      </c>
      <c r="R14" s="1">
        <v>875952</v>
      </c>
      <c r="S14" s="1">
        <v>0</v>
      </c>
      <c r="T14" s="1">
        <v>47006</v>
      </c>
      <c r="U14" s="1">
        <v>1057300</v>
      </c>
      <c r="V14" s="1">
        <v>650000</v>
      </c>
      <c r="W14" s="1">
        <v>2502716</v>
      </c>
      <c r="X14" s="1">
        <v>375407</v>
      </c>
      <c r="Y14" s="1">
        <v>13640</v>
      </c>
      <c r="Z14" s="62">
        <v>14174773</v>
      </c>
      <c r="AA14" s="62">
        <v>16805031</v>
      </c>
      <c r="AB14" s="1">
        <v>2630258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1057300</v>
      </c>
      <c r="AI14" s="1">
        <v>0</v>
      </c>
    </row>
    <row r="15" spans="1:35">
      <c r="A15" s="1" t="str">
        <f>"9157054"</f>
        <v>9157054</v>
      </c>
      <c r="B15" s="1" t="str">
        <f>"عارف باوي فرد"</f>
        <v>عارف باوي فرد</v>
      </c>
      <c r="C15" s="1" t="str">
        <f t="shared" si="0"/>
        <v>توليد توسعه - دارخوين</v>
      </c>
      <c r="D15" s="1">
        <v>0</v>
      </c>
      <c r="E15" s="1">
        <v>13640</v>
      </c>
      <c r="F15" s="1">
        <v>0</v>
      </c>
      <c r="G15" s="1">
        <v>0</v>
      </c>
      <c r="H15" s="1">
        <v>0</v>
      </c>
      <c r="I15" s="1">
        <v>200000</v>
      </c>
      <c r="J15" s="1">
        <v>1700000</v>
      </c>
      <c r="K15" s="1">
        <v>1012000</v>
      </c>
      <c r="L15" s="1">
        <v>-795464</v>
      </c>
      <c r="M15" s="1">
        <v>960000</v>
      </c>
      <c r="N15" s="1">
        <v>-681120</v>
      </c>
      <c r="O15" s="1">
        <v>11707739</v>
      </c>
      <c r="P15" s="1">
        <v>1206954</v>
      </c>
      <c r="Q15" s="1">
        <v>1375010</v>
      </c>
      <c r="R15" s="1">
        <v>931918</v>
      </c>
      <c r="S15" s="1">
        <v>0</v>
      </c>
      <c r="T15" s="1">
        <v>11181</v>
      </c>
      <c r="U15" s="1">
        <v>2446188</v>
      </c>
      <c r="V15" s="1">
        <v>650000</v>
      </c>
      <c r="W15" s="1">
        <v>2662624</v>
      </c>
      <c r="X15" s="1">
        <v>399393</v>
      </c>
      <c r="Y15" s="1">
        <v>13640</v>
      </c>
      <c r="Z15" s="62">
        <v>12645832</v>
      </c>
      <c r="AA15" s="62">
        <v>16685119</v>
      </c>
      <c r="AB15" s="1">
        <v>4039287</v>
      </c>
      <c r="AC15" s="1">
        <v>1388888</v>
      </c>
      <c r="AD15" s="1">
        <v>43055528</v>
      </c>
      <c r="AE15" s="1">
        <v>6944472</v>
      </c>
      <c r="AF15" s="1">
        <v>50000000</v>
      </c>
      <c r="AG15" s="1">
        <v>50000000</v>
      </c>
      <c r="AH15" s="1">
        <v>1057300</v>
      </c>
      <c r="AI15" s="1">
        <v>0</v>
      </c>
    </row>
    <row r="16" spans="1:35">
      <c r="A16" s="1" t="str">
        <f>"9157055"</f>
        <v>9157055</v>
      </c>
      <c r="B16" s="1" t="str">
        <f>"نجم باوي فرد"</f>
        <v>نجم باوي فرد</v>
      </c>
      <c r="C16" s="1" t="str">
        <f t="shared" si="0"/>
        <v>توليد توسعه - دارخوين</v>
      </c>
      <c r="D16" s="1">
        <v>0</v>
      </c>
      <c r="E16" s="1">
        <v>13640</v>
      </c>
      <c r="F16" s="1">
        <v>0</v>
      </c>
      <c r="G16" s="1">
        <v>0</v>
      </c>
      <c r="H16" s="1">
        <v>919455</v>
      </c>
      <c r="I16" s="1">
        <v>200000</v>
      </c>
      <c r="J16" s="1">
        <v>1700000</v>
      </c>
      <c r="K16" s="1">
        <v>1012000</v>
      </c>
      <c r="L16" s="1">
        <v>-771400</v>
      </c>
      <c r="M16" s="1">
        <v>960000</v>
      </c>
      <c r="N16" s="1">
        <v>0</v>
      </c>
      <c r="O16" s="1">
        <v>12226989</v>
      </c>
      <c r="P16" s="1">
        <v>0</v>
      </c>
      <c r="Q16" s="1">
        <v>1393610</v>
      </c>
      <c r="R16" s="1">
        <v>934444</v>
      </c>
      <c r="S16" s="1">
        <v>0</v>
      </c>
      <c r="T16" s="1">
        <v>118957</v>
      </c>
      <c r="U16" s="1">
        <v>2446188</v>
      </c>
      <c r="V16" s="1">
        <v>650000</v>
      </c>
      <c r="W16" s="1">
        <v>2669840</v>
      </c>
      <c r="X16" s="1">
        <v>400477</v>
      </c>
      <c r="Y16" s="1">
        <v>13640</v>
      </c>
      <c r="Z16" s="62">
        <v>13491065</v>
      </c>
      <c r="AA16" s="62">
        <v>17640654</v>
      </c>
      <c r="AB16" s="1">
        <v>4149589</v>
      </c>
      <c r="AC16" s="1">
        <v>1388888</v>
      </c>
      <c r="AD16" s="1">
        <v>41666640</v>
      </c>
      <c r="AE16" s="1">
        <v>8333360</v>
      </c>
      <c r="AF16" s="1">
        <v>50000000</v>
      </c>
      <c r="AG16" s="1">
        <v>50000000</v>
      </c>
      <c r="AH16" s="1">
        <v>1057300</v>
      </c>
      <c r="AI16" s="1">
        <v>0</v>
      </c>
    </row>
    <row r="17" spans="1:35">
      <c r="A17" s="1" t="str">
        <f>"9157056"</f>
        <v>9157056</v>
      </c>
      <c r="B17" s="1" t="str">
        <f>"سعيد بدوي"</f>
        <v>سعيد بدوي</v>
      </c>
      <c r="C17" s="1" t="str">
        <f t="shared" si="0"/>
        <v>توليد توسعه - دارخوين</v>
      </c>
      <c r="D17" s="1">
        <v>0</v>
      </c>
      <c r="E17" s="1">
        <v>13640</v>
      </c>
      <c r="F17" s="1">
        <v>0</v>
      </c>
      <c r="G17" s="1">
        <v>0</v>
      </c>
      <c r="H17" s="1">
        <v>1838910</v>
      </c>
      <c r="I17" s="1">
        <v>200000</v>
      </c>
      <c r="J17" s="1">
        <v>1700000</v>
      </c>
      <c r="K17" s="1">
        <v>1012000</v>
      </c>
      <c r="L17" s="1">
        <v>-774700</v>
      </c>
      <c r="M17" s="1">
        <v>960000</v>
      </c>
      <c r="N17" s="1">
        <v>-430892</v>
      </c>
      <c r="O17" s="1">
        <v>11707739</v>
      </c>
      <c r="P17" s="1">
        <v>0</v>
      </c>
      <c r="Q17" s="1">
        <v>1375010</v>
      </c>
      <c r="R17" s="1">
        <v>866399</v>
      </c>
      <c r="S17" s="1">
        <v>0</v>
      </c>
      <c r="T17" s="1">
        <v>183426</v>
      </c>
      <c r="U17" s="1">
        <v>1057300</v>
      </c>
      <c r="V17" s="1">
        <v>650000</v>
      </c>
      <c r="W17" s="1">
        <v>2475432</v>
      </c>
      <c r="X17" s="1">
        <v>371315</v>
      </c>
      <c r="Y17" s="1">
        <v>13640</v>
      </c>
      <c r="Z17" s="62">
        <v>14830942</v>
      </c>
      <c r="AA17" s="62">
        <v>17588067</v>
      </c>
      <c r="AB17" s="1">
        <v>2757125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1057300</v>
      </c>
      <c r="AI17" s="1">
        <v>0</v>
      </c>
    </row>
    <row r="18" spans="1:35">
      <c r="A18" s="1" t="str">
        <f>"9157057"</f>
        <v>9157057</v>
      </c>
      <c r="B18" s="1" t="str">
        <f>"عباس بدوي"</f>
        <v>عباس بدوي</v>
      </c>
      <c r="C18" s="1" t="str">
        <f t="shared" si="0"/>
        <v>توليد توسعه - دارخوين</v>
      </c>
      <c r="D18" s="1">
        <v>0</v>
      </c>
      <c r="E18" s="1">
        <v>13640</v>
      </c>
      <c r="F18" s="1">
        <v>0</v>
      </c>
      <c r="G18" s="1">
        <v>0</v>
      </c>
      <c r="H18" s="1">
        <v>3677820</v>
      </c>
      <c r="I18" s="1">
        <v>200000</v>
      </c>
      <c r="J18" s="1">
        <v>1700000</v>
      </c>
      <c r="K18" s="1">
        <v>1012000</v>
      </c>
      <c r="L18" s="1">
        <v>-1286616</v>
      </c>
      <c r="M18" s="1">
        <v>960000</v>
      </c>
      <c r="N18" s="1">
        <v>0</v>
      </c>
      <c r="O18" s="1">
        <v>13525052</v>
      </c>
      <c r="P18" s="1">
        <v>0</v>
      </c>
      <c r="Q18" s="1">
        <v>1430810</v>
      </c>
      <c r="R18" s="1">
        <v>991848</v>
      </c>
      <c r="S18" s="1">
        <v>0</v>
      </c>
      <c r="T18" s="1">
        <v>363184</v>
      </c>
      <c r="U18" s="1">
        <v>1057300</v>
      </c>
      <c r="V18" s="1">
        <v>650000</v>
      </c>
      <c r="W18" s="1">
        <v>2833849</v>
      </c>
      <c r="X18" s="1">
        <v>425079</v>
      </c>
      <c r="Y18" s="1">
        <v>13640</v>
      </c>
      <c r="Z18" s="62">
        <v>18156734</v>
      </c>
      <c r="AA18" s="62">
        <v>21219066</v>
      </c>
      <c r="AB18" s="1">
        <v>3062332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1057300</v>
      </c>
      <c r="AI18" s="1">
        <v>0</v>
      </c>
    </row>
    <row r="19" spans="1:35">
      <c r="A19" s="1" t="str">
        <f>"9157058"</f>
        <v>9157058</v>
      </c>
      <c r="B19" s="1" t="str">
        <f>"طاهر پورحزبه"</f>
        <v>طاهر پورحزبه</v>
      </c>
      <c r="C19" s="1" t="str">
        <f t="shared" si="0"/>
        <v>توليد توسعه - دارخوين</v>
      </c>
      <c r="D19" s="1">
        <v>0</v>
      </c>
      <c r="E19" s="1">
        <v>13640</v>
      </c>
      <c r="F19" s="1">
        <v>72180</v>
      </c>
      <c r="G19" s="1">
        <v>0</v>
      </c>
      <c r="H19" s="1">
        <v>0</v>
      </c>
      <c r="I19" s="1">
        <v>200000</v>
      </c>
      <c r="J19" s="1">
        <v>1700000</v>
      </c>
      <c r="K19" s="1">
        <v>1012000</v>
      </c>
      <c r="L19" s="1">
        <v>-1286616</v>
      </c>
      <c r="M19" s="1">
        <v>960000</v>
      </c>
      <c r="N19" s="1">
        <v>0</v>
      </c>
      <c r="O19" s="1">
        <v>13525052</v>
      </c>
      <c r="P19" s="1">
        <v>0</v>
      </c>
      <c r="Q19" s="1">
        <v>1430810</v>
      </c>
      <c r="R19" s="1">
        <v>996900</v>
      </c>
      <c r="S19" s="1">
        <v>0</v>
      </c>
      <c r="T19" s="1">
        <v>182830</v>
      </c>
      <c r="U19" s="1">
        <v>1057300</v>
      </c>
      <c r="V19" s="1">
        <v>0</v>
      </c>
      <c r="W19" s="1">
        <v>2848285</v>
      </c>
      <c r="X19" s="1">
        <v>427243</v>
      </c>
      <c r="Y19" s="1">
        <v>13640</v>
      </c>
      <c r="Z19" s="62">
        <v>15376396</v>
      </c>
      <c r="AA19" s="62">
        <v>17613426</v>
      </c>
      <c r="AB19" s="1">
        <v>2237030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1057300</v>
      </c>
      <c r="AI19" s="1">
        <v>0</v>
      </c>
    </row>
    <row r="20" spans="1:35">
      <c r="A20" s="1" t="str">
        <f>"9157059"</f>
        <v>9157059</v>
      </c>
      <c r="B20" s="1" t="str">
        <f>"رحمه سياحي"</f>
        <v>رحمه سياحي</v>
      </c>
      <c r="C20" s="1" t="str">
        <f t="shared" si="0"/>
        <v>توليد توسعه - دارخوين</v>
      </c>
      <c r="D20" s="1">
        <v>0</v>
      </c>
      <c r="E20" s="1">
        <v>13640</v>
      </c>
      <c r="F20" s="1">
        <v>0</v>
      </c>
      <c r="G20" s="1">
        <v>0</v>
      </c>
      <c r="H20" s="1">
        <v>1838910</v>
      </c>
      <c r="I20" s="1">
        <v>200000</v>
      </c>
      <c r="J20" s="1">
        <v>1700000</v>
      </c>
      <c r="K20" s="1">
        <v>1012000</v>
      </c>
      <c r="L20" s="1">
        <v>-752652</v>
      </c>
      <c r="M20" s="1">
        <v>960000</v>
      </c>
      <c r="N20" s="1">
        <v>-456187</v>
      </c>
      <c r="O20" s="1">
        <v>10669301</v>
      </c>
      <c r="P20" s="1">
        <v>389391</v>
      </c>
      <c r="Q20" s="1">
        <v>1337810</v>
      </c>
      <c r="R20" s="1">
        <v>818137</v>
      </c>
      <c r="S20" s="1">
        <v>0</v>
      </c>
      <c r="T20" s="1">
        <v>119566</v>
      </c>
      <c r="U20" s="1">
        <v>2446188</v>
      </c>
      <c r="V20" s="1">
        <v>650000</v>
      </c>
      <c r="W20" s="1">
        <v>2337532</v>
      </c>
      <c r="X20" s="1">
        <v>350628</v>
      </c>
      <c r="Y20" s="1">
        <v>13640</v>
      </c>
      <c r="Z20" s="62">
        <v>12864682</v>
      </c>
      <c r="AA20" s="62">
        <v>16898573</v>
      </c>
      <c r="AB20" s="1">
        <v>4033891</v>
      </c>
      <c r="AC20" s="1">
        <v>1388888</v>
      </c>
      <c r="AD20" s="1">
        <v>20833320</v>
      </c>
      <c r="AE20" s="1">
        <v>29166680</v>
      </c>
      <c r="AF20" s="1">
        <v>50000000</v>
      </c>
      <c r="AG20" s="1">
        <v>50000000</v>
      </c>
      <c r="AH20" s="1">
        <v>1057300</v>
      </c>
      <c r="AI20" s="1">
        <v>0</v>
      </c>
    </row>
    <row r="21" spans="1:35">
      <c r="A21" s="1" t="str">
        <f>"9157060"</f>
        <v>9157060</v>
      </c>
      <c r="B21" s="1" t="str">
        <f>"مرد سياحي"</f>
        <v>مرد سياحي</v>
      </c>
      <c r="C21" s="1" t="str">
        <f t="shared" si="0"/>
        <v>توليد توسعه - دارخوين</v>
      </c>
      <c r="D21" s="1">
        <v>0</v>
      </c>
      <c r="E21" s="1">
        <v>13640</v>
      </c>
      <c r="F21" s="1">
        <v>0</v>
      </c>
      <c r="G21" s="1">
        <v>0</v>
      </c>
      <c r="H21" s="1">
        <v>1838910</v>
      </c>
      <c r="I21" s="1">
        <v>200000</v>
      </c>
      <c r="J21" s="1">
        <v>1700000</v>
      </c>
      <c r="K21" s="1">
        <v>1012000</v>
      </c>
      <c r="L21" s="1">
        <v>-675874</v>
      </c>
      <c r="M21" s="1">
        <v>960000</v>
      </c>
      <c r="N21" s="1">
        <v>91773</v>
      </c>
      <c r="O21" s="1">
        <v>10669301</v>
      </c>
      <c r="P21" s="1">
        <v>0</v>
      </c>
      <c r="Q21" s="1">
        <v>1337810</v>
      </c>
      <c r="R21" s="1">
        <v>834609</v>
      </c>
      <c r="S21" s="1">
        <v>0</v>
      </c>
      <c r="T21" s="1">
        <v>155763</v>
      </c>
      <c r="U21" s="1">
        <v>2446188</v>
      </c>
      <c r="V21" s="1">
        <v>650000</v>
      </c>
      <c r="W21" s="1">
        <v>2384604</v>
      </c>
      <c r="X21" s="1">
        <v>357689</v>
      </c>
      <c r="Y21" s="1">
        <v>13640</v>
      </c>
      <c r="Z21" s="62">
        <v>13047360</v>
      </c>
      <c r="AA21" s="62">
        <v>17133920</v>
      </c>
      <c r="AB21" s="1">
        <v>4086560</v>
      </c>
      <c r="AC21" s="1">
        <v>1388888</v>
      </c>
      <c r="AD21" s="1">
        <v>26388904</v>
      </c>
      <c r="AE21" s="1">
        <v>23611096</v>
      </c>
      <c r="AF21" s="1">
        <v>50000000</v>
      </c>
      <c r="AG21" s="1">
        <v>50000000</v>
      </c>
      <c r="AH21" s="1">
        <v>1057300</v>
      </c>
      <c r="AI21" s="1">
        <v>0</v>
      </c>
    </row>
    <row r="22" spans="1:35">
      <c r="A22" s="1" t="str">
        <f>"9157062"</f>
        <v>9157062</v>
      </c>
      <c r="B22" s="1" t="str">
        <f>"حسن عسگري"</f>
        <v>حسن عسگري</v>
      </c>
      <c r="C22" s="1" t="str">
        <f t="shared" si="0"/>
        <v>توليد توسعه - دارخوين</v>
      </c>
      <c r="D22" s="1">
        <v>0</v>
      </c>
      <c r="E22" s="1">
        <v>13640</v>
      </c>
      <c r="F22" s="1">
        <v>0</v>
      </c>
      <c r="G22" s="1">
        <v>0</v>
      </c>
      <c r="H22" s="1">
        <v>1838910</v>
      </c>
      <c r="I22" s="1">
        <v>200000</v>
      </c>
      <c r="J22" s="1">
        <v>1700000</v>
      </c>
      <c r="K22" s="1">
        <v>1012000</v>
      </c>
      <c r="L22" s="1">
        <v>1082838</v>
      </c>
      <c r="M22" s="1">
        <v>960000</v>
      </c>
      <c r="N22" s="1">
        <v>0</v>
      </c>
      <c r="O22" s="1">
        <v>12226989</v>
      </c>
      <c r="P22" s="1">
        <v>0</v>
      </c>
      <c r="Q22" s="1">
        <v>1393610</v>
      </c>
      <c r="R22" s="1">
        <v>1064240</v>
      </c>
      <c r="S22" s="1">
        <v>0</v>
      </c>
      <c r="T22" s="1">
        <v>321914</v>
      </c>
      <c r="U22" s="1">
        <v>1057300</v>
      </c>
      <c r="V22" s="1">
        <v>0</v>
      </c>
      <c r="W22" s="1">
        <v>3040688</v>
      </c>
      <c r="X22" s="1">
        <v>456105</v>
      </c>
      <c r="Y22" s="1">
        <v>13640</v>
      </c>
      <c r="Z22" s="62">
        <v>17970893</v>
      </c>
      <c r="AA22" s="62">
        <v>20414347</v>
      </c>
      <c r="AB22" s="1">
        <v>2443454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1057300</v>
      </c>
      <c r="AI22" s="1">
        <v>0</v>
      </c>
    </row>
    <row r="23" spans="1:35">
      <c r="A23" s="1" t="str">
        <f>"9157063"</f>
        <v>9157063</v>
      </c>
      <c r="B23" s="1" t="str">
        <f>"حسين عسگري"</f>
        <v>حسين عسگري</v>
      </c>
      <c r="C23" s="1" t="str">
        <f t="shared" si="0"/>
        <v>توليد توسعه - دارخوين</v>
      </c>
      <c r="D23" s="1">
        <v>0</v>
      </c>
      <c r="E23" s="1">
        <v>13640</v>
      </c>
      <c r="F23" s="1">
        <v>0</v>
      </c>
      <c r="G23" s="1">
        <v>0</v>
      </c>
      <c r="H23" s="1">
        <v>919455</v>
      </c>
      <c r="I23" s="1">
        <v>200000</v>
      </c>
      <c r="J23" s="1">
        <v>1700000</v>
      </c>
      <c r="K23" s="1">
        <v>1012000</v>
      </c>
      <c r="L23" s="1">
        <v>1082838</v>
      </c>
      <c r="M23" s="1">
        <v>960000</v>
      </c>
      <c r="N23" s="1">
        <v>0</v>
      </c>
      <c r="O23" s="1">
        <v>12226989</v>
      </c>
      <c r="P23" s="1">
        <v>0</v>
      </c>
      <c r="Q23" s="1">
        <v>1393610</v>
      </c>
      <c r="R23" s="1">
        <v>1064240</v>
      </c>
      <c r="S23" s="1">
        <v>0</v>
      </c>
      <c r="T23" s="1">
        <v>236918</v>
      </c>
      <c r="U23" s="1">
        <v>1057300</v>
      </c>
      <c r="V23" s="1">
        <v>650000</v>
      </c>
      <c r="W23" s="1">
        <v>3040688</v>
      </c>
      <c r="X23" s="1">
        <v>456105</v>
      </c>
      <c r="Y23" s="1">
        <v>13640</v>
      </c>
      <c r="Z23" s="62">
        <v>16486434</v>
      </c>
      <c r="AA23" s="62">
        <v>19494892</v>
      </c>
      <c r="AB23" s="1">
        <v>3008458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1057300</v>
      </c>
      <c r="AI23" s="1">
        <v>0</v>
      </c>
    </row>
    <row r="24" spans="1:35">
      <c r="A24" s="1" t="str">
        <f>"9157065"</f>
        <v>9157065</v>
      </c>
      <c r="B24" s="1" t="str">
        <f>"رحيم عقباوي"</f>
        <v>رحيم عقباوي</v>
      </c>
      <c r="C24" s="1" t="str">
        <f t="shared" si="0"/>
        <v>توليد توسعه - دارخوين</v>
      </c>
      <c r="D24" s="1">
        <v>0</v>
      </c>
      <c r="E24" s="1">
        <v>13640</v>
      </c>
      <c r="F24" s="1">
        <v>119225</v>
      </c>
      <c r="G24" s="1">
        <v>72671</v>
      </c>
      <c r="H24" s="1">
        <v>2758365</v>
      </c>
      <c r="I24" s="1">
        <v>200000</v>
      </c>
      <c r="J24" s="1">
        <v>1700000</v>
      </c>
      <c r="K24" s="1">
        <v>1012000</v>
      </c>
      <c r="L24" s="1">
        <v>-1104616</v>
      </c>
      <c r="M24" s="1">
        <v>960000</v>
      </c>
      <c r="N24" s="1">
        <v>-169356</v>
      </c>
      <c r="O24" s="1">
        <v>12226989</v>
      </c>
      <c r="P24" s="1">
        <v>0</v>
      </c>
      <c r="Q24" s="1">
        <v>1393610</v>
      </c>
      <c r="R24" s="1">
        <v>907610</v>
      </c>
      <c r="S24" s="1">
        <v>0</v>
      </c>
      <c r="T24" s="1">
        <v>258245</v>
      </c>
      <c r="U24" s="1">
        <v>1057300</v>
      </c>
      <c r="V24" s="1">
        <v>650000</v>
      </c>
      <c r="W24" s="1">
        <v>2593171</v>
      </c>
      <c r="X24" s="1">
        <v>388976</v>
      </c>
      <c r="Y24" s="1">
        <v>13640</v>
      </c>
      <c r="Z24" s="62">
        <v>16295733</v>
      </c>
      <c r="AA24" s="62">
        <v>19168888</v>
      </c>
      <c r="AB24" s="1">
        <v>2873155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1057300</v>
      </c>
      <c r="AI24" s="1">
        <v>0</v>
      </c>
    </row>
    <row r="25" spans="1:35">
      <c r="A25" s="1" t="str">
        <f>"9157066"</f>
        <v>9157066</v>
      </c>
      <c r="B25" s="1" t="str">
        <f>"جمشيد فرحانيان"</f>
        <v>جمشيد فرحانيان</v>
      </c>
      <c r="C25" s="1" t="str">
        <f t="shared" si="0"/>
        <v>توليد توسعه - دارخوين</v>
      </c>
      <c r="D25" s="1">
        <v>0</v>
      </c>
      <c r="E25" s="1">
        <v>13640</v>
      </c>
      <c r="F25" s="1">
        <v>0</v>
      </c>
      <c r="G25" s="1">
        <v>0</v>
      </c>
      <c r="H25" s="1">
        <v>2758365</v>
      </c>
      <c r="I25" s="1">
        <v>200000</v>
      </c>
      <c r="J25" s="1">
        <v>1700000</v>
      </c>
      <c r="K25" s="1">
        <v>1012000</v>
      </c>
      <c r="L25" s="1">
        <v>-1394634</v>
      </c>
      <c r="M25" s="1">
        <v>960000</v>
      </c>
      <c r="N25" s="1">
        <v>0</v>
      </c>
      <c r="O25" s="1">
        <v>12876005</v>
      </c>
      <c r="P25" s="1">
        <v>0</v>
      </c>
      <c r="Q25" s="1">
        <v>1412210</v>
      </c>
      <c r="R25" s="1">
        <v>937552</v>
      </c>
      <c r="S25" s="1">
        <v>0</v>
      </c>
      <c r="T25" s="1">
        <v>279203</v>
      </c>
      <c r="U25" s="1">
        <v>1057300</v>
      </c>
      <c r="V25" s="1">
        <v>0</v>
      </c>
      <c r="W25" s="1">
        <v>2678716</v>
      </c>
      <c r="X25" s="1">
        <v>401807</v>
      </c>
      <c r="Y25" s="1">
        <v>13640</v>
      </c>
      <c r="Z25" s="62">
        <v>17249891</v>
      </c>
      <c r="AA25" s="62">
        <v>19523946</v>
      </c>
      <c r="AB25" s="1">
        <v>2274055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1057300</v>
      </c>
      <c r="AI25" s="1">
        <v>0</v>
      </c>
    </row>
    <row r="26" spans="1:35">
      <c r="A26" s="1" t="str">
        <f>"9157067"</f>
        <v>9157067</v>
      </c>
      <c r="B26" s="1" t="str">
        <f>"کريم فرحانيان"</f>
        <v>کريم فرحانيان</v>
      </c>
      <c r="C26" s="1" t="str">
        <f t="shared" si="0"/>
        <v>توليد توسعه - دارخوين</v>
      </c>
      <c r="D26" s="1">
        <v>0</v>
      </c>
      <c r="E26" s="1">
        <v>13640</v>
      </c>
      <c r="F26" s="1">
        <v>652273</v>
      </c>
      <c r="G26" s="1">
        <v>0</v>
      </c>
      <c r="H26" s="1">
        <v>1838910</v>
      </c>
      <c r="I26" s="1">
        <v>200000</v>
      </c>
      <c r="J26" s="1">
        <v>1700000</v>
      </c>
      <c r="K26" s="1">
        <v>1012000</v>
      </c>
      <c r="L26" s="1">
        <v>-808052</v>
      </c>
      <c r="M26" s="1">
        <v>960000</v>
      </c>
      <c r="N26" s="1">
        <v>0</v>
      </c>
      <c r="O26" s="1">
        <v>12226989</v>
      </c>
      <c r="P26" s="1">
        <v>0</v>
      </c>
      <c r="Q26" s="1">
        <v>1393610</v>
      </c>
      <c r="R26" s="1">
        <v>977538</v>
      </c>
      <c r="S26" s="1">
        <v>0</v>
      </c>
      <c r="T26" s="1">
        <v>261221</v>
      </c>
      <c r="U26" s="1">
        <v>1057300</v>
      </c>
      <c r="V26" s="1">
        <v>650000</v>
      </c>
      <c r="W26" s="1">
        <v>2792965</v>
      </c>
      <c r="X26" s="1">
        <v>418945</v>
      </c>
      <c r="Y26" s="1">
        <v>13640</v>
      </c>
      <c r="Z26" s="62">
        <v>16229671</v>
      </c>
      <c r="AA26" s="62">
        <v>19175730</v>
      </c>
      <c r="AB26" s="1">
        <v>2946059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1057300</v>
      </c>
      <c r="AI26" s="1">
        <v>0</v>
      </c>
    </row>
    <row r="27" spans="1:35">
      <c r="A27" s="1" t="str">
        <f>"9157068"</f>
        <v>9157068</v>
      </c>
      <c r="B27" s="1" t="str">
        <f>"مجتبي قنواتي زاده"</f>
        <v>مجتبي قنواتي زاده</v>
      </c>
      <c r="C27" s="1" t="str">
        <f t="shared" si="0"/>
        <v>توليد توسعه - دارخوين</v>
      </c>
      <c r="D27" s="1">
        <v>0</v>
      </c>
      <c r="E27" s="1">
        <v>13640</v>
      </c>
      <c r="F27" s="1">
        <v>0</v>
      </c>
      <c r="G27" s="1">
        <v>0</v>
      </c>
      <c r="H27" s="1">
        <v>1838910</v>
      </c>
      <c r="I27" s="1">
        <v>200000</v>
      </c>
      <c r="J27" s="1">
        <v>1700000</v>
      </c>
      <c r="K27" s="1">
        <v>1012000</v>
      </c>
      <c r="L27" s="1">
        <v>-808052</v>
      </c>
      <c r="M27" s="1">
        <v>960000</v>
      </c>
      <c r="N27" s="1">
        <v>0</v>
      </c>
      <c r="O27" s="1">
        <v>12226989</v>
      </c>
      <c r="P27" s="1">
        <v>0</v>
      </c>
      <c r="Q27" s="1">
        <v>1393610</v>
      </c>
      <c r="R27" s="1">
        <v>931878</v>
      </c>
      <c r="S27" s="1">
        <v>0</v>
      </c>
      <c r="T27" s="1">
        <v>225820</v>
      </c>
      <c r="U27" s="1">
        <v>2446188</v>
      </c>
      <c r="V27" s="1">
        <v>650000</v>
      </c>
      <c r="W27" s="1">
        <v>2662510</v>
      </c>
      <c r="X27" s="1">
        <v>399377</v>
      </c>
      <c r="Y27" s="1">
        <v>13640</v>
      </c>
      <c r="Z27" s="62">
        <v>14269571</v>
      </c>
      <c r="AA27" s="62">
        <v>18523457</v>
      </c>
      <c r="AB27" s="1">
        <v>4253886</v>
      </c>
      <c r="AC27" s="1">
        <v>1388888</v>
      </c>
      <c r="AD27" s="1">
        <v>45833304</v>
      </c>
      <c r="AE27" s="1">
        <v>4166696</v>
      </c>
      <c r="AF27" s="1">
        <v>50000000</v>
      </c>
      <c r="AG27" s="1">
        <v>50000000</v>
      </c>
      <c r="AH27" s="1">
        <v>1057300</v>
      </c>
      <c r="AI27" s="1">
        <v>0</v>
      </c>
    </row>
    <row r="28" spans="1:35">
      <c r="A28" s="1" t="str">
        <f>"9157069"</f>
        <v>9157069</v>
      </c>
      <c r="B28" s="1" t="str">
        <f>"رضا محمدحسيني"</f>
        <v>رضا محمدحسيني</v>
      </c>
      <c r="C28" s="1" t="str">
        <f t="shared" si="0"/>
        <v>توليد توسعه - دارخوين</v>
      </c>
      <c r="D28" s="1">
        <v>0</v>
      </c>
      <c r="E28" s="1">
        <v>13640</v>
      </c>
      <c r="F28" s="1">
        <v>11880</v>
      </c>
      <c r="G28" s="1">
        <v>0</v>
      </c>
      <c r="H28" s="1">
        <v>919455</v>
      </c>
      <c r="I28" s="1">
        <v>200000</v>
      </c>
      <c r="J28" s="1">
        <v>1700000</v>
      </c>
      <c r="K28" s="1">
        <v>1012000</v>
      </c>
      <c r="L28" s="1">
        <v>-1052268</v>
      </c>
      <c r="M28" s="1">
        <v>960000</v>
      </c>
      <c r="N28" s="1">
        <v>0</v>
      </c>
      <c r="O28" s="1">
        <v>15861491</v>
      </c>
      <c r="P28" s="1">
        <v>0</v>
      </c>
      <c r="Q28" s="1">
        <v>1505210</v>
      </c>
      <c r="R28" s="1">
        <v>1177843</v>
      </c>
      <c r="S28" s="1">
        <v>0</v>
      </c>
      <c r="T28" s="1">
        <v>355462</v>
      </c>
      <c r="U28" s="1">
        <v>1492300</v>
      </c>
      <c r="V28" s="1">
        <v>650000</v>
      </c>
      <c r="W28" s="1">
        <v>3365263</v>
      </c>
      <c r="X28" s="1">
        <v>504790</v>
      </c>
      <c r="Y28" s="1">
        <v>13640</v>
      </c>
      <c r="Z28" s="62">
        <v>17442163</v>
      </c>
      <c r="AA28" s="62">
        <v>21117768</v>
      </c>
      <c r="AB28" s="1">
        <v>3675605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1057300</v>
      </c>
      <c r="AI28" s="1">
        <v>435000</v>
      </c>
    </row>
    <row r="29" spans="1:35">
      <c r="A29" s="1" t="str">
        <f>"9157070"</f>
        <v>9157070</v>
      </c>
      <c r="B29" s="1" t="str">
        <f>"فاضل مقدم"</f>
        <v>فاضل مقدم</v>
      </c>
      <c r="C29" s="1" t="str">
        <f t="shared" si="0"/>
        <v>توليد توسعه - دارخوين</v>
      </c>
      <c r="D29" s="1">
        <v>0</v>
      </c>
      <c r="E29" s="1">
        <v>13640</v>
      </c>
      <c r="F29" s="1">
        <v>0</v>
      </c>
      <c r="G29" s="1">
        <v>0</v>
      </c>
      <c r="H29" s="1">
        <v>2758365</v>
      </c>
      <c r="I29" s="1">
        <v>200000</v>
      </c>
      <c r="J29" s="1">
        <v>1700000</v>
      </c>
      <c r="K29" s="1">
        <v>1012000</v>
      </c>
      <c r="L29" s="1">
        <v>-1161612</v>
      </c>
      <c r="M29" s="1">
        <v>960000</v>
      </c>
      <c r="N29" s="1">
        <v>0</v>
      </c>
      <c r="O29" s="1">
        <v>12876005</v>
      </c>
      <c r="P29" s="1">
        <v>0</v>
      </c>
      <c r="Q29" s="1">
        <v>1412210</v>
      </c>
      <c r="R29" s="1">
        <v>953862</v>
      </c>
      <c r="S29" s="1">
        <v>0</v>
      </c>
      <c r="T29" s="1">
        <v>290622</v>
      </c>
      <c r="U29" s="1">
        <v>1057300</v>
      </c>
      <c r="V29" s="1">
        <v>0</v>
      </c>
      <c r="W29" s="1">
        <v>2725320</v>
      </c>
      <c r="X29" s="1">
        <v>408797</v>
      </c>
      <c r="Y29" s="1">
        <v>13640</v>
      </c>
      <c r="Z29" s="62">
        <v>17455184</v>
      </c>
      <c r="AA29" s="62">
        <v>19756968</v>
      </c>
      <c r="AB29" s="1">
        <v>2301784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1057300</v>
      </c>
      <c r="AI29" s="1">
        <v>0</v>
      </c>
    </row>
    <row r="30" spans="1:35">
      <c r="A30" s="1" t="str">
        <f>"9157071"</f>
        <v>9157071</v>
      </c>
      <c r="B30" s="1" t="str">
        <f>"بابک موسوي"</f>
        <v>بابک موسوي</v>
      </c>
      <c r="C30" s="1" t="str">
        <f t="shared" si="0"/>
        <v>توليد توسعه - دارخوين</v>
      </c>
      <c r="D30" s="1">
        <v>0</v>
      </c>
      <c r="E30" s="1">
        <v>13640</v>
      </c>
      <c r="F30" s="1">
        <v>0</v>
      </c>
      <c r="G30" s="1">
        <v>0</v>
      </c>
      <c r="H30" s="1">
        <v>0</v>
      </c>
      <c r="I30" s="1">
        <v>200000</v>
      </c>
      <c r="J30" s="1">
        <v>1700000</v>
      </c>
      <c r="K30" s="1">
        <v>1012000</v>
      </c>
      <c r="L30" s="1">
        <v>667412</v>
      </c>
      <c r="M30" s="1">
        <v>960000</v>
      </c>
      <c r="N30" s="1">
        <v>0</v>
      </c>
      <c r="O30" s="1">
        <v>12226989</v>
      </c>
      <c r="P30" s="1">
        <v>0</v>
      </c>
      <c r="Q30" s="1">
        <v>1393610</v>
      </c>
      <c r="R30" s="1">
        <v>1035162</v>
      </c>
      <c r="S30" s="1">
        <v>0</v>
      </c>
      <c r="T30" s="1">
        <v>84799</v>
      </c>
      <c r="U30" s="1">
        <v>1057300</v>
      </c>
      <c r="V30" s="1">
        <v>0</v>
      </c>
      <c r="W30" s="1">
        <v>2957601</v>
      </c>
      <c r="X30" s="1">
        <v>443641</v>
      </c>
      <c r="Y30" s="1">
        <v>13640</v>
      </c>
      <c r="Z30" s="62">
        <v>15982750</v>
      </c>
      <c r="AA30" s="62">
        <v>18160011</v>
      </c>
      <c r="AB30" s="1">
        <v>2177261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1057300</v>
      </c>
      <c r="AI30" s="1">
        <v>0</v>
      </c>
    </row>
    <row r="31" spans="1:35">
      <c r="A31" s="1" t="str">
        <f>"9157072"</f>
        <v>9157072</v>
      </c>
      <c r="B31" s="1" t="str">
        <f>"محمدامين نادري"</f>
        <v>محمدامين نادري</v>
      </c>
      <c r="C31" s="1" t="str">
        <f t="shared" si="0"/>
        <v>توليد توسعه - دارخوين</v>
      </c>
      <c r="D31" s="1">
        <v>0</v>
      </c>
      <c r="E31" s="1">
        <v>13640</v>
      </c>
      <c r="F31" s="1">
        <v>0</v>
      </c>
      <c r="G31" s="1">
        <v>0</v>
      </c>
      <c r="H31" s="1">
        <v>919455</v>
      </c>
      <c r="I31" s="1">
        <v>200000</v>
      </c>
      <c r="J31" s="1">
        <v>1700000</v>
      </c>
      <c r="K31" s="1">
        <v>1012000</v>
      </c>
      <c r="L31" s="1">
        <v>-808052</v>
      </c>
      <c r="M31" s="1">
        <v>960000</v>
      </c>
      <c r="N31" s="1">
        <v>0</v>
      </c>
      <c r="O31" s="1">
        <v>12226989</v>
      </c>
      <c r="P31" s="1">
        <v>0</v>
      </c>
      <c r="Q31" s="1">
        <v>1393610</v>
      </c>
      <c r="R31" s="1">
        <v>931878</v>
      </c>
      <c r="S31" s="1">
        <v>0</v>
      </c>
      <c r="T31" s="1">
        <v>118957</v>
      </c>
      <c r="U31" s="1">
        <v>2446188</v>
      </c>
      <c r="V31" s="1">
        <v>650000</v>
      </c>
      <c r="W31" s="1">
        <v>2662510</v>
      </c>
      <c r="X31" s="1">
        <v>399377</v>
      </c>
      <c r="Y31" s="1">
        <v>13640</v>
      </c>
      <c r="Z31" s="62">
        <v>13456979</v>
      </c>
      <c r="AA31" s="62">
        <v>17604002</v>
      </c>
      <c r="AB31" s="1">
        <v>4147023</v>
      </c>
      <c r="AC31" s="1">
        <v>1388888</v>
      </c>
      <c r="AD31" s="1">
        <v>27777760</v>
      </c>
      <c r="AE31" s="1">
        <v>22222240</v>
      </c>
      <c r="AF31" s="1">
        <v>50000000</v>
      </c>
      <c r="AG31" s="1">
        <v>50000000</v>
      </c>
      <c r="AH31" s="1">
        <v>1057300</v>
      </c>
      <c r="AI31" s="1">
        <v>0</v>
      </c>
    </row>
    <row r="32" spans="1:35">
      <c r="A32" s="1" t="str">
        <f>"9157073"</f>
        <v>9157073</v>
      </c>
      <c r="B32" s="1" t="str">
        <f>"حسين ناصري کريموند"</f>
        <v>حسين ناصري کريموند</v>
      </c>
      <c r="C32" s="1" t="str">
        <f t="shared" si="0"/>
        <v>توليد توسعه - دارخوين</v>
      </c>
      <c r="D32" s="1">
        <v>0</v>
      </c>
      <c r="E32" s="1">
        <v>13640</v>
      </c>
      <c r="F32" s="1">
        <v>0</v>
      </c>
      <c r="G32" s="1">
        <v>0</v>
      </c>
      <c r="H32" s="1">
        <v>2758365</v>
      </c>
      <c r="I32" s="1">
        <v>200000</v>
      </c>
      <c r="J32" s="1">
        <v>1700000</v>
      </c>
      <c r="K32" s="1">
        <v>1012000</v>
      </c>
      <c r="L32" s="1">
        <v>744803</v>
      </c>
      <c r="M32" s="1">
        <v>960000</v>
      </c>
      <c r="N32" s="1">
        <v>0</v>
      </c>
      <c r="O32" s="1">
        <v>13525052</v>
      </c>
      <c r="P32" s="1">
        <v>0</v>
      </c>
      <c r="Q32" s="1">
        <v>1430810</v>
      </c>
      <c r="R32" s="1">
        <v>1134046</v>
      </c>
      <c r="S32" s="1">
        <v>0</v>
      </c>
      <c r="T32" s="1">
        <v>416751</v>
      </c>
      <c r="U32" s="1">
        <v>2446188</v>
      </c>
      <c r="V32" s="1">
        <v>650000</v>
      </c>
      <c r="W32" s="1">
        <v>3240135</v>
      </c>
      <c r="X32" s="1">
        <v>486020</v>
      </c>
      <c r="Y32" s="1">
        <v>13640</v>
      </c>
      <c r="Z32" s="62">
        <v>17684045</v>
      </c>
      <c r="AA32" s="62">
        <v>22331030</v>
      </c>
      <c r="AB32" s="1">
        <v>4646985</v>
      </c>
      <c r="AC32" s="1">
        <v>1388888</v>
      </c>
      <c r="AD32" s="1">
        <v>37499976</v>
      </c>
      <c r="AE32" s="1">
        <v>12500024</v>
      </c>
      <c r="AF32" s="1">
        <v>50000000</v>
      </c>
      <c r="AG32" s="1">
        <v>50000000</v>
      </c>
      <c r="AH32" s="1">
        <v>1057300</v>
      </c>
      <c r="AI32" s="1">
        <v>0</v>
      </c>
    </row>
    <row r="33" spans="1:35">
      <c r="A33" s="1" t="str">
        <f>"9157075"</f>
        <v>9157075</v>
      </c>
      <c r="B33" s="1" t="str">
        <f>"علي پورحزبه"</f>
        <v>علي پورحزبه</v>
      </c>
      <c r="C33" s="1" t="str">
        <f t="shared" si="0"/>
        <v>توليد توسعه - دارخوين</v>
      </c>
      <c r="D33" s="1">
        <v>0</v>
      </c>
      <c r="E33" s="1">
        <v>13640</v>
      </c>
      <c r="F33" s="1">
        <v>616263</v>
      </c>
      <c r="G33" s="1">
        <v>0</v>
      </c>
      <c r="H33" s="1">
        <v>919455</v>
      </c>
      <c r="I33" s="1">
        <v>200000</v>
      </c>
      <c r="J33" s="1">
        <v>1700000</v>
      </c>
      <c r="K33" s="1">
        <v>1012000</v>
      </c>
      <c r="L33" s="1">
        <v>-774700</v>
      </c>
      <c r="M33" s="1">
        <v>960000</v>
      </c>
      <c r="N33" s="1">
        <v>-634306</v>
      </c>
      <c r="O33" s="1">
        <v>11707739</v>
      </c>
      <c r="P33" s="1">
        <v>0</v>
      </c>
      <c r="Q33" s="1">
        <v>1375010</v>
      </c>
      <c r="R33" s="1">
        <v>895299</v>
      </c>
      <c r="S33" s="1">
        <v>0</v>
      </c>
      <c r="T33" s="1">
        <v>157683</v>
      </c>
      <c r="U33" s="1">
        <v>2446188</v>
      </c>
      <c r="V33" s="1">
        <v>650000</v>
      </c>
      <c r="W33" s="1">
        <v>2558002</v>
      </c>
      <c r="X33" s="1">
        <v>383700</v>
      </c>
      <c r="Y33" s="1">
        <v>13640</v>
      </c>
      <c r="Z33" s="62">
        <v>12932291</v>
      </c>
      <c r="AA33" s="62">
        <v>17081461</v>
      </c>
      <c r="AB33" s="1">
        <v>4149170</v>
      </c>
      <c r="AC33" s="1">
        <v>1388888</v>
      </c>
      <c r="AD33" s="1">
        <v>36111088</v>
      </c>
      <c r="AE33" s="1">
        <v>13888912</v>
      </c>
      <c r="AF33" s="1">
        <v>50000000</v>
      </c>
      <c r="AG33" s="1">
        <v>50000000</v>
      </c>
      <c r="AH33" s="1">
        <v>1057300</v>
      </c>
      <c r="AI33" s="1">
        <v>0</v>
      </c>
    </row>
    <row r="34" spans="1:35">
      <c r="A34" s="1" t="str">
        <f>"9157076"</f>
        <v>9157076</v>
      </c>
      <c r="B34" s="1" t="str">
        <f>"عبدالامير جاسمي"</f>
        <v>عبدالامير جاسمي</v>
      </c>
      <c r="C34" s="1" t="str">
        <f t="shared" si="0"/>
        <v>توليد توسعه - دارخوين</v>
      </c>
      <c r="D34" s="1">
        <v>0</v>
      </c>
      <c r="E34" s="1">
        <v>13640</v>
      </c>
      <c r="F34" s="1">
        <v>1290980</v>
      </c>
      <c r="G34" s="1">
        <v>0</v>
      </c>
      <c r="H34" s="1">
        <v>1838910</v>
      </c>
      <c r="I34" s="1">
        <v>200000</v>
      </c>
      <c r="J34" s="1">
        <v>1700000</v>
      </c>
      <c r="K34" s="1">
        <v>1012000</v>
      </c>
      <c r="L34" s="1">
        <v>1131629</v>
      </c>
      <c r="M34" s="1">
        <v>960000</v>
      </c>
      <c r="N34" s="1">
        <v>0</v>
      </c>
      <c r="O34" s="1">
        <v>12876005</v>
      </c>
      <c r="P34" s="1">
        <v>0</v>
      </c>
      <c r="Q34" s="1">
        <v>1412210</v>
      </c>
      <c r="R34" s="1">
        <v>1204756</v>
      </c>
      <c r="S34" s="1">
        <v>0</v>
      </c>
      <c r="T34" s="1">
        <v>420276</v>
      </c>
      <c r="U34" s="1">
        <v>1057300</v>
      </c>
      <c r="V34" s="1">
        <v>650000</v>
      </c>
      <c r="W34" s="1">
        <v>3442164</v>
      </c>
      <c r="X34" s="1">
        <v>516325</v>
      </c>
      <c r="Y34" s="1">
        <v>13640</v>
      </c>
      <c r="Z34" s="62">
        <v>19089402</v>
      </c>
      <c r="AA34" s="62">
        <v>22421734</v>
      </c>
      <c r="AB34" s="1">
        <v>3332332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1057300</v>
      </c>
      <c r="AI34" s="1">
        <v>0</v>
      </c>
    </row>
    <row r="35" spans="1:35">
      <c r="A35" s="1" t="str">
        <f>"9157077"</f>
        <v>9157077</v>
      </c>
      <c r="B35" s="1" t="str">
        <f>"جاسم جامدي باوي"</f>
        <v>جاسم جامدي باوي</v>
      </c>
      <c r="C35" s="1" t="str">
        <f t="shared" si="0"/>
        <v>توليد توسعه - دارخوين</v>
      </c>
      <c r="D35" s="1">
        <v>0</v>
      </c>
      <c r="E35" s="1">
        <v>13640</v>
      </c>
      <c r="F35" s="1">
        <v>252259</v>
      </c>
      <c r="G35" s="1">
        <v>0</v>
      </c>
      <c r="H35" s="1">
        <v>1838910</v>
      </c>
      <c r="I35" s="1">
        <v>200000</v>
      </c>
      <c r="J35" s="1">
        <v>1700000</v>
      </c>
      <c r="K35" s="1">
        <v>1012000</v>
      </c>
      <c r="L35" s="1">
        <v>-795464</v>
      </c>
      <c r="M35" s="1">
        <v>960000</v>
      </c>
      <c r="N35" s="1">
        <v>-156722</v>
      </c>
      <c r="O35" s="1">
        <v>11707739</v>
      </c>
      <c r="P35" s="1">
        <v>1206954</v>
      </c>
      <c r="Q35" s="1">
        <v>1375010</v>
      </c>
      <c r="R35" s="1">
        <v>986285</v>
      </c>
      <c r="S35" s="1">
        <v>0</v>
      </c>
      <c r="T35" s="1">
        <v>267344</v>
      </c>
      <c r="U35" s="1">
        <v>2446188</v>
      </c>
      <c r="V35" s="1">
        <v>650000</v>
      </c>
      <c r="W35" s="1">
        <v>2817955</v>
      </c>
      <c r="X35" s="1">
        <v>422694</v>
      </c>
      <c r="Y35" s="1">
        <v>13640</v>
      </c>
      <c r="Z35" s="62">
        <v>14950869</v>
      </c>
      <c r="AA35" s="62">
        <v>19300686</v>
      </c>
      <c r="AB35" s="1">
        <v>4349817</v>
      </c>
      <c r="AC35" s="1">
        <v>1388888</v>
      </c>
      <c r="AD35" s="1">
        <v>27777760</v>
      </c>
      <c r="AE35" s="1">
        <v>22222240</v>
      </c>
      <c r="AF35" s="1">
        <v>50000000</v>
      </c>
      <c r="AG35" s="1">
        <v>50000000</v>
      </c>
      <c r="AH35" s="1">
        <v>1057300</v>
      </c>
      <c r="AI35" s="1">
        <v>0</v>
      </c>
    </row>
    <row r="36" spans="1:35">
      <c r="A36" s="1" t="str">
        <f>"9157078"</f>
        <v>9157078</v>
      </c>
      <c r="B36" s="1" t="str">
        <f>"عادل جبارزاده"</f>
        <v>عادل جبارزاده</v>
      </c>
      <c r="C36" s="1" t="str">
        <f t="shared" si="0"/>
        <v>توليد توسعه - دارخوين</v>
      </c>
      <c r="D36" s="1">
        <v>0</v>
      </c>
      <c r="E36" s="1">
        <v>13640</v>
      </c>
      <c r="F36" s="1">
        <v>0</v>
      </c>
      <c r="G36" s="1">
        <v>0</v>
      </c>
      <c r="H36" s="1">
        <v>1838910</v>
      </c>
      <c r="I36" s="1">
        <v>200000</v>
      </c>
      <c r="J36" s="1">
        <v>1700000</v>
      </c>
      <c r="K36" s="1">
        <v>1012000</v>
      </c>
      <c r="L36" s="1">
        <v>-1478732</v>
      </c>
      <c r="M36" s="1">
        <v>960000</v>
      </c>
      <c r="N36" s="1">
        <v>0</v>
      </c>
      <c r="O36" s="1">
        <v>12876005</v>
      </c>
      <c r="P36" s="1">
        <v>0</v>
      </c>
      <c r="Q36" s="1">
        <v>1412210</v>
      </c>
      <c r="R36" s="1">
        <v>931664</v>
      </c>
      <c r="S36" s="1">
        <v>0</v>
      </c>
      <c r="T36" s="1">
        <v>229111</v>
      </c>
      <c r="U36" s="1">
        <v>2446188</v>
      </c>
      <c r="V36" s="1">
        <v>650000</v>
      </c>
      <c r="W36" s="1">
        <v>2661896</v>
      </c>
      <c r="X36" s="1">
        <v>399283</v>
      </c>
      <c r="Y36" s="1">
        <v>13640</v>
      </c>
      <c r="Z36" s="62">
        <v>14263430</v>
      </c>
      <c r="AA36" s="62">
        <v>18520393</v>
      </c>
      <c r="AB36" s="1">
        <v>4256963</v>
      </c>
      <c r="AC36" s="1">
        <v>1388888</v>
      </c>
      <c r="AD36" s="1">
        <v>36111088</v>
      </c>
      <c r="AE36" s="1">
        <v>13888912</v>
      </c>
      <c r="AF36" s="1">
        <v>50000000</v>
      </c>
      <c r="AG36" s="1">
        <v>50000000</v>
      </c>
      <c r="AH36" s="1">
        <v>1057300</v>
      </c>
      <c r="AI36" s="1">
        <v>0</v>
      </c>
    </row>
    <row r="37" spans="1:35">
      <c r="A37" s="1" t="str">
        <f>"9157079"</f>
        <v>9157079</v>
      </c>
      <c r="B37" s="1" t="str">
        <f>"مزعل جليزي"</f>
        <v>مزعل جليزي</v>
      </c>
      <c r="C37" s="1" t="str">
        <f t="shared" si="0"/>
        <v>توليد توسعه - دارخوين</v>
      </c>
      <c r="D37" s="1">
        <v>0</v>
      </c>
      <c r="E37" s="1">
        <v>13640</v>
      </c>
      <c r="F37" s="1">
        <v>312236</v>
      </c>
      <c r="G37" s="1">
        <v>0</v>
      </c>
      <c r="H37" s="1">
        <v>3677820</v>
      </c>
      <c r="I37" s="1">
        <v>200000</v>
      </c>
      <c r="J37" s="1">
        <v>1700000</v>
      </c>
      <c r="K37" s="1">
        <v>1012000</v>
      </c>
      <c r="L37" s="1">
        <v>-1452036</v>
      </c>
      <c r="M37" s="1">
        <v>960000</v>
      </c>
      <c r="N37" s="1">
        <v>0</v>
      </c>
      <c r="O37" s="1">
        <v>13525052</v>
      </c>
      <c r="P37" s="1">
        <v>0</v>
      </c>
      <c r="Q37" s="1">
        <v>1430810</v>
      </c>
      <c r="R37" s="1">
        <v>1002124</v>
      </c>
      <c r="S37" s="1">
        <v>0</v>
      </c>
      <c r="T37" s="1">
        <v>370377</v>
      </c>
      <c r="U37" s="1">
        <v>1057300</v>
      </c>
      <c r="V37" s="1">
        <v>650000</v>
      </c>
      <c r="W37" s="1">
        <v>2863213</v>
      </c>
      <c r="X37" s="1">
        <v>429482</v>
      </c>
      <c r="Y37" s="1">
        <v>13640</v>
      </c>
      <c r="Z37" s="62">
        <v>18286081</v>
      </c>
      <c r="AA37" s="62">
        <v>21365882</v>
      </c>
      <c r="AB37" s="1">
        <v>3079801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1057300</v>
      </c>
      <c r="AI37" s="1">
        <v>0</v>
      </c>
    </row>
    <row r="38" spans="1:35">
      <c r="A38" s="1" t="str">
        <f>"9157080"</f>
        <v>9157080</v>
      </c>
      <c r="B38" s="1" t="str">
        <f>"احمد جميلي"</f>
        <v>احمد جميلي</v>
      </c>
      <c r="C38" s="1" t="str">
        <f t="shared" si="0"/>
        <v>توليد توسعه - دارخوين</v>
      </c>
      <c r="D38" s="1">
        <v>0</v>
      </c>
      <c r="E38" s="1">
        <v>13640</v>
      </c>
      <c r="F38" s="1">
        <v>0</v>
      </c>
      <c r="G38" s="1">
        <v>0</v>
      </c>
      <c r="H38" s="1">
        <v>919455</v>
      </c>
      <c r="I38" s="1">
        <v>200000</v>
      </c>
      <c r="J38" s="1">
        <v>1700000</v>
      </c>
      <c r="K38" s="1">
        <v>1012000</v>
      </c>
      <c r="L38" s="1">
        <v>649701</v>
      </c>
      <c r="M38" s="1">
        <v>960000</v>
      </c>
      <c r="N38" s="1">
        <v>-602330</v>
      </c>
      <c r="O38" s="1">
        <v>12226989</v>
      </c>
      <c r="P38" s="1">
        <v>0</v>
      </c>
      <c r="Q38" s="1">
        <v>1393610</v>
      </c>
      <c r="R38" s="1">
        <v>991757</v>
      </c>
      <c r="S38" s="1">
        <v>0</v>
      </c>
      <c r="T38" s="1">
        <v>189734</v>
      </c>
      <c r="U38" s="1">
        <v>2446188</v>
      </c>
      <c r="V38" s="1">
        <v>650000</v>
      </c>
      <c r="W38" s="1">
        <v>2833595</v>
      </c>
      <c r="X38" s="1">
        <v>425039</v>
      </c>
      <c r="Y38" s="1">
        <v>13640</v>
      </c>
      <c r="Z38" s="62">
        <v>14181746</v>
      </c>
      <c r="AA38" s="62">
        <v>18459425</v>
      </c>
      <c r="AB38" s="1">
        <v>4277679</v>
      </c>
      <c r="AC38" s="1">
        <v>1388888</v>
      </c>
      <c r="AD38" s="1">
        <v>19444432</v>
      </c>
      <c r="AE38" s="1">
        <v>30555568</v>
      </c>
      <c r="AF38" s="1">
        <v>50000000</v>
      </c>
      <c r="AG38" s="1">
        <v>50000000</v>
      </c>
      <c r="AH38" s="1">
        <v>1057300</v>
      </c>
      <c r="AI38" s="1">
        <v>0</v>
      </c>
    </row>
    <row r="39" spans="1:35">
      <c r="A39" s="1" t="str">
        <f>"9157081"</f>
        <v>9157081</v>
      </c>
      <c r="B39" s="1" t="str">
        <f>"فهد چاملي"</f>
        <v>فهد چاملي</v>
      </c>
      <c r="C39" s="1" t="str">
        <f t="shared" si="0"/>
        <v>توليد توسعه - دارخوين</v>
      </c>
      <c r="D39" s="1">
        <v>0</v>
      </c>
      <c r="E39" s="1">
        <v>13640</v>
      </c>
      <c r="F39" s="1">
        <v>690643</v>
      </c>
      <c r="G39" s="1">
        <v>0</v>
      </c>
      <c r="H39" s="1">
        <v>1838910</v>
      </c>
      <c r="I39" s="1">
        <v>200000</v>
      </c>
      <c r="J39" s="1">
        <v>1700000</v>
      </c>
      <c r="K39" s="1">
        <v>1012000</v>
      </c>
      <c r="L39" s="1">
        <v>-808052</v>
      </c>
      <c r="M39" s="1">
        <v>960000</v>
      </c>
      <c r="N39" s="1">
        <v>0</v>
      </c>
      <c r="O39" s="1">
        <v>12226989</v>
      </c>
      <c r="P39" s="1">
        <v>0</v>
      </c>
      <c r="Q39" s="1">
        <v>1393610</v>
      </c>
      <c r="R39" s="1">
        <v>980223</v>
      </c>
      <c r="S39" s="1">
        <v>0</v>
      </c>
      <c r="T39" s="1">
        <v>263102</v>
      </c>
      <c r="U39" s="1">
        <v>1492300</v>
      </c>
      <c r="V39" s="1">
        <v>0</v>
      </c>
      <c r="W39" s="1">
        <v>2800638</v>
      </c>
      <c r="X39" s="1">
        <v>420096</v>
      </c>
      <c r="Y39" s="1">
        <v>13640</v>
      </c>
      <c r="Z39" s="62">
        <v>16478475</v>
      </c>
      <c r="AA39" s="62">
        <v>19214100</v>
      </c>
      <c r="AB39" s="1">
        <v>2735625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1057300</v>
      </c>
      <c r="AI39" s="1">
        <v>435000</v>
      </c>
    </row>
    <row r="40" spans="1:35">
      <c r="A40" s="1" t="str">
        <f>"9157082"</f>
        <v>9157082</v>
      </c>
      <c r="B40" s="1" t="str">
        <f>"حاتم حرساني طغري"</f>
        <v>حاتم حرساني طغري</v>
      </c>
      <c r="C40" s="1" t="str">
        <f t="shared" si="0"/>
        <v>توليد توسعه - دارخوين</v>
      </c>
      <c r="D40" s="1">
        <v>0</v>
      </c>
      <c r="E40" s="1">
        <v>13640</v>
      </c>
      <c r="F40" s="1">
        <v>76442</v>
      </c>
      <c r="G40" s="1">
        <v>0</v>
      </c>
      <c r="H40" s="1">
        <v>919455</v>
      </c>
      <c r="I40" s="1">
        <v>200000</v>
      </c>
      <c r="J40" s="1">
        <v>1700000</v>
      </c>
      <c r="K40" s="1">
        <v>1012000</v>
      </c>
      <c r="L40" s="1">
        <v>1178343</v>
      </c>
      <c r="M40" s="1">
        <v>960000</v>
      </c>
      <c r="N40" s="1">
        <v>0</v>
      </c>
      <c r="O40" s="1">
        <v>14303834</v>
      </c>
      <c r="P40" s="1">
        <v>0</v>
      </c>
      <c r="Q40" s="1">
        <v>1449410</v>
      </c>
      <c r="R40" s="1">
        <v>1225563</v>
      </c>
      <c r="S40" s="1">
        <v>0</v>
      </c>
      <c r="T40" s="1">
        <v>388866</v>
      </c>
      <c r="U40" s="1">
        <v>2446188</v>
      </c>
      <c r="V40" s="1">
        <v>650000</v>
      </c>
      <c r="W40" s="1">
        <v>3501605</v>
      </c>
      <c r="X40" s="1">
        <v>525243</v>
      </c>
      <c r="Y40" s="1">
        <v>13640</v>
      </c>
      <c r="Z40" s="62">
        <v>17088867</v>
      </c>
      <c r="AA40" s="62">
        <v>21799484</v>
      </c>
      <c r="AB40" s="1">
        <v>4710617</v>
      </c>
      <c r="AC40" s="1">
        <v>1388888</v>
      </c>
      <c r="AD40" s="1">
        <v>41666640</v>
      </c>
      <c r="AE40" s="1">
        <v>8333360</v>
      </c>
      <c r="AF40" s="1">
        <v>50000000</v>
      </c>
      <c r="AG40" s="1">
        <v>50000000</v>
      </c>
      <c r="AH40" s="1">
        <v>1057300</v>
      </c>
      <c r="AI40" s="1">
        <v>0</v>
      </c>
    </row>
    <row r="41" spans="1:35">
      <c r="A41" s="1" t="str">
        <f>"9157083"</f>
        <v>9157083</v>
      </c>
      <c r="B41" s="1" t="str">
        <f>"راحله حسيني انصاري"</f>
        <v>راحله حسيني انصاري</v>
      </c>
      <c r="C41" s="1" t="str">
        <f t="shared" si="0"/>
        <v>توليد توسعه - دارخوين</v>
      </c>
      <c r="D41" s="1">
        <v>0</v>
      </c>
      <c r="E41" s="1">
        <v>13640</v>
      </c>
      <c r="F41" s="1">
        <v>269233</v>
      </c>
      <c r="G41" s="1">
        <v>0</v>
      </c>
      <c r="H41" s="1">
        <v>0</v>
      </c>
      <c r="I41" s="1">
        <v>200000</v>
      </c>
      <c r="J41" s="1">
        <v>1700000</v>
      </c>
      <c r="K41" s="1">
        <v>1012000</v>
      </c>
      <c r="L41" s="1">
        <v>806760</v>
      </c>
      <c r="M41" s="1">
        <v>960000</v>
      </c>
      <c r="N41" s="1">
        <v>0</v>
      </c>
      <c r="O41" s="1">
        <v>13525052</v>
      </c>
      <c r="P41" s="1">
        <v>1508646</v>
      </c>
      <c r="Q41" s="1">
        <v>1430810</v>
      </c>
      <c r="R41" s="1">
        <v>1262836</v>
      </c>
      <c r="S41" s="1">
        <v>0</v>
      </c>
      <c r="T41" s="1">
        <v>368985</v>
      </c>
      <c r="U41" s="1">
        <v>1057300</v>
      </c>
      <c r="V41" s="1">
        <v>650000</v>
      </c>
      <c r="W41" s="1">
        <v>3608100</v>
      </c>
      <c r="X41" s="1">
        <v>541214</v>
      </c>
      <c r="Y41" s="1">
        <v>13640</v>
      </c>
      <c r="Z41" s="62">
        <v>18073380</v>
      </c>
      <c r="AA41" s="62">
        <v>21412501</v>
      </c>
      <c r="AB41" s="1">
        <v>3339121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1057300</v>
      </c>
      <c r="AI41" s="1">
        <v>0</v>
      </c>
    </row>
    <row r="42" spans="1:35">
      <c r="A42" s="1" t="str">
        <f>"9157084"</f>
        <v>9157084</v>
      </c>
      <c r="B42" s="1" t="str">
        <f>"ايوب حويزاوي"</f>
        <v>ايوب حويزاوي</v>
      </c>
      <c r="C42" s="1" t="str">
        <f t="shared" si="0"/>
        <v>توليد توسعه - دارخوين</v>
      </c>
      <c r="D42" s="1">
        <v>0</v>
      </c>
      <c r="E42" s="1">
        <v>13640</v>
      </c>
      <c r="F42" s="1">
        <v>0</v>
      </c>
      <c r="G42" s="1">
        <v>0</v>
      </c>
      <c r="H42" s="1">
        <v>1838910</v>
      </c>
      <c r="I42" s="1">
        <v>200000</v>
      </c>
      <c r="J42" s="1">
        <v>1700000</v>
      </c>
      <c r="K42" s="1">
        <v>1012000</v>
      </c>
      <c r="L42" s="1">
        <v>-806800</v>
      </c>
      <c r="M42" s="1">
        <v>960000</v>
      </c>
      <c r="N42" s="1">
        <v>0</v>
      </c>
      <c r="O42" s="1">
        <v>12226989</v>
      </c>
      <c r="P42" s="1">
        <v>0</v>
      </c>
      <c r="Q42" s="1">
        <v>1374092</v>
      </c>
      <c r="R42" s="1">
        <v>930599</v>
      </c>
      <c r="S42" s="1">
        <v>0</v>
      </c>
      <c r="T42" s="1">
        <v>223597</v>
      </c>
      <c r="U42" s="1">
        <v>1057300</v>
      </c>
      <c r="V42" s="1">
        <v>650000</v>
      </c>
      <c r="W42" s="1">
        <v>2658857</v>
      </c>
      <c r="X42" s="1">
        <v>398827</v>
      </c>
      <c r="Y42" s="1">
        <v>13640</v>
      </c>
      <c r="Z42" s="62">
        <v>15643695</v>
      </c>
      <c r="AA42" s="62">
        <v>18505191</v>
      </c>
      <c r="AB42" s="1">
        <v>2861496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1057300</v>
      </c>
      <c r="AI42" s="1">
        <v>0</v>
      </c>
    </row>
    <row r="43" spans="1:35">
      <c r="A43" s="1" t="str">
        <f>"9157086"</f>
        <v>9157086</v>
      </c>
      <c r="B43" s="1" t="str">
        <f>"ابراهيم خضيراوي"</f>
        <v>ابراهيم خضيراوي</v>
      </c>
      <c r="C43" s="1" t="str">
        <f t="shared" si="0"/>
        <v>توليد توسعه - دارخوين</v>
      </c>
      <c r="D43" s="1">
        <v>0</v>
      </c>
      <c r="E43" s="1">
        <v>13640</v>
      </c>
      <c r="F43" s="1">
        <v>0</v>
      </c>
      <c r="G43" s="1">
        <v>0</v>
      </c>
      <c r="H43" s="1">
        <v>1838910</v>
      </c>
      <c r="I43" s="1">
        <v>200000</v>
      </c>
      <c r="J43" s="1">
        <v>1700000</v>
      </c>
      <c r="K43" s="1">
        <v>1012000</v>
      </c>
      <c r="L43" s="1">
        <v>-846372</v>
      </c>
      <c r="M43" s="1">
        <v>960000</v>
      </c>
      <c r="N43" s="1">
        <v>0</v>
      </c>
      <c r="O43" s="1">
        <v>12226989</v>
      </c>
      <c r="P43" s="1">
        <v>0</v>
      </c>
      <c r="Q43" s="1">
        <v>1393610</v>
      </c>
      <c r="R43" s="1">
        <v>929196</v>
      </c>
      <c r="S43" s="1">
        <v>0</v>
      </c>
      <c r="T43" s="1">
        <v>225820</v>
      </c>
      <c r="U43" s="1">
        <v>1057300</v>
      </c>
      <c r="V43" s="1">
        <v>650000</v>
      </c>
      <c r="W43" s="1">
        <v>2654846</v>
      </c>
      <c r="X43" s="1">
        <v>398227</v>
      </c>
      <c r="Y43" s="1">
        <v>13640</v>
      </c>
      <c r="Z43" s="62">
        <v>15622821</v>
      </c>
      <c r="AA43" s="62">
        <v>18485137</v>
      </c>
      <c r="AB43" s="1">
        <v>2862316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1057300</v>
      </c>
      <c r="AI43" s="1">
        <v>0</v>
      </c>
    </row>
    <row r="44" spans="1:35">
      <c r="A44" s="1" t="str">
        <f>"9157087"</f>
        <v>9157087</v>
      </c>
      <c r="B44" s="1" t="str">
        <f>"حسين خنفري"</f>
        <v>حسين خنفري</v>
      </c>
      <c r="C44" s="1" t="str">
        <f t="shared" si="0"/>
        <v>توليد توسعه - دارخوين</v>
      </c>
      <c r="D44" s="1">
        <v>0</v>
      </c>
      <c r="E44" s="1">
        <v>13640</v>
      </c>
      <c r="F44" s="1">
        <v>0</v>
      </c>
      <c r="G44" s="1">
        <v>0</v>
      </c>
      <c r="H44" s="1">
        <v>0</v>
      </c>
      <c r="I44" s="1">
        <v>200000</v>
      </c>
      <c r="J44" s="1">
        <v>1700000</v>
      </c>
      <c r="K44" s="1">
        <v>1012000</v>
      </c>
      <c r="L44" s="1">
        <v>629730</v>
      </c>
      <c r="M44" s="1">
        <v>960000</v>
      </c>
      <c r="N44" s="1">
        <v>-23500</v>
      </c>
      <c r="O44" s="1">
        <v>12226989</v>
      </c>
      <c r="P44" s="1">
        <v>0</v>
      </c>
      <c r="Q44" s="1">
        <v>1374092</v>
      </c>
      <c r="R44" s="1">
        <v>1029510</v>
      </c>
      <c r="S44" s="1">
        <v>0</v>
      </c>
      <c r="T44" s="1">
        <v>78466</v>
      </c>
      <c r="U44" s="1">
        <v>1057300</v>
      </c>
      <c r="V44" s="1">
        <v>650000</v>
      </c>
      <c r="W44" s="1">
        <v>2941462</v>
      </c>
      <c r="X44" s="1">
        <v>441218</v>
      </c>
      <c r="Y44" s="1">
        <v>13640</v>
      </c>
      <c r="Z44" s="62">
        <v>15264035</v>
      </c>
      <c r="AA44" s="62">
        <v>18079311</v>
      </c>
      <c r="AB44" s="1">
        <v>2815276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1057300</v>
      </c>
      <c r="AI44" s="1">
        <v>0</v>
      </c>
    </row>
    <row r="45" spans="1:35">
      <c r="A45" s="1" t="str">
        <f>"9157089"</f>
        <v>9157089</v>
      </c>
      <c r="B45" s="1" t="str">
        <f>"منصور خنفري راد"</f>
        <v>منصور خنفري راد</v>
      </c>
      <c r="C45" s="1" t="str">
        <f t="shared" si="0"/>
        <v>توليد توسعه - دارخوين</v>
      </c>
      <c r="D45" s="1">
        <v>0</v>
      </c>
      <c r="E45" s="1">
        <v>13640</v>
      </c>
      <c r="F45" s="1">
        <v>0</v>
      </c>
      <c r="G45" s="1">
        <v>0</v>
      </c>
      <c r="H45" s="1">
        <v>1838910</v>
      </c>
      <c r="I45" s="1">
        <v>200000</v>
      </c>
      <c r="J45" s="1">
        <v>1700000</v>
      </c>
      <c r="K45" s="1">
        <v>1012000</v>
      </c>
      <c r="L45" s="1">
        <v>-986118</v>
      </c>
      <c r="M45" s="1">
        <v>960000</v>
      </c>
      <c r="N45" s="1">
        <v>0</v>
      </c>
      <c r="O45" s="1">
        <v>14303834</v>
      </c>
      <c r="P45" s="1">
        <v>0</v>
      </c>
      <c r="Q45" s="1">
        <v>1449410</v>
      </c>
      <c r="R45" s="1">
        <v>1068699</v>
      </c>
      <c r="S45" s="1">
        <v>0</v>
      </c>
      <c r="T45" s="1">
        <v>325035</v>
      </c>
      <c r="U45" s="1">
        <v>3751188</v>
      </c>
      <c r="V45" s="1">
        <v>650000</v>
      </c>
      <c r="W45" s="1">
        <v>3053426</v>
      </c>
      <c r="X45" s="1">
        <v>458014</v>
      </c>
      <c r="Y45" s="1">
        <v>13640</v>
      </c>
      <c r="Z45" s="62">
        <v>14683114</v>
      </c>
      <c r="AA45" s="62">
        <v>20478036</v>
      </c>
      <c r="AB45" s="1">
        <v>5794922</v>
      </c>
      <c r="AC45" s="1">
        <v>1388888</v>
      </c>
      <c r="AD45" s="1">
        <v>20833320</v>
      </c>
      <c r="AE45" s="1">
        <v>29166680</v>
      </c>
      <c r="AF45" s="1">
        <v>50000000</v>
      </c>
      <c r="AG45" s="1">
        <v>50000000</v>
      </c>
      <c r="AH45" s="1">
        <v>1057300</v>
      </c>
      <c r="AI45" s="1">
        <v>1305000</v>
      </c>
    </row>
    <row r="46" spans="1:35">
      <c r="A46" s="1" t="str">
        <f>"9157090"</f>
        <v>9157090</v>
      </c>
      <c r="B46" s="1" t="str">
        <f>"جميل زرگاني"</f>
        <v>جميل زرگاني</v>
      </c>
      <c r="C46" s="1" t="str">
        <f t="shared" si="0"/>
        <v>توليد توسعه - دارخوين</v>
      </c>
      <c r="D46" s="1">
        <v>0</v>
      </c>
      <c r="E46" s="1">
        <v>13640</v>
      </c>
      <c r="F46" s="1">
        <v>0</v>
      </c>
      <c r="G46" s="1">
        <v>0</v>
      </c>
      <c r="H46" s="1">
        <v>1838910</v>
      </c>
      <c r="I46" s="1">
        <v>200000</v>
      </c>
      <c r="J46" s="1">
        <v>1700000</v>
      </c>
      <c r="K46" s="1">
        <v>1012000</v>
      </c>
      <c r="L46" s="1">
        <v>-958942</v>
      </c>
      <c r="M46" s="1">
        <v>960000</v>
      </c>
      <c r="N46" s="1">
        <v>0</v>
      </c>
      <c r="O46" s="1">
        <v>14303834</v>
      </c>
      <c r="P46" s="1">
        <v>0</v>
      </c>
      <c r="Q46" s="1">
        <v>1449410</v>
      </c>
      <c r="R46" s="1">
        <v>1070601</v>
      </c>
      <c r="S46" s="1">
        <v>0</v>
      </c>
      <c r="T46" s="1">
        <v>326366</v>
      </c>
      <c r="U46" s="1">
        <v>2362300</v>
      </c>
      <c r="V46" s="1">
        <v>650000</v>
      </c>
      <c r="W46" s="1">
        <v>3058860</v>
      </c>
      <c r="X46" s="1">
        <v>458828</v>
      </c>
      <c r="Y46" s="1">
        <v>13640</v>
      </c>
      <c r="Z46" s="62">
        <v>16095945</v>
      </c>
      <c r="AA46" s="62">
        <v>20505212</v>
      </c>
      <c r="AB46" s="1">
        <v>4409267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1057300</v>
      </c>
      <c r="AI46" s="1">
        <v>1305000</v>
      </c>
    </row>
    <row r="47" spans="1:35">
      <c r="A47" s="1" t="str">
        <f>"9157091"</f>
        <v>9157091</v>
      </c>
      <c r="B47" s="1" t="str">
        <f>"علي ساري"</f>
        <v>علي ساري</v>
      </c>
      <c r="C47" s="1" t="str">
        <f t="shared" si="0"/>
        <v>توليد توسعه - دارخوين</v>
      </c>
      <c r="D47" s="1">
        <v>0</v>
      </c>
      <c r="E47" s="1">
        <v>13640</v>
      </c>
      <c r="F47" s="1">
        <v>76685</v>
      </c>
      <c r="G47" s="1">
        <v>0</v>
      </c>
      <c r="H47" s="1">
        <v>919455</v>
      </c>
      <c r="I47" s="1">
        <v>200000</v>
      </c>
      <c r="J47" s="1">
        <v>1700000</v>
      </c>
      <c r="K47" s="1">
        <v>1012000</v>
      </c>
      <c r="L47" s="1">
        <v>-739558</v>
      </c>
      <c r="M47" s="1">
        <v>960000</v>
      </c>
      <c r="N47" s="1">
        <v>-665004</v>
      </c>
      <c r="O47" s="1">
        <v>11707739</v>
      </c>
      <c r="P47" s="1">
        <v>0</v>
      </c>
      <c r="Q47" s="1">
        <v>1375010</v>
      </c>
      <c r="R47" s="1">
        <v>857840</v>
      </c>
      <c r="S47" s="1">
        <v>0</v>
      </c>
      <c r="T47" s="1">
        <v>98305</v>
      </c>
      <c r="U47" s="1">
        <v>2446188</v>
      </c>
      <c r="V47" s="1">
        <v>650000</v>
      </c>
      <c r="W47" s="1">
        <v>2450974</v>
      </c>
      <c r="X47" s="1">
        <v>367645</v>
      </c>
      <c r="Y47" s="1">
        <v>13640</v>
      </c>
      <c r="Z47" s="62">
        <v>12493994</v>
      </c>
      <c r="AA47" s="62">
        <v>16546327</v>
      </c>
      <c r="AB47" s="1">
        <v>4052333</v>
      </c>
      <c r="AC47" s="1">
        <v>1388888</v>
      </c>
      <c r="AD47" s="1">
        <v>36111088</v>
      </c>
      <c r="AE47" s="1">
        <v>13888912</v>
      </c>
      <c r="AF47" s="1">
        <v>50000000</v>
      </c>
      <c r="AG47" s="1">
        <v>50000000</v>
      </c>
      <c r="AH47" s="1">
        <v>1057300</v>
      </c>
      <c r="AI47" s="1">
        <v>0</v>
      </c>
    </row>
    <row r="48" spans="1:35">
      <c r="A48" s="1" t="str">
        <f>"9157092"</f>
        <v>9157092</v>
      </c>
      <c r="B48" s="1" t="str">
        <f>"جهاد سياحي"</f>
        <v>جهاد سياحي</v>
      </c>
      <c r="C48" s="1" t="str">
        <f t="shared" si="0"/>
        <v>توليد توسعه - دارخوين</v>
      </c>
      <c r="D48" s="1">
        <v>0</v>
      </c>
      <c r="E48" s="1">
        <v>13640</v>
      </c>
      <c r="F48" s="1">
        <v>0</v>
      </c>
      <c r="G48" s="1">
        <v>0</v>
      </c>
      <c r="H48" s="1">
        <v>919455</v>
      </c>
      <c r="I48" s="1">
        <v>200000</v>
      </c>
      <c r="J48" s="1">
        <v>1700000</v>
      </c>
      <c r="K48" s="1">
        <v>1012000</v>
      </c>
      <c r="L48" s="1">
        <v>1149579</v>
      </c>
      <c r="M48" s="1">
        <v>960000</v>
      </c>
      <c r="N48" s="1">
        <v>0</v>
      </c>
      <c r="O48" s="1">
        <v>12226989</v>
      </c>
      <c r="P48" s="1">
        <v>0</v>
      </c>
      <c r="Q48" s="1">
        <v>1393610</v>
      </c>
      <c r="R48" s="1">
        <v>1068912</v>
      </c>
      <c r="S48" s="1">
        <v>0</v>
      </c>
      <c r="T48" s="1">
        <v>244189</v>
      </c>
      <c r="U48" s="1">
        <v>1057300</v>
      </c>
      <c r="V48" s="1">
        <v>650000</v>
      </c>
      <c r="W48" s="1">
        <v>3054036</v>
      </c>
      <c r="X48" s="1">
        <v>458104</v>
      </c>
      <c r="Y48" s="1">
        <v>13640</v>
      </c>
      <c r="Z48" s="62">
        <v>16541232</v>
      </c>
      <c r="AA48" s="62">
        <v>19561633</v>
      </c>
      <c r="AB48" s="1">
        <v>3020401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1057300</v>
      </c>
      <c r="AI48" s="1">
        <v>0</v>
      </c>
    </row>
    <row r="49" spans="4:35">
      <c r="D49" s="3">
        <f>SUM(D2:D48)</f>
        <v>0</v>
      </c>
      <c r="E49" s="3">
        <f t="shared" ref="E49:R49" si="1">SUM(E2:E48)</f>
        <v>641080</v>
      </c>
      <c r="F49" s="3">
        <f t="shared" si="1"/>
        <v>6968041</v>
      </c>
      <c r="G49" s="3">
        <f t="shared" si="1"/>
        <v>72671</v>
      </c>
      <c r="H49" s="3">
        <f t="shared" si="1"/>
        <v>74475855</v>
      </c>
      <c r="I49" s="3">
        <f t="shared" si="1"/>
        <v>9400000</v>
      </c>
      <c r="J49" s="3">
        <f t="shared" si="1"/>
        <v>79900000</v>
      </c>
      <c r="K49" s="3">
        <f t="shared" si="1"/>
        <v>47564000</v>
      </c>
      <c r="L49" s="3">
        <f t="shared" si="1"/>
        <v>-22821004</v>
      </c>
      <c r="M49" s="3">
        <f t="shared" si="1"/>
        <v>45120000</v>
      </c>
      <c r="N49" s="3">
        <f t="shared" si="1"/>
        <v>-5539167</v>
      </c>
      <c r="O49" s="3">
        <f t="shared" si="1"/>
        <v>602238953</v>
      </c>
      <c r="P49" s="3">
        <f t="shared" si="1"/>
        <v>5217114</v>
      </c>
      <c r="Q49" s="3">
        <f t="shared" si="1"/>
        <v>66241834</v>
      </c>
      <c r="R49" s="3">
        <f t="shared" si="1"/>
        <v>47306399</v>
      </c>
      <c r="S49" s="3">
        <f t="shared" ref="S49:AB49" si="2">SUM(S2:S48)</f>
        <v>0</v>
      </c>
      <c r="T49" s="3">
        <f t="shared" si="2"/>
        <v>11725781</v>
      </c>
      <c r="U49" s="3">
        <f t="shared" si="2"/>
        <v>79015307</v>
      </c>
      <c r="V49" s="3">
        <f t="shared" si="2"/>
        <v>24700000</v>
      </c>
      <c r="W49" s="3">
        <f t="shared" si="2"/>
        <v>135161164</v>
      </c>
      <c r="X49" s="3">
        <f t="shared" si="2"/>
        <v>20274180</v>
      </c>
      <c r="Y49" s="3">
        <f t="shared" si="2"/>
        <v>641080</v>
      </c>
      <c r="Z49" s="3">
        <f t="shared" si="2"/>
        <v>746090810</v>
      </c>
      <c r="AA49" s="3">
        <f t="shared" si="2"/>
        <v>908838297</v>
      </c>
      <c r="AB49" s="3">
        <f t="shared" si="2"/>
        <v>162747487</v>
      </c>
      <c r="AC49" s="3">
        <f t="shared" ref="AC49:AG49" si="3">SUM(AC2:AC48)</f>
        <v>24972207</v>
      </c>
      <c r="AD49" s="3">
        <f t="shared" si="3"/>
        <v>591249665</v>
      </c>
      <c r="AE49" s="3">
        <f t="shared" si="3"/>
        <v>307750335</v>
      </c>
      <c r="AF49" s="3">
        <f t="shared" si="3"/>
        <v>899000000</v>
      </c>
      <c r="AG49" s="3">
        <f t="shared" si="3"/>
        <v>899000000</v>
      </c>
      <c r="AH49" s="3">
        <f t="shared" ref="AH49" si="4">SUM(AH2:AH48)</f>
        <v>49693100</v>
      </c>
      <c r="AI49" s="3">
        <f>SUM(AI2:AI48)</f>
        <v>4350000</v>
      </c>
    </row>
    <row r="52" spans="4:35" s="68" customFormat="1" ht="15">
      <c r="D52" s="68">
        <v>0</v>
      </c>
      <c r="E52" s="68">
        <v>641080</v>
      </c>
      <c r="F52" s="68">
        <v>6968041</v>
      </c>
      <c r="G52" s="68">
        <v>72671</v>
      </c>
      <c r="H52" s="68">
        <v>74475855</v>
      </c>
      <c r="I52" s="68">
        <v>9400000</v>
      </c>
      <c r="J52" s="68">
        <v>79900000</v>
      </c>
      <c r="K52" s="68">
        <v>47564000</v>
      </c>
      <c r="L52" s="68">
        <v>-22821004</v>
      </c>
      <c r="M52" s="68">
        <v>45120000</v>
      </c>
      <c r="N52" s="68">
        <v>-5539167</v>
      </c>
      <c r="O52" s="68">
        <v>602238953</v>
      </c>
      <c r="P52" s="68">
        <v>5217114</v>
      </c>
      <c r="Q52" s="68">
        <v>66241834</v>
      </c>
      <c r="R52" s="68">
        <v>47306399</v>
      </c>
      <c r="S52" s="68">
        <v>0</v>
      </c>
      <c r="T52" s="68">
        <v>11725781</v>
      </c>
      <c r="U52" s="68">
        <v>79015307</v>
      </c>
      <c r="V52" s="68">
        <v>24700000</v>
      </c>
      <c r="W52" s="68">
        <v>135161164</v>
      </c>
      <c r="X52" s="68">
        <v>20274180</v>
      </c>
      <c r="Y52" s="68">
        <v>641080</v>
      </c>
      <c r="Z52" s="68">
        <v>746090810</v>
      </c>
      <c r="AA52" s="68">
        <v>908838297</v>
      </c>
      <c r="AB52" s="68">
        <v>162747487</v>
      </c>
      <c r="AC52" s="68">
        <v>24972207</v>
      </c>
      <c r="AD52" s="68">
        <v>591249665</v>
      </c>
      <c r="AE52" s="68">
        <v>307750335</v>
      </c>
      <c r="AF52" s="68">
        <v>899000000</v>
      </c>
      <c r="AG52" s="68">
        <v>899000000</v>
      </c>
      <c r="AH52" s="68">
        <v>49693100</v>
      </c>
      <c r="AI52" s="68">
        <v>4350000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rightToLeft="1" workbookViewId="0">
      <selection activeCell="I1" sqref="I1"/>
    </sheetView>
  </sheetViews>
  <sheetFormatPr defaultRowHeight="15"/>
  <cols>
    <col min="1" max="1" width="5" bestFit="1" customWidth="1"/>
    <col min="2" max="2" width="8.140625" bestFit="1" customWidth="1"/>
    <col min="3" max="3" width="11" bestFit="1" customWidth="1"/>
    <col min="4" max="4" width="20.42578125" bestFit="1" customWidth="1"/>
    <col min="5" max="5" width="11.140625" bestFit="1" customWidth="1"/>
    <col min="6" max="7" width="10.140625" bestFit="1" customWidth="1"/>
    <col min="8" max="8" width="18.28515625" bestFit="1" customWidth="1"/>
    <col min="9" max="9" width="7" bestFit="1" customWidth="1"/>
    <col min="10" max="10" width="5.28515625" bestFit="1" customWidth="1"/>
    <col min="11" max="11" width="13.7109375" style="7" bestFit="1" customWidth="1"/>
    <col min="12" max="12" width="10.7109375" style="7" bestFit="1" customWidth="1"/>
    <col min="13" max="13" width="5.42578125" style="7" bestFit="1" customWidth="1"/>
    <col min="14" max="14" width="13.140625" style="7" bestFit="1" customWidth="1"/>
    <col min="15" max="15" width="12.140625" bestFit="1" customWidth="1"/>
  </cols>
  <sheetData>
    <row r="1" spans="1:14" s="73" customFormat="1" ht="105">
      <c r="A1" s="69" t="s">
        <v>168</v>
      </c>
      <c r="B1" s="70" t="s">
        <v>169</v>
      </c>
      <c r="C1" s="69" t="s">
        <v>170</v>
      </c>
      <c r="D1" s="69" t="s">
        <v>171</v>
      </c>
      <c r="E1" s="69" t="s">
        <v>172</v>
      </c>
      <c r="F1" s="69" t="s">
        <v>173</v>
      </c>
      <c r="G1" s="69" t="s">
        <v>174</v>
      </c>
      <c r="H1" s="69" t="s">
        <v>175</v>
      </c>
      <c r="I1" s="69" t="s">
        <v>176</v>
      </c>
      <c r="J1" s="69" t="s">
        <v>177</v>
      </c>
      <c r="K1" s="71" t="s">
        <v>178</v>
      </c>
      <c r="L1" s="71" t="s">
        <v>179</v>
      </c>
      <c r="M1" s="71" t="s">
        <v>180</v>
      </c>
      <c r="N1" s="72" t="s">
        <v>181</v>
      </c>
    </row>
    <row r="2" spans="1:14" ht="21">
      <c r="A2" s="74">
        <v>1</v>
      </c>
      <c r="B2" s="75">
        <v>9157049</v>
      </c>
      <c r="C2" s="76" t="s">
        <v>182</v>
      </c>
      <c r="D2" s="76" t="s">
        <v>183</v>
      </c>
      <c r="E2" s="77" t="s">
        <v>184</v>
      </c>
      <c r="F2" s="76" t="s">
        <v>185</v>
      </c>
      <c r="G2" s="76" t="s">
        <v>186</v>
      </c>
      <c r="H2" s="76" t="s">
        <v>45</v>
      </c>
      <c r="I2" s="76" t="s">
        <v>187</v>
      </c>
      <c r="J2" s="76">
        <v>2</v>
      </c>
      <c r="K2" s="78">
        <v>435000</v>
      </c>
      <c r="L2" s="78">
        <f>K2*J2</f>
        <v>870000</v>
      </c>
      <c r="M2" s="78">
        <v>12</v>
      </c>
      <c r="N2" s="78">
        <f>M2*L2</f>
        <v>10440000</v>
      </c>
    </row>
    <row r="3" spans="1:14" ht="21">
      <c r="A3" s="74">
        <v>2</v>
      </c>
      <c r="B3" s="74"/>
      <c r="C3" s="79" t="s">
        <v>188</v>
      </c>
      <c r="D3" s="79" t="s">
        <v>189</v>
      </c>
      <c r="E3" s="80" t="s">
        <v>190</v>
      </c>
      <c r="F3" s="79" t="s">
        <v>185</v>
      </c>
      <c r="G3" s="79" t="s">
        <v>186</v>
      </c>
      <c r="H3" s="79" t="s">
        <v>45</v>
      </c>
      <c r="I3" s="81" t="s">
        <v>191</v>
      </c>
      <c r="J3" s="82"/>
      <c r="K3" s="83">
        <v>435000</v>
      </c>
      <c r="L3" s="83">
        <f t="shared" ref="L3:L66" si="0">K3*J3</f>
        <v>0</v>
      </c>
      <c r="M3" s="84">
        <v>12</v>
      </c>
      <c r="N3" s="85"/>
    </row>
    <row r="4" spans="1:14" ht="21">
      <c r="A4" s="74">
        <v>3</v>
      </c>
      <c r="B4" s="75">
        <v>9157024</v>
      </c>
      <c r="C4" s="75" t="s">
        <v>192</v>
      </c>
      <c r="D4" s="75" t="s">
        <v>193</v>
      </c>
      <c r="E4" s="75" t="s">
        <v>194</v>
      </c>
      <c r="F4" s="75" t="s">
        <v>185</v>
      </c>
      <c r="G4" s="75" t="s">
        <v>186</v>
      </c>
      <c r="H4" s="75" t="s">
        <v>195</v>
      </c>
      <c r="I4" s="75" t="s">
        <v>187</v>
      </c>
      <c r="J4" s="76">
        <v>3</v>
      </c>
      <c r="K4" s="78">
        <v>435000</v>
      </c>
      <c r="L4" s="78">
        <f t="shared" si="0"/>
        <v>1305000</v>
      </c>
      <c r="M4" s="78">
        <v>12</v>
      </c>
      <c r="N4" s="78">
        <f>L4*M4</f>
        <v>15660000</v>
      </c>
    </row>
    <row r="5" spans="1:14" ht="21">
      <c r="A5" s="74">
        <v>4</v>
      </c>
      <c r="B5" s="74"/>
      <c r="C5" s="86" t="s">
        <v>196</v>
      </c>
      <c r="D5" s="86" t="s">
        <v>197</v>
      </c>
      <c r="E5" s="86" t="s">
        <v>198</v>
      </c>
      <c r="F5" s="86" t="s">
        <v>185</v>
      </c>
      <c r="G5" s="86" t="s">
        <v>186</v>
      </c>
      <c r="H5" s="86" t="s">
        <v>195</v>
      </c>
      <c r="I5" s="86">
        <v>0</v>
      </c>
      <c r="J5" s="82"/>
      <c r="K5" s="84">
        <v>435000</v>
      </c>
      <c r="L5" s="83">
        <f t="shared" si="0"/>
        <v>0</v>
      </c>
      <c r="M5" s="84">
        <v>12</v>
      </c>
      <c r="N5" s="85"/>
    </row>
    <row r="6" spans="1:14" ht="21">
      <c r="A6" s="74">
        <v>5</v>
      </c>
      <c r="B6" s="74"/>
      <c r="C6" s="86" t="s">
        <v>199</v>
      </c>
      <c r="D6" s="86" t="s">
        <v>193</v>
      </c>
      <c r="E6" s="86" t="s">
        <v>192</v>
      </c>
      <c r="F6" s="86" t="s">
        <v>185</v>
      </c>
      <c r="G6" s="86" t="s">
        <v>186</v>
      </c>
      <c r="H6" s="86" t="s">
        <v>195</v>
      </c>
      <c r="I6" s="86">
        <v>0</v>
      </c>
      <c r="J6" s="82"/>
      <c r="K6" s="84">
        <v>435000</v>
      </c>
      <c r="L6" s="83">
        <f t="shared" si="0"/>
        <v>0</v>
      </c>
      <c r="M6" s="84">
        <v>12</v>
      </c>
      <c r="N6" s="85"/>
    </row>
    <row r="7" spans="1:14" ht="21">
      <c r="A7" s="74">
        <v>6</v>
      </c>
      <c r="B7" s="75">
        <v>9157032</v>
      </c>
      <c r="C7" s="75" t="s">
        <v>200</v>
      </c>
      <c r="D7" s="75" t="s">
        <v>201</v>
      </c>
      <c r="E7" s="75" t="s">
        <v>202</v>
      </c>
      <c r="F7" s="75" t="s">
        <v>185</v>
      </c>
      <c r="G7" s="75" t="s">
        <v>186</v>
      </c>
      <c r="H7" s="75" t="s">
        <v>195</v>
      </c>
      <c r="I7" s="75" t="s">
        <v>187</v>
      </c>
      <c r="J7" s="76">
        <v>2</v>
      </c>
      <c r="K7" s="78">
        <v>435000</v>
      </c>
      <c r="L7" s="78">
        <f t="shared" si="0"/>
        <v>870000</v>
      </c>
      <c r="M7" s="78">
        <v>12</v>
      </c>
      <c r="N7" s="78">
        <f>L7*M7</f>
        <v>10440000</v>
      </c>
    </row>
    <row r="8" spans="1:14" ht="21">
      <c r="A8" s="74">
        <v>7</v>
      </c>
      <c r="B8" s="74"/>
      <c r="C8" s="86" t="s">
        <v>203</v>
      </c>
      <c r="D8" s="86" t="s">
        <v>204</v>
      </c>
      <c r="E8" s="86" t="s">
        <v>205</v>
      </c>
      <c r="F8" s="86" t="s">
        <v>185</v>
      </c>
      <c r="G8" s="86" t="s">
        <v>186</v>
      </c>
      <c r="H8" s="86" t="s">
        <v>195</v>
      </c>
      <c r="I8" s="86">
        <v>0</v>
      </c>
      <c r="J8" s="82"/>
      <c r="K8" s="84">
        <v>435000</v>
      </c>
      <c r="L8" s="83">
        <f t="shared" si="0"/>
        <v>0</v>
      </c>
      <c r="M8" s="84">
        <v>12</v>
      </c>
      <c r="N8" s="85"/>
    </row>
    <row r="9" spans="1:14" ht="21">
      <c r="A9" s="74">
        <v>8</v>
      </c>
      <c r="B9" s="75">
        <v>9157025</v>
      </c>
      <c r="C9" s="75" t="s">
        <v>206</v>
      </c>
      <c r="D9" s="75" t="s">
        <v>207</v>
      </c>
      <c r="E9" s="75" t="s">
        <v>208</v>
      </c>
      <c r="F9" s="75" t="s">
        <v>185</v>
      </c>
      <c r="G9" s="75" t="s">
        <v>186</v>
      </c>
      <c r="H9" s="75" t="s">
        <v>195</v>
      </c>
      <c r="I9" s="75" t="s">
        <v>187</v>
      </c>
      <c r="J9" s="76">
        <v>4</v>
      </c>
      <c r="K9" s="78">
        <v>435000</v>
      </c>
      <c r="L9" s="78">
        <f t="shared" si="0"/>
        <v>1740000</v>
      </c>
      <c r="M9" s="78">
        <v>12</v>
      </c>
      <c r="N9" s="78">
        <f>L9*M9</f>
        <v>20880000</v>
      </c>
    </row>
    <row r="10" spans="1:14" ht="21">
      <c r="A10" s="74">
        <v>9</v>
      </c>
      <c r="B10" s="74"/>
      <c r="C10" s="86" t="s">
        <v>209</v>
      </c>
      <c r="D10" s="86" t="s">
        <v>210</v>
      </c>
      <c r="E10" s="86" t="s">
        <v>211</v>
      </c>
      <c r="F10" s="86" t="s">
        <v>185</v>
      </c>
      <c r="G10" s="86" t="s">
        <v>186</v>
      </c>
      <c r="H10" s="86" t="s">
        <v>195</v>
      </c>
      <c r="I10" s="86">
        <v>0</v>
      </c>
      <c r="J10" s="82"/>
      <c r="K10" s="84">
        <v>435000</v>
      </c>
      <c r="L10" s="83">
        <f t="shared" si="0"/>
        <v>0</v>
      </c>
      <c r="M10" s="84">
        <v>12</v>
      </c>
      <c r="N10" s="85"/>
    </row>
    <row r="11" spans="1:14" ht="21">
      <c r="A11" s="74">
        <v>10</v>
      </c>
      <c r="B11" s="74"/>
      <c r="C11" s="86" t="s">
        <v>212</v>
      </c>
      <c r="D11" s="86" t="s">
        <v>207</v>
      </c>
      <c r="E11" s="86" t="s">
        <v>213</v>
      </c>
      <c r="F11" s="86" t="s">
        <v>185</v>
      </c>
      <c r="G11" s="86" t="s">
        <v>186</v>
      </c>
      <c r="H11" s="86" t="s">
        <v>195</v>
      </c>
      <c r="I11" s="86">
        <v>0</v>
      </c>
      <c r="J11" s="82"/>
      <c r="K11" s="84">
        <v>435000</v>
      </c>
      <c r="L11" s="83">
        <f t="shared" si="0"/>
        <v>0</v>
      </c>
      <c r="M11" s="84">
        <v>12</v>
      </c>
      <c r="N11" s="85"/>
    </row>
    <row r="12" spans="1:14" ht="21">
      <c r="A12" s="74">
        <v>11</v>
      </c>
      <c r="B12" s="74"/>
      <c r="C12" s="86" t="s">
        <v>214</v>
      </c>
      <c r="D12" s="86" t="s">
        <v>207</v>
      </c>
      <c r="E12" s="86" t="s">
        <v>213</v>
      </c>
      <c r="F12" s="86" t="s">
        <v>185</v>
      </c>
      <c r="G12" s="86" t="s">
        <v>186</v>
      </c>
      <c r="H12" s="86" t="s">
        <v>195</v>
      </c>
      <c r="I12" s="86">
        <v>0</v>
      </c>
      <c r="J12" s="82"/>
      <c r="K12" s="84">
        <v>435000</v>
      </c>
      <c r="L12" s="83">
        <f t="shared" si="0"/>
        <v>0</v>
      </c>
      <c r="M12" s="84">
        <v>12</v>
      </c>
      <c r="N12" s="85"/>
    </row>
    <row r="13" spans="1:14" ht="21">
      <c r="A13" s="74">
        <v>12</v>
      </c>
      <c r="B13" s="75">
        <v>9157009</v>
      </c>
      <c r="C13" s="75" t="s">
        <v>215</v>
      </c>
      <c r="D13" s="75" t="s">
        <v>216</v>
      </c>
      <c r="E13" s="75" t="s">
        <v>217</v>
      </c>
      <c r="F13" s="75" t="s">
        <v>185</v>
      </c>
      <c r="G13" s="75" t="s">
        <v>186</v>
      </c>
      <c r="H13" s="75" t="s">
        <v>195</v>
      </c>
      <c r="I13" s="75" t="s">
        <v>187</v>
      </c>
      <c r="J13" s="76">
        <v>4</v>
      </c>
      <c r="K13" s="78">
        <v>435000</v>
      </c>
      <c r="L13" s="78">
        <f t="shared" si="0"/>
        <v>1740000</v>
      </c>
      <c r="M13" s="78">
        <v>12</v>
      </c>
      <c r="N13" s="78">
        <f>L13*M13</f>
        <v>20880000</v>
      </c>
    </row>
    <row r="14" spans="1:14" ht="21">
      <c r="A14" s="74">
        <v>13</v>
      </c>
      <c r="B14" s="74"/>
      <c r="C14" s="86" t="s">
        <v>218</v>
      </c>
      <c r="D14" s="86" t="s">
        <v>219</v>
      </c>
      <c r="E14" s="86" t="s">
        <v>220</v>
      </c>
      <c r="F14" s="86" t="s">
        <v>185</v>
      </c>
      <c r="G14" s="86" t="s">
        <v>186</v>
      </c>
      <c r="H14" s="86" t="s">
        <v>195</v>
      </c>
      <c r="I14" s="86">
        <v>0</v>
      </c>
      <c r="J14" s="82"/>
      <c r="K14" s="84">
        <v>435000</v>
      </c>
      <c r="L14" s="83">
        <f t="shared" si="0"/>
        <v>0</v>
      </c>
      <c r="M14" s="84">
        <v>12</v>
      </c>
      <c r="N14" s="85"/>
    </row>
    <row r="15" spans="1:14" ht="21">
      <c r="A15" s="74">
        <v>14</v>
      </c>
      <c r="B15" s="74"/>
      <c r="C15" s="86" t="s">
        <v>221</v>
      </c>
      <c r="D15" s="86" t="s">
        <v>216</v>
      </c>
      <c r="E15" s="86" t="s">
        <v>215</v>
      </c>
      <c r="F15" s="86" t="s">
        <v>185</v>
      </c>
      <c r="G15" s="86" t="s">
        <v>186</v>
      </c>
      <c r="H15" s="86" t="s">
        <v>195</v>
      </c>
      <c r="I15" s="86">
        <v>0</v>
      </c>
      <c r="J15" s="82"/>
      <c r="K15" s="84">
        <v>435000</v>
      </c>
      <c r="L15" s="83">
        <f t="shared" si="0"/>
        <v>0</v>
      </c>
      <c r="M15" s="84">
        <v>12</v>
      </c>
      <c r="N15" s="85"/>
    </row>
    <row r="16" spans="1:14" ht="21">
      <c r="A16" s="74">
        <v>15</v>
      </c>
      <c r="B16" s="74"/>
      <c r="C16" s="86" t="s">
        <v>222</v>
      </c>
      <c r="D16" s="86" t="s">
        <v>216</v>
      </c>
      <c r="E16" s="86" t="s">
        <v>215</v>
      </c>
      <c r="F16" s="86" t="s">
        <v>185</v>
      </c>
      <c r="G16" s="86" t="s">
        <v>186</v>
      </c>
      <c r="H16" s="86" t="s">
        <v>195</v>
      </c>
      <c r="I16" s="86">
        <v>0</v>
      </c>
      <c r="J16" s="82"/>
      <c r="K16" s="84">
        <v>435000</v>
      </c>
      <c r="L16" s="83">
        <f t="shared" si="0"/>
        <v>0</v>
      </c>
      <c r="M16" s="84">
        <v>12</v>
      </c>
      <c r="N16" s="85"/>
    </row>
    <row r="17" spans="1:14" ht="21">
      <c r="A17" s="74">
        <v>16</v>
      </c>
      <c r="B17" s="75">
        <v>9157014</v>
      </c>
      <c r="C17" s="75" t="s">
        <v>223</v>
      </c>
      <c r="D17" s="75" t="s">
        <v>224</v>
      </c>
      <c r="E17" s="75" t="s">
        <v>225</v>
      </c>
      <c r="F17" s="75" t="s">
        <v>185</v>
      </c>
      <c r="G17" s="75" t="s">
        <v>186</v>
      </c>
      <c r="H17" s="75" t="s">
        <v>195</v>
      </c>
      <c r="I17" s="75" t="s">
        <v>187</v>
      </c>
      <c r="J17" s="76">
        <v>3</v>
      </c>
      <c r="K17" s="78">
        <v>435000</v>
      </c>
      <c r="L17" s="78">
        <f t="shared" si="0"/>
        <v>1305000</v>
      </c>
      <c r="M17" s="78">
        <v>12</v>
      </c>
      <c r="N17" s="78">
        <f>L17*M17</f>
        <v>15660000</v>
      </c>
    </row>
    <row r="18" spans="1:14" ht="21">
      <c r="A18" s="74">
        <v>17</v>
      </c>
      <c r="B18" s="74"/>
      <c r="C18" s="86" t="s">
        <v>214</v>
      </c>
      <c r="D18" s="86" t="s">
        <v>226</v>
      </c>
      <c r="E18" s="86" t="s">
        <v>227</v>
      </c>
      <c r="F18" s="86" t="s">
        <v>185</v>
      </c>
      <c r="G18" s="86" t="s">
        <v>186</v>
      </c>
      <c r="H18" s="86" t="s">
        <v>195</v>
      </c>
      <c r="I18" s="86">
        <v>0</v>
      </c>
      <c r="J18" s="82"/>
      <c r="K18" s="84">
        <v>435000</v>
      </c>
      <c r="L18" s="83">
        <f t="shared" si="0"/>
        <v>0</v>
      </c>
      <c r="M18" s="84">
        <v>12</v>
      </c>
      <c r="N18" s="85"/>
    </row>
    <row r="19" spans="1:14" ht="21">
      <c r="A19" s="74">
        <v>18</v>
      </c>
      <c r="B19" s="74"/>
      <c r="C19" s="86" t="s">
        <v>228</v>
      </c>
      <c r="D19" s="86" t="s">
        <v>224</v>
      </c>
      <c r="E19" s="86" t="s">
        <v>223</v>
      </c>
      <c r="F19" s="86" t="s">
        <v>185</v>
      </c>
      <c r="G19" s="86" t="s">
        <v>186</v>
      </c>
      <c r="H19" s="86" t="s">
        <v>195</v>
      </c>
      <c r="I19" s="86">
        <v>0</v>
      </c>
      <c r="J19" s="82"/>
      <c r="K19" s="84">
        <v>435000</v>
      </c>
      <c r="L19" s="83">
        <f t="shared" si="0"/>
        <v>0</v>
      </c>
      <c r="M19" s="84">
        <v>12</v>
      </c>
      <c r="N19" s="85"/>
    </row>
    <row r="20" spans="1:14" ht="21">
      <c r="A20" s="74">
        <v>19</v>
      </c>
      <c r="B20" s="75">
        <v>9157001</v>
      </c>
      <c r="C20" s="75" t="s">
        <v>229</v>
      </c>
      <c r="D20" s="75" t="s">
        <v>230</v>
      </c>
      <c r="E20" s="75" t="s">
        <v>231</v>
      </c>
      <c r="F20" s="75" t="s">
        <v>185</v>
      </c>
      <c r="G20" s="75" t="s">
        <v>186</v>
      </c>
      <c r="H20" s="75" t="s">
        <v>195</v>
      </c>
      <c r="I20" s="75" t="s">
        <v>187</v>
      </c>
      <c r="J20" s="76">
        <v>2</v>
      </c>
      <c r="K20" s="78">
        <v>435000</v>
      </c>
      <c r="L20" s="78">
        <f t="shared" si="0"/>
        <v>870000</v>
      </c>
      <c r="M20" s="78">
        <v>12</v>
      </c>
      <c r="N20" s="78">
        <f>L20*M20</f>
        <v>10440000</v>
      </c>
    </row>
    <row r="21" spans="1:14" ht="21">
      <c r="A21" s="74">
        <v>20</v>
      </c>
      <c r="B21" s="74"/>
      <c r="C21" s="86" t="s">
        <v>232</v>
      </c>
      <c r="D21" s="86" t="s">
        <v>233</v>
      </c>
      <c r="E21" s="86" t="s">
        <v>234</v>
      </c>
      <c r="F21" s="86" t="s">
        <v>185</v>
      </c>
      <c r="G21" s="86" t="s">
        <v>186</v>
      </c>
      <c r="H21" s="86" t="s">
        <v>195</v>
      </c>
      <c r="I21" s="86">
        <v>0</v>
      </c>
      <c r="J21" s="82"/>
      <c r="K21" s="84">
        <v>435000</v>
      </c>
      <c r="L21" s="83">
        <f t="shared" si="0"/>
        <v>0</v>
      </c>
      <c r="M21" s="84">
        <v>12</v>
      </c>
      <c r="N21" s="85"/>
    </row>
    <row r="22" spans="1:14" ht="21">
      <c r="A22" s="74">
        <v>21</v>
      </c>
      <c r="B22" s="75">
        <v>9157003</v>
      </c>
      <c r="C22" s="75" t="s">
        <v>235</v>
      </c>
      <c r="D22" s="75" t="s">
        <v>236</v>
      </c>
      <c r="E22" s="75" t="s">
        <v>237</v>
      </c>
      <c r="F22" s="75" t="s">
        <v>185</v>
      </c>
      <c r="G22" s="75" t="s">
        <v>186</v>
      </c>
      <c r="H22" s="75" t="s">
        <v>195</v>
      </c>
      <c r="I22" s="75" t="s">
        <v>187</v>
      </c>
      <c r="J22" s="76">
        <v>3</v>
      </c>
      <c r="K22" s="78">
        <v>435000</v>
      </c>
      <c r="L22" s="78">
        <f t="shared" si="0"/>
        <v>1305000</v>
      </c>
      <c r="M22" s="78">
        <v>12</v>
      </c>
      <c r="N22" s="78">
        <f>L22*M22</f>
        <v>15660000</v>
      </c>
    </row>
    <row r="23" spans="1:14" ht="21">
      <c r="A23" s="74">
        <v>22</v>
      </c>
      <c r="B23" s="74"/>
      <c r="C23" s="86" t="s">
        <v>238</v>
      </c>
      <c r="D23" s="86" t="s">
        <v>236</v>
      </c>
      <c r="E23" s="86" t="s">
        <v>239</v>
      </c>
      <c r="F23" s="86" t="s">
        <v>185</v>
      </c>
      <c r="G23" s="86" t="s">
        <v>186</v>
      </c>
      <c r="H23" s="86" t="s">
        <v>195</v>
      </c>
      <c r="I23" s="86">
        <v>0</v>
      </c>
      <c r="J23" s="82"/>
      <c r="K23" s="84">
        <v>435000</v>
      </c>
      <c r="L23" s="83">
        <f t="shared" si="0"/>
        <v>0</v>
      </c>
      <c r="M23" s="84">
        <v>12</v>
      </c>
      <c r="N23" s="85"/>
    </row>
    <row r="24" spans="1:14" ht="21">
      <c r="A24" s="74">
        <v>23</v>
      </c>
      <c r="B24" s="74"/>
      <c r="C24" s="86" t="s">
        <v>240</v>
      </c>
      <c r="D24" s="86" t="s">
        <v>241</v>
      </c>
      <c r="E24" s="86" t="s">
        <v>242</v>
      </c>
      <c r="F24" s="86" t="s">
        <v>185</v>
      </c>
      <c r="G24" s="86" t="s">
        <v>186</v>
      </c>
      <c r="H24" s="86" t="s">
        <v>195</v>
      </c>
      <c r="I24" s="86">
        <v>0</v>
      </c>
      <c r="J24" s="82"/>
      <c r="K24" s="84">
        <v>435000</v>
      </c>
      <c r="L24" s="83">
        <f t="shared" si="0"/>
        <v>0</v>
      </c>
      <c r="M24" s="84">
        <v>12</v>
      </c>
      <c r="N24" s="85"/>
    </row>
    <row r="25" spans="1:14" ht="21">
      <c r="A25" s="74">
        <v>24</v>
      </c>
      <c r="B25" s="75">
        <v>9157011</v>
      </c>
      <c r="C25" s="75" t="s">
        <v>243</v>
      </c>
      <c r="D25" s="75" t="s">
        <v>244</v>
      </c>
      <c r="E25" s="75" t="s">
        <v>245</v>
      </c>
      <c r="F25" s="75" t="s">
        <v>185</v>
      </c>
      <c r="G25" s="75" t="s">
        <v>186</v>
      </c>
      <c r="H25" s="75" t="s">
        <v>195</v>
      </c>
      <c r="I25" s="75" t="s">
        <v>187</v>
      </c>
      <c r="J25" s="76">
        <v>2</v>
      </c>
      <c r="K25" s="78">
        <v>435000</v>
      </c>
      <c r="L25" s="78">
        <f t="shared" si="0"/>
        <v>870000</v>
      </c>
      <c r="M25" s="78">
        <v>12</v>
      </c>
      <c r="N25" s="78">
        <f>L25*M25</f>
        <v>10440000</v>
      </c>
    </row>
    <row r="26" spans="1:14" ht="21">
      <c r="A26" s="74">
        <v>25</v>
      </c>
      <c r="B26" s="74"/>
      <c r="C26" s="86" t="s">
        <v>246</v>
      </c>
      <c r="D26" s="86" t="s">
        <v>247</v>
      </c>
      <c r="E26" s="86" t="s">
        <v>248</v>
      </c>
      <c r="F26" s="86" t="s">
        <v>185</v>
      </c>
      <c r="G26" s="86" t="s">
        <v>186</v>
      </c>
      <c r="H26" s="86" t="s">
        <v>195</v>
      </c>
      <c r="I26" s="86">
        <v>0</v>
      </c>
      <c r="J26" s="82"/>
      <c r="K26" s="84">
        <v>435000</v>
      </c>
      <c r="L26" s="83">
        <f t="shared" si="0"/>
        <v>0</v>
      </c>
      <c r="M26" s="84">
        <v>12</v>
      </c>
      <c r="N26" s="85"/>
    </row>
    <row r="27" spans="1:14" ht="21">
      <c r="A27" s="74">
        <v>26</v>
      </c>
      <c r="B27" s="75">
        <v>9157005</v>
      </c>
      <c r="C27" s="75" t="s">
        <v>249</v>
      </c>
      <c r="D27" s="75" t="s">
        <v>250</v>
      </c>
      <c r="E27" s="75" t="s">
        <v>251</v>
      </c>
      <c r="F27" s="75" t="s">
        <v>185</v>
      </c>
      <c r="G27" s="75" t="s">
        <v>186</v>
      </c>
      <c r="H27" s="75" t="s">
        <v>195</v>
      </c>
      <c r="I27" s="75" t="s">
        <v>187</v>
      </c>
      <c r="J27" s="76">
        <v>2</v>
      </c>
      <c r="K27" s="78">
        <v>435000</v>
      </c>
      <c r="L27" s="78">
        <f t="shared" si="0"/>
        <v>870000</v>
      </c>
      <c r="M27" s="78">
        <v>12</v>
      </c>
      <c r="N27" s="78">
        <f>L27*M27</f>
        <v>10440000</v>
      </c>
    </row>
    <row r="28" spans="1:14" ht="21">
      <c r="A28" s="74">
        <v>27</v>
      </c>
      <c r="B28" s="74"/>
      <c r="C28" s="86" t="s">
        <v>218</v>
      </c>
      <c r="D28" s="86" t="s">
        <v>252</v>
      </c>
      <c r="E28" s="86" t="s">
        <v>253</v>
      </c>
      <c r="F28" s="86" t="s">
        <v>185</v>
      </c>
      <c r="G28" s="86" t="s">
        <v>186</v>
      </c>
      <c r="H28" s="86" t="s">
        <v>195</v>
      </c>
      <c r="I28" s="86">
        <v>0</v>
      </c>
      <c r="J28" s="82"/>
      <c r="K28" s="84">
        <v>435000</v>
      </c>
      <c r="L28" s="83">
        <f t="shared" si="0"/>
        <v>0</v>
      </c>
      <c r="M28" s="84">
        <v>12</v>
      </c>
      <c r="N28" s="85"/>
    </row>
    <row r="29" spans="1:14" ht="21">
      <c r="A29" s="74">
        <v>28</v>
      </c>
      <c r="B29" s="75">
        <v>9157012</v>
      </c>
      <c r="C29" s="75" t="s">
        <v>254</v>
      </c>
      <c r="D29" s="75" t="s">
        <v>255</v>
      </c>
      <c r="E29" s="75" t="s">
        <v>256</v>
      </c>
      <c r="F29" s="75" t="s">
        <v>185</v>
      </c>
      <c r="G29" s="75" t="s">
        <v>186</v>
      </c>
      <c r="H29" s="75" t="s">
        <v>195</v>
      </c>
      <c r="I29" s="75" t="s">
        <v>187</v>
      </c>
      <c r="J29" s="76">
        <v>4</v>
      </c>
      <c r="K29" s="78">
        <v>435000</v>
      </c>
      <c r="L29" s="78">
        <f t="shared" si="0"/>
        <v>1740000</v>
      </c>
      <c r="M29" s="78">
        <v>12</v>
      </c>
      <c r="N29" s="78">
        <f>L29*M29</f>
        <v>20880000</v>
      </c>
    </row>
    <row r="30" spans="1:14" ht="21">
      <c r="A30" s="74">
        <v>29</v>
      </c>
      <c r="B30" s="74"/>
      <c r="C30" s="86" t="s">
        <v>257</v>
      </c>
      <c r="D30" s="86" t="s">
        <v>258</v>
      </c>
      <c r="E30" s="86" t="s">
        <v>259</v>
      </c>
      <c r="F30" s="86" t="s">
        <v>185</v>
      </c>
      <c r="G30" s="86" t="s">
        <v>186</v>
      </c>
      <c r="H30" s="86" t="s">
        <v>195</v>
      </c>
      <c r="I30" s="86">
        <v>0</v>
      </c>
      <c r="J30" s="82"/>
      <c r="K30" s="84">
        <v>435000</v>
      </c>
      <c r="L30" s="83">
        <f t="shared" si="0"/>
        <v>0</v>
      </c>
      <c r="M30" s="84">
        <v>12</v>
      </c>
      <c r="N30" s="85"/>
    </row>
    <row r="31" spans="1:14" ht="21">
      <c r="A31" s="74">
        <v>30</v>
      </c>
      <c r="B31" s="74"/>
      <c r="C31" s="86" t="s">
        <v>260</v>
      </c>
      <c r="D31" s="86" t="s">
        <v>255</v>
      </c>
      <c r="E31" s="86" t="s">
        <v>261</v>
      </c>
      <c r="F31" s="86" t="s">
        <v>185</v>
      </c>
      <c r="G31" s="86" t="s">
        <v>186</v>
      </c>
      <c r="H31" s="86" t="s">
        <v>195</v>
      </c>
      <c r="I31" s="86">
        <v>0</v>
      </c>
      <c r="J31" s="82"/>
      <c r="K31" s="84">
        <v>435000</v>
      </c>
      <c r="L31" s="83">
        <f t="shared" si="0"/>
        <v>0</v>
      </c>
      <c r="M31" s="84">
        <v>12</v>
      </c>
      <c r="N31" s="85"/>
    </row>
    <row r="32" spans="1:14" ht="21">
      <c r="A32" s="74">
        <v>31</v>
      </c>
      <c r="B32" s="74"/>
      <c r="C32" s="86" t="s">
        <v>262</v>
      </c>
      <c r="D32" s="86" t="s">
        <v>255</v>
      </c>
      <c r="E32" s="86" t="s">
        <v>261</v>
      </c>
      <c r="F32" s="86" t="s">
        <v>185</v>
      </c>
      <c r="G32" s="86" t="s">
        <v>186</v>
      </c>
      <c r="H32" s="86" t="s">
        <v>195</v>
      </c>
      <c r="I32" s="86">
        <v>0</v>
      </c>
      <c r="J32" s="82"/>
      <c r="K32" s="84">
        <v>435000</v>
      </c>
      <c r="L32" s="83">
        <f t="shared" si="0"/>
        <v>0</v>
      </c>
      <c r="M32" s="84">
        <v>12</v>
      </c>
      <c r="N32" s="85"/>
    </row>
    <row r="33" spans="1:14" ht="21">
      <c r="A33" s="74">
        <v>32</v>
      </c>
      <c r="B33" s="75">
        <v>9157027</v>
      </c>
      <c r="C33" s="75" t="s">
        <v>263</v>
      </c>
      <c r="D33" s="75" t="s">
        <v>264</v>
      </c>
      <c r="E33" s="75" t="s">
        <v>194</v>
      </c>
      <c r="F33" s="75" t="s">
        <v>185</v>
      </c>
      <c r="G33" s="75" t="s">
        <v>186</v>
      </c>
      <c r="H33" s="75" t="s">
        <v>195</v>
      </c>
      <c r="I33" s="75" t="s">
        <v>187</v>
      </c>
      <c r="J33" s="76">
        <v>2</v>
      </c>
      <c r="K33" s="78">
        <v>435000</v>
      </c>
      <c r="L33" s="78">
        <f t="shared" si="0"/>
        <v>870000</v>
      </c>
      <c r="M33" s="78">
        <v>12</v>
      </c>
      <c r="N33" s="78">
        <f>L33*M33</f>
        <v>10440000</v>
      </c>
    </row>
    <row r="34" spans="1:14" ht="21">
      <c r="A34" s="74">
        <v>33</v>
      </c>
      <c r="B34" s="74"/>
      <c r="C34" s="86" t="s">
        <v>265</v>
      </c>
      <c r="D34" s="86" t="s">
        <v>266</v>
      </c>
      <c r="E34" s="86" t="s">
        <v>267</v>
      </c>
      <c r="F34" s="86" t="s">
        <v>185</v>
      </c>
      <c r="G34" s="86" t="s">
        <v>186</v>
      </c>
      <c r="H34" s="86" t="s">
        <v>195</v>
      </c>
      <c r="I34" s="86">
        <v>0</v>
      </c>
      <c r="J34" s="82"/>
      <c r="K34" s="84">
        <v>435000</v>
      </c>
      <c r="L34" s="83">
        <f t="shared" si="0"/>
        <v>0</v>
      </c>
      <c r="M34" s="84">
        <v>12</v>
      </c>
      <c r="N34" s="85"/>
    </row>
    <row r="35" spans="1:14" ht="21">
      <c r="A35" s="74">
        <v>34</v>
      </c>
      <c r="B35" s="87">
        <v>9157006</v>
      </c>
      <c r="C35" s="87" t="s">
        <v>268</v>
      </c>
      <c r="D35" s="87" t="s">
        <v>269</v>
      </c>
      <c r="E35" s="87" t="s">
        <v>270</v>
      </c>
      <c r="F35" s="87" t="s">
        <v>185</v>
      </c>
      <c r="G35" s="87" t="s">
        <v>186</v>
      </c>
      <c r="H35" s="87" t="s">
        <v>195</v>
      </c>
      <c r="I35" s="87" t="s">
        <v>187</v>
      </c>
      <c r="J35" s="88">
        <v>3</v>
      </c>
      <c r="K35" s="89">
        <v>435000</v>
      </c>
      <c r="L35" s="89">
        <f t="shared" si="0"/>
        <v>1305000</v>
      </c>
      <c r="M35" s="89">
        <v>12</v>
      </c>
      <c r="N35" s="89">
        <f>L35*M35</f>
        <v>15660000</v>
      </c>
    </row>
    <row r="36" spans="1:14" ht="21">
      <c r="A36" s="74">
        <v>35</v>
      </c>
      <c r="B36" s="74"/>
      <c r="C36" s="86" t="s">
        <v>203</v>
      </c>
      <c r="D36" s="86" t="s">
        <v>271</v>
      </c>
      <c r="E36" s="86" t="s">
        <v>272</v>
      </c>
      <c r="F36" s="86" t="s">
        <v>185</v>
      </c>
      <c r="G36" s="86" t="s">
        <v>186</v>
      </c>
      <c r="H36" s="86" t="s">
        <v>195</v>
      </c>
      <c r="I36" s="86">
        <v>0</v>
      </c>
      <c r="J36" s="82"/>
      <c r="K36" s="84">
        <v>435000</v>
      </c>
      <c r="L36" s="83">
        <f t="shared" si="0"/>
        <v>0</v>
      </c>
      <c r="M36" s="84">
        <v>12</v>
      </c>
      <c r="N36" s="85"/>
    </row>
    <row r="37" spans="1:14" ht="21">
      <c r="A37" s="74">
        <v>36</v>
      </c>
      <c r="B37" s="74"/>
      <c r="C37" s="86" t="s">
        <v>273</v>
      </c>
      <c r="D37" s="86" t="s">
        <v>269</v>
      </c>
      <c r="E37" s="86" t="s">
        <v>274</v>
      </c>
      <c r="F37" s="86" t="s">
        <v>185</v>
      </c>
      <c r="G37" s="86" t="s">
        <v>186</v>
      </c>
      <c r="H37" s="86" t="s">
        <v>195</v>
      </c>
      <c r="I37" s="86">
        <v>0</v>
      </c>
      <c r="J37" s="82"/>
      <c r="K37" s="84">
        <v>435000</v>
      </c>
      <c r="L37" s="83">
        <f t="shared" si="0"/>
        <v>0</v>
      </c>
      <c r="M37" s="84">
        <v>12</v>
      </c>
      <c r="N37" s="85"/>
    </row>
    <row r="38" spans="1:14" ht="21">
      <c r="A38" s="74">
        <v>37</v>
      </c>
      <c r="B38" s="75">
        <v>9157015</v>
      </c>
      <c r="C38" s="75" t="s">
        <v>275</v>
      </c>
      <c r="D38" s="75" t="s">
        <v>276</v>
      </c>
      <c r="E38" s="75" t="s">
        <v>277</v>
      </c>
      <c r="F38" s="75" t="s">
        <v>185</v>
      </c>
      <c r="G38" s="75" t="s">
        <v>186</v>
      </c>
      <c r="H38" s="75" t="s">
        <v>195</v>
      </c>
      <c r="I38" s="75" t="s">
        <v>187</v>
      </c>
      <c r="J38" s="76">
        <v>4</v>
      </c>
      <c r="K38" s="78">
        <v>435000</v>
      </c>
      <c r="L38" s="78">
        <f t="shared" si="0"/>
        <v>1740000</v>
      </c>
      <c r="M38" s="78">
        <v>12</v>
      </c>
      <c r="N38" s="78">
        <f>L38*M38</f>
        <v>20880000</v>
      </c>
    </row>
    <row r="39" spans="1:14" ht="21">
      <c r="A39" s="74">
        <v>38</v>
      </c>
      <c r="B39" s="74"/>
      <c r="C39" s="86" t="s">
        <v>278</v>
      </c>
      <c r="D39" s="86" t="s">
        <v>279</v>
      </c>
      <c r="E39" s="86" t="s">
        <v>280</v>
      </c>
      <c r="F39" s="86" t="s">
        <v>185</v>
      </c>
      <c r="G39" s="86" t="s">
        <v>186</v>
      </c>
      <c r="H39" s="86" t="s">
        <v>195</v>
      </c>
      <c r="I39" s="86">
        <v>0</v>
      </c>
      <c r="J39" s="82"/>
      <c r="K39" s="84">
        <v>435000</v>
      </c>
      <c r="L39" s="83">
        <f t="shared" si="0"/>
        <v>0</v>
      </c>
      <c r="M39" s="84">
        <v>12</v>
      </c>
      <c r="N39" s="85"/>
    </row>
    <row r="40" spans="1:14" ht="21">
      <c r="A40" s="74">
        <v>39</v>
      </c>
      <c r="B40" s="74"/>
      <c r="C40" s="86" t="s">
        <v>281</v>
      </c>
      <c r="D40" s="86" t="s">
        <v>276</v>
      </c>
      <c r="E40" s="86" t="s">
        <v>282</v>
      </c>
      <c r="F40" s="86" t="s">
        <v>185</v>
      </c>
      <c r="G40" s="86" t="s">
        <v>186</v>
      </c>
      <c r="H40" s="86" t="s">
        <v>195</v>
      </c>
      <c r="I40" s="86">
        <v>0</v>
      </c>
      <c r="J40" s="82"/>
      <c r="K40" s="84">
        <v>435000</v>
      </c>
      <c r="L40" s="83">
        <f t="shared" si="0"/>
        <v>0</v>
      </c>
      <c r="M40" s="84">
        <v>12</v>
      </c>
      <c r="N40" s="85"/>
    </row>
    <row r="41" spans="1:14" ht="21">
      <c r="A41" s="74">
        <v>40</v>
      </c>
      <c r="B41" s="74"/>
      <c r="C41" s="86" t="s">
        <v>283</v>
      </c>
      <c r="D41" s="86" t="s">
        <v>276</v>
      </c>
      <c r="E41" s="86" t="s">
        <v>282</v>
      </c>
      <c r="F41" s="86" t="s">
        <v>185</v>
      </c>
      <c r="G41" s="86" t="s">
        <v>186</v>
      </c>
      <c r="H41" s="86" t="s">
        <v>195</v>
      </c>
      <c r="I41" s="86">
        <v>0</v>
      </c>
      <c r="J41" s="82"/>
      <c r="K41" s="84">
        <v>435000</v>
      </c>
      <c r="L41" s="83">
        <f t="shared" si="0"/>
        <v>0</v>
      </c>
      <c r="M41" s="84">
        <v>12</v>
      </c>
      <c r="N41" s="85"/>
    </row>
    <row r="42" spans="1:14" ht="21">
      <c r="A42" s="74">
        <v>41</v>
      </c>
      <c r="B42" s="75">
        <v>9157017</v>
      </c>
      <c r="C42" s="75" t="s">
        <v>284</v>
      </c>
      <c r="D42" s="75" t="s">
        <v>285</v>
      </c>
      <c r="E42" s="75" t="s">
        <v>286</v>
      </c>
      <c r="F42" s="75" t="s">
        <v>185</v>
      </c>
      <c r="G42" s="75" t="s">
        <v>186</v>
      </c>
      <c r="H42" s="75" t="s">
        <v>195</v>
      </c>
      <c r="I42" s="75" t="s">
        <v>187</v>
      </c>
      <c r="J42" s="76">
        <v>5</v>
      </c>
      <c r="K42" s="78">
        <v>435000</v>
      </c>
      <c r="L42" s="78">
        <f t="shared" si="0"/>
        <v>2175000</v>
      </c>
      <c r="M42" s="78">
        <v>12</v>
      </c>
      <c r="N42" s="78">
        <f>L42*M42</f>
        <v>26100000</v>
      </c>
    </row>
    <row r="43" spans="1:14" ht="21">
      <c r="A43" s="74">
        <v>42</v>
      </c>
      <c r="B43" s="74"/>
      <c r="C43" s="86" t="s">
        <v>246</v>
      </c>
      <c r="D43" s="86" t="s">
        <v>287</v>
      </c>
      <c r="E43" s="86" t="s">
        <v>288</v>
      </c>
      <c r="F43" s="86" t="s">
        <v>185</v>
      </c>
      <c r="G43" s="86" t="s">
        <v>186</v>
      </c>
      <c r="H43" s="86" t="s">
        <v>195</v>
      </c>
      <c r="I43" s="86">
        <v>0</v>
      </c>
      <c r="J43" s="82"/>
      <c r="K43" s="84">
        <v>435000</v>
      </c>
      <c r="L43" s="83">
        <f t="shared" si="0"/>
        <v>0</v>
      </c>
      <c r="M43" s="84">
        <v>12</v>
      </c>
      <c r="N43" s="85"/>
    </row>
    <row r="44" spans="1:14" ht="21">
      <c r="A44" s="74">
        <v>43</v>
      </c>
      <c r="B44" s="74"/>
      <c r="C44" s="86" t="s">
        <v>289</v>
      </c>
      <c r="D44" s="86" t="s">
        <v>285</v>
      </c>
      <c r="E44" s="86" t="s">
        <v>284</v>
      </c>
      <c r="F44" s="86" t="s">
        <v>185</v>
      </c>
      <c r="G44" s="86" t="s">
        <v>186</v>
      </c>
      <c r="H44" s="86" t="s">
        <v>195</v>
      </c>
      <c r="I44" s="86">
        <v>0</v>
      </c>
      <c r="J44" s="82"/>
      <c r="K44" s="84">
        <v>435000</v>
      </c>
      <c r="L44" s="83">
        <f t="shared" si="0"/>
        <v>0</v>
      </c>
      <c r="M44" s="84">
        <v>12</v>
      </c>
      <c r="N44" s="85"/>
    </row>
    <row r="45" spans="1:14" ht="21">
      <c r="A45" s="74">
        <v>44</v>
      </c>
      <c r="B45" s="74"/>
      <c r="C45" s="86" t="s">
        <v>290</v>
      </c>
      <c r="D45" s="86" t="s">
        <v>285</v>
      </c>
      <c r="E45" s="86" t="s">
        <v>284</v>
      </c>
      <c r="F45" s="86" t="s">
        <v>185</v>
      </c>
      <c r="G45" s="86" t="s">
        <v>186</v>
      </c>
      <c r="H45" s="86" t="s">
        <v>195</v>
      </c>
      <c r="I45" s="86">
        <v>0</v>
      </c>
      <c r="J45" s="82"/>
      <c r="K45" s="84">
        <v>435000</v>
      </c>
      <c r="L45" s="83">
        <f t="shared" si="0"/>
        <v>0</v>
      </c>
      <c r="M45" s="84">
        <v>12</v>
      </c>
      <c r="N45" s="85"/>
    </row>
    <row r="46" spans="1:14" ht="21">
      <c r="A46" s="74">
        <v>45</v>
      </c>
      <c r="B46" s="74"/>
      <c r="C46" s="86" t="s">
        <v>291</v>
      </c>
      <c r="D46" s="86" t="s">
        <v>285</v>
      </c>
      <c r="E46" s="86" t="s">
        <v>284</v>
      </c>
      <c r="F46" s="86" t="s">
        <v>185</v>
      </c>
      <c r="G46" s="86" t="s">
        <v>186</v>
      </c>
      <c r="H46" s="86" t="s">
        <v>195</v>
      </c>
      <c r="I46" s="86">
        <v>0</v>
      </c>
      <c r="J46" s="82"/>
      <c r="K46" s="84">
        <v>435000</v>
      </c>
      <c r="L46" s="83">
        <f t="shared" si="0"/>
        <v>0</v>
      </c>
      <c r="M46" s="84">
        <v>12</v>
      </c>
      <c r="N46" s="85"/>
    </row>
    <row r="47" spans="1:14" ht="21">
      <c r="A47" s="74">
        <v>46</v>
      </c>
      <c r="B47" s="75">
        <v>9157010</v>
      </c>
      <c r="C47" s="75" t="s">
        <v>292</v>
      </c>
      <c r="D47" s="75" t="s">
        <v>293</v>
      </c>
      <c r="E47" s="75" t="s">
        <v>294</v>
      </c>
      <c r="F47" s="75" t="s">
        <v>185</v>
      </c>
      <c r="G47" s="75" t="s">
        <v>186</v>
      </c>
      <c r="H47" s="75" t="s">
        <v>195</v>
      </c>
      <c r="I47" s="75" t="s">
        <v>187</v>
      </c>
      <c r="J47" s="76">
        <v>4</v>
      </c>
      <c r="K47" s="78">
        <v>435000</v>
      </c>
      <c r="L47" s="78">
        <f t="shared" si="0"/>
        <v>1740000</v>
      </c>
      <c r="M47" s="78">
        <v>12</v>
      </c>
      <c r="N47" s="78">
        <f>L47*M47</f>
        <v>20880000</v>
      </c>
    </row>
    <row r="48" spans="1:14" ht="21">
      <c r="A48" s="74">
        <v>47</v>
      </c>
      <c r="B48" s="74"/>
      <c r="C48" s="86" t="s">
        <v>218</v>
      </c>
      <c r="D48" s="86" t="s">
        <v>295</v>
      </c>
      <c r="E48" s="86" t="s">
        <v>296</v>
      </c>
      <c r="F48" s="86" t="s">
        <v>185</v>
      </c>
      <c r="G48" s="86" t="s">
        <v>186</v>
      </c>
      <c r="H48" s="86" t="s">
        <v>195</v>
      </c>
      <c r="I48" s="86">
        <v>0</v>
      </c>
      <c r="J48" s="82"/>
      <c r="K48" s="84">
        <v>435000</v>
      </c>
      <c r="L48" s="83">
        <f t="shared" si="0"/>
        <v>0</v>
      </c>
      <c r="M48" s="84">
        <v>12</v>
      </c>
      <c r="N48" s="85"/>
    </row>
    <row r="49" spans="1:14" ht="21">
      <c r="A49" s="74">
        <v>48</v>
      </c>
      <c r="B49" s="74"/>
      <c r="C49" s="86" t="s">
        <v>297</v>
      </c>
      <c r="D49" s="86" t="s">
        <v>293</v>
      </c>
      <c r="E49" s="86" t="s">
        <v>292</v>
      </c>
      <c r="F49" s="86" t="s">
        <v>185</v>
      </c>
      <c r="G49" s="86" t="s">
        <v>186</v>
      </c>
      <c r="H49" s="86" t="s">
        <v>195</v>
      </c>
      <c r="I49" s="86">
        <v>0</v>
      </c>
      <c r="J49" s="82"/>
      <c r="K49" s="84">
        <v>435000</v>
      </c>
      <c r="L49" s="83">
        <f t="shared" si="0"/>
        <v>0</v>
      </c>
      <c r="M49" s="84">
        <v>12</v>
      </c>
      <c r="N49" s="85"/>
    </row>
    <row r="50" spans="1:14" ht="21">
      <c r="A50" s="74">
        <v>49</v>
      </c>
      <c r="B50" s="74"/>
      <c r="C50" s="86" t="s">
        <v>298</v>
      </c>
      <c r="D50" s="86" t="s">
        <v>293</v>
      </c>
      <c r="E50" s="86" t="s">
        <v>292</v>
      </c>
      <c r="F50" s="86" t="s">
        <v>185</v>
      </c>
      <c r="G50" s="86" t="s">
        <v>186</v>
      </c>
      <c r="H50" s="86" t="s">
        <v>195</v>
      </c>
      <c r="I50" s="86">
        <v>0</v>
      </c>
      <c r="J50" s="82"/>
      <c r="K50" s="84">
        <v>435000</v>
      </c>
      <c r="L50" s="83">
        <f t="shared" si="0"/>
        <v>0</v>
      </c>
      <c r="M50" s="84">
        <v>12</v>
      </c>
      <c r="N50" s="85"/>
    </row>
    <row r="51" spans="1:14" ht="21">
      <c r="A51" s="74">
        <v>50</v>
      </c>
      <c r="B51" s="75">
        <v>9157016</v>
      </c>
      <c r="C51" s="75" t="s">
        <v>299</v>
      </c>
      <c r="D51" s="75" t="s">
        <v>300</v>
      </c>
      <c r="E51" s="75" t="s">
        <v>301</v>
      </c>
      <c r="F51" s="75" t="s">
        <v>185</v>
      </c>
      <c r="G51" s="75" t="s">
        <v>186</v>
      </c>
      <c r="H51" s="75" t="s">
        <v>195</v>
      </c>
      <c r="I51" s="75" t="s">
        <v>187</v>
      </c>
      <c r="J51" s="76">
        <v>3</v>
      </c>
      <c r="K51" s="78">
        <v>435000</v>
      </c>
      <c r="L51" s="78">
        <f t="shared" si="0"/>
        <v>1305000</v>
      </c>
      <c r="M51" s="78">
        <v>12</v>
      </c>
      <c r="N51" s="78">
        <f>L51*M51</f>
        <v>15660000</v>
      </c>
    </row>
    <row r="52" spans="1:14" ht="21">
      <c r="A52" s="74">
        <v>51</v>
      </c>
      <c r="B52" s="74"/>
      <c r="C52" s="86" t="s">
        <v>302</v>
      </c>
      <c r="D52" s="86" t="s">
        <v>303</v>
      </c>
      <c r="E52" s="86" t="s">
        <v>229</v>
      </c>
      <c r="F52" s="86" t="s">
        <v>185</v>
      </c>
      <c r="G52" s="86" t="s">
        <v>186</v>
      </c>
      <c r="H52" s="86" t="s">
        <v>195</v>
      </c>
      <c r="I52" s="86">
        <v>0</v>
      </c>
      <c r="J52" s="82"/>
      <c r="K52" s="84">
        <v>435000</v>
      </c>
      <c r="L52" s="83">
        <f t="shared" si="0"/>
        <v>0</v>
      </c>
      <c r="M52" s="84">
        <v>12</v>
      </c>
      <c r="N52" s="85"/>
    </row>
    <row r="53" spans="1:14" ht="21">
      <c r="A53" s="74">
        <v>52</v>
      </c>
      <c r="B53" s="74"/>
      <c r="C53" s="86" t="s">
        <v>246</v>
      </c>
      <c r="D53" s="86" t="s">
        <v>304</v>
      </c>
      <c r="E53" s="86" t="s">
        <v>286</v>
      </c>
      <c r="F53" s="86" t="s">
        <v>185</v>
      </c>
      <c r="G53" s="86" t="s">
        <v>186</v>
      </c>
      <c r="H53" s="86" t="s">
        <v>195</v>
      </c>
      <c r="I53" s="90" t="s">
        <v>191</v>
      </c>
      <c r="J53" s="82"/>
      <c r="K53" s="83">
        <v>435000</v>
      </c>
      <c r="L53" s="83">
        <f t="shared" si="0"/>
        <v>0</v>
      </c>
      <c r="M53" s="84">
        <v>12</v>
      </c>
      <c r="N53" s="85"/>
    </row>
    <row r="54" spans="1:14" ht="21">
      <c r="A54" s="74">
        <v>53</v>
      </c>
      <c r="B54" s="75">
        <v>9157023</v>
      </c>
      <c r="C54" s="75" t="s">
        <v>305</v>
      </c>
      <c r="D54" s="75" t="s">
        <v>306</v>
      </c>
      <c r="E54" s="75" t="s">
        <v>307</v>
      </c>
      <c r="F54" s="75" t="s">
        <v>185</v>
      </c>
      <c r="G54" s="75" t="s">
        <v>186</v>
      </c>
      <c r="H54" s="75" t="s">
        <v>195</v>
      </c>
      <c r="I54" s="75" t="s">
        <v>187</v>
      </c>
      <c r="J54" s="76">
        <v>2</v>
      </c>
      <c r="K54" s="78">
        <v>435000</v>
      </c>
      <c r="L54" s="78">
        <f t="shared" si="0"/>
        <v>870000</v>
      </c>
      <c r="M54" s="78">
        <v>12</v>
      </c>
      <c r="N54" s="78">
        <f>L54*M54</f>
        <v>10440000</v>
      </c>
    </row>
    <row r="55" spans="1:14" ht="21">
      <c r="A55" s="74">
        <v>54</v>
      </c>
      <c r="B55" s="74"/>
      <c r="C55" s="86" t="s">
        <v>308</v>
      </c>
      <c r="D55" s="86" t="s">
        <v>309</v>
      </c>
      <c r="E55" s="86" t="s">
        <v>301</v>
      </c>
      <c r="F55" s="86" t="s">
        <v>185</v>
      </c>
      <c r="G55" s="86" t="s">
        <v>186</v>
      </c>
      <c r="H55" s="86" t="s">
        <v>195</v>
      </c>
      <c r="I55" s="86">
        <v>0</v>
      </c>
      <c r="J55" s="82"/>
      <c r="K55" s="84">
        <v>435000</v>
      </c>
      <c r="L55" s="83">
        <f t="shared" si="0"/>
        <v>0</v>
      </c>
      <c r="M55" s="84">
        <v>12</v>
      </c>
      <c r="N55" s="85"/>
    </row>
    <row r="56" spans="1:14" ht="21">
      <c r="A56" s="74">
        <v>55</v>
      </c>
      <c r="B56" s="75">
        <v>9157018</v>
      </c>
      <c r="C56" s="75" t="s">
        <v>310</v>
      </c>
      <c r="D56" s="75" t="s">
        <v>311</v>
      </c>
      <c r="E56" s="75" t="s">
        <v>312</v>
      </c>
      <c r="F56" s="75" t="s">
        <v>185</v>
      </c>
      <c r="G56" s="75" t="s">
        <v>186</v>
      </c>
      <c r="H56" s="75" t="s">
        <v>195</v>
      </c>
      <c r="I56" s="75" t="s">
        <v>187</v>
      </c>
      <c r="J56" s="76">
        <v>5</v>
      </c>
      <c r="K56" s="78">
        <v>435000</v>
      </c>
      <c r="L56" s="78">
        <f t="shared" si="0"/>
        <v>2175000</v>
      </c>
      <c r="M56" s="78">
        <v>12</v>
      </c>
      <c r="N56" s="78">
        <f>L56*M56</f>
        <v>26100000</v>
      </c>
    </row>
    <row r="57" spans="1:14" ht="21">
      <c r="A57" s="74">
        <v>56</v>
      </c>
      <c r="B57" s="74"/>
      <c r="C57" s="86" t="s">
        <v>313</v>
      </c>
      <c r="D57" s="86" t="s">
        <v>314</v>
      </c>
      <c r="E57" s="86" t="s">
        <v>315</v>
      </c>
      <c r="F57" s="86" t="s">
        <v>185</v>
      </c>
      <c r="G57" s="86" t="s">
        <v>186</v>
      </c>
      <c r="H57" s="86" t="s">
        <v>195</v>
      </c>
      <c r="I57" s="86">
        <v>0</v>
      </c>
      <c r="J57" s="82"/>
      <c r="K57" s="84">
        <v>435000</v>
      </c>
      <c r="L57" s="83">
        <f t="shared" si="0"/>
        <v>0</v>
      </c>
      <c r="M57" s="84">
        <v>12</v>
      </c>
      <c r="N57" s="85"/>
    </row>
    <row r="58" spans="1:14" ht="21">
      <c r="A58" s="74">
        <v>57</v>
      </c>
      <c r="B58" s="74"/>
      <c r="C58" s="86" t="s">
        <v>316</v>
      </c>
      <c r="D58" s="86" t="s">
        <v>311</v>
      </c>
      <c r="E58" s="86" t="s">
        <v>317</v>
      </c>
      <c r="F58" s="86" t="s">
        <v>185</v>
      </c>
      <c r="G58" s="86" t="s">
        <v>186</v>
      </c>
      <c r="H58" s="86" t="s">
        <v>195</v>
      </c>
      <c r="I58" s="86">
        <v>0</v>
      </c>
      <c r="J58" s="82"/>
      <c r="K58" s="84">
        <v>435000</v>
      </c>
      <c r="L58" s="83">
        <f t="shared" si="0"/>
        <v>0</v>
      </c>
      <c r="M58" s="84">
        <v>12</v>
      </c>
      <c r="N58" s="85"/>
    </row>
    <row r="59" spans="1:14" ht="21">
      <c r="A59" s="74">
        <v>58</v>
      </c>
      <c r="B59" s="74"/>
      <c r="C59" s="86" t="s">
        <v>312</v>
      </c>
      <c r="D59" s="86" t="s">
        <v>318</v>
      </c>
      <c r="E59" s="86" t="s">
        <v>319</v>
      </c>
      <c r="F59" s="86" t="s">
        <v>185</v>
      </c>
      <c r="G59" s="86" t="s">
        <v>186</v>
      </c>
      <c r="H59" s="86" t="s">
        <v>195</v>
      </c>
      <c r="I59" s="90" t="s">
        <v>320</v>
      </c>
      <c r="J59" s="82"/>
      <c r="K59" s="83">
        <v>435000</v>
      </c>
      <c r="L59" s="83">
        <f t="shared" si="0"/>
        <v>0</v>
      </c>
      <c r="M59" s="84">
        <v>12</v>
      </c>
      <c r="N59" s="85"/>
    </row>
    <row r="60" spans="1:14" ht="21">
      <c r="A60" s="74">
        <v>59</v>
      </c>
      <c r="B60" s="74"/>
      <c r="C60" s="86" t="s">
        <v>321</v>
      </c>
      <c r="D60" s="86" t="s">
        <v>322</v>
      </c>
      <c r="E60" s="86" t="s">
        <v>323</v>
      </c>
      <c r="F60" s="86" t="s">
        <v>185</v>
      </c>
      <c r="G60" s="86" t="s">
        <v>186</v>
      </c>
      <c r="H60" s="86" t="s">
        <v>195</v>
      </c>
      <c r="I60" s="90" t="s">
        <v>191</v>
      </c>
      <c r="J60" s="82"/>
      <c r="K60" s="83">
        <v>435000</v>
      </c>
      <c r="L60" s="83">
        <f t="shared" si="0"/>
        <v>0</v>
      </c>
      <c r="M60" s="84">
        <v>12</v>
      </c>
      <c r="N60" s="85"/>
    </row>
    <row r="61" spans="1:14" ht="21">
      <c r="A61" s="74">
        <v>60</v>
      </c>
      <c r="B61" s="75">
        <v>9157004</v>
      </c>
      <c r="C61" s="75" t="s">
        <v>324</v>
      </c>
      <c r="D61" s="75" t="s">
        <v>325</v>
      </c>
      <c r="E61" s="75" t="s">
        <v>326</v>
      </c>
      <c r="F61" s="75" t="s">
        <v>185</v>
      </c>
      <c r="G61" s="75" t="s">
        <v>186</v>
      </c>
      <c r="H61" s="75" t="s">
        <v>195</v>
      </c>
      <c r="I61" s="75" t="s">
        <v>187</v>
      </c>
      <c r="J61" s="76">
        <v>2</v>
      </c>
      <c r="K61" s="78">
        <v>435000</v>
      </c>
      <c r="L61" s="78">
        <f t="shared" si="0"/>
        <v>870000</v>
      </c>
      <c r="M61" s="78">
        <v>12</v>
      </c>
      <c r="N61" s="78">
        <f>L61*M61</f>
        <v>10440000</v>
      </c>
    </row>
    <row r="62" spans="1:14" ht="21">
      <c r="A62" s="74">
        <v>61</v>
      </c>
      <c r="B62" s="74"/>
      <c r="C62" s="86" t="s">
        <v>327</v>
      </c>
      <c r="D62" s="86" t="s">
        <v>328</v>
      </c>
      <c r="E62" s="86" t="s">
        <v>329</v>
      </c>
      <c r="F62" s="86" t="s">
        <v>185</v>
      </c>
      <c r="G62" s="86" t="s">
        <v>186</v>
      </c>
      <c r="H62" s="86" t="s">
        <v>195</v>
      </c>
      <c r="I62" s="86">
        <v>0</v>
      </c>
      <c r="J62" s="82"/>
      <c r="K62" s="84">
        <v>435000</v>
      </c>
      <c r="L62" s="83">
        <f t="shared" si="0"/>
        <v>0</v>
      </c>
      <c r="M62" s="84">
        <v>12</v>
      </c>
      <c r="N62" s="85"/>
    </row>
    <row r="63" spans="1:14" ht="21">
      <c r="A63" s="74">
        <v>62</v>
      </c>
      <c r="B63" s="75">
        <v>9157002</v>
      </c>
      <c r="C63" s="75" t="s">
        <v>283</v>
      </c>
      <c r="D63" s="75" t="s">
        <v>330</v>
      </c>
      <c r="E63" s="75" t="s">
        <v>331</v>
      </c>
      <c r="F63" s="75" t="s">
        <v>185</v>
      </c>
      <c r="G63" s="75" t="s">
        <v>186</v>
      </c>
      <c r="H63" s="75" t="s">
        <v>195</v>
      </c>
      <c r="I63" s="75" t="s">
        <v>187</v>
      </c>
      <c r="J63" s="76">
        <v>4</v>
      </c>
      <c r="K63" s="78">
        <v>435000</v>
      </c>
      <c r="L63" s="78">
        <f t="shared" si="0"/>
        <v>1740000</v>
      </c>
      <c r="M63" s="78">
        <v>12</v>
      </c>
      <c r="N63" s="78">
        <f>L63*M63</f>
        <v>20880000</v>
      </c>
    </row>
    <row r="64" spans="1:14" ht="21">
      <c r="A64" s="74">
        <v>63</v>
      </c>
      <c r="B64" s="74"/>
      <c r="C64" s="86" t="s">
        <v>332</v>
      </c>
      <c r="D64" s="86" t="s">
        <v>333</v>
      </c>
      <c r="E64" s="86" t="s">
        <v>198</v>
      </c>
      <c r="F64" s="86" t="s">
        <v>185</v>
      </c>
      <c r="G64" s="86" t="s">
        <v>186</v>
      </c>
      <c r="H64" s="86" t="s">
        <v>195</v>
      </c>
      <c r="I64" s="86">
        <v>0</v>
      </c>
      <c r="J64" s="82"/>
      <c r="K64" s="84">
        <v>435000</v>
      </c>
      <c r="L64" s="83">
        <f t="shared" si="0"/>
        <v>0</v>
      </c>
      <c r="M64" s="84">
        <v>12</v>
      </c>
      <c r="N64" s="85"/>
    </row>
    <row r="65" spans="1:14" ht="21">
      <c r="A65" s="74">
        <v>64</v>
      </c>
      <c r="B65" s="74"/>
      <c r="C65" s="86" t="s">
        <v>297</v>
      </c>
      <c r="D65" s="86" t="s">
        <v>330</v>
      </c>
      <c r="E65" s="86" t="s">
        <v>286</v>
      </c>
      <c r="F65" s="86" t="s">
        <v>185</v>
      </c>
      <c r="G65" s="86" t="s">
        <v>186</v>
      </c>
      <c r="H65" s="86" t="s">
        <v>195</v>
      </c>
      <c r="I65" s="86">
        <v>0</v>
      </c>
      <c r="J65" s="82"/>
      <c r="K65" s="84">
        <v>435000</v>
      </c>
      <c r="L65" s="83">
        <f t="shared" si="0"/>
        <v>0</v>
      </c>
      <c r="M65" s="84">
        <v>12</v>
      </c>
      <c r="N65" s="85"/>
    </row>
    <row r="66" spans="1:14" ht="21">
      <c r="A66" s="74">
        <v>65</v>
      </c>
      <c r="B66" s="74"/>
      <c r="C66" s="86" t="s">
        <v>334</v>
      </c>
      <c r="D66" s="86" t="s">
        <v>330</v>
      </c>
      <c r="E66" s="86" t="s">
        <v>286</v>
      </c>
      <c r="F66" s="86" t="s">
        <v>185</v>
      </c>
      <c r="G66" s="86" t="s">
        <v>186</v>
      </c>
      <c r="H66" s="86" t="s">
        <v>195</v>
      </c>
      <c r="I66" s="86">
        <v>0</v>
      </c>
      <c r="J66" s="82"/>
      <c r="K66" s="84">
        <v>435000</v>
      </c>
      <c r="L66" s="83">
        <f t="shared" si="0"/>
        <v>0</v>
      </c>
      <c r="M66" s="84">
        <v>12</v>
      </c>
      <c r="N66" s="85"/>
    </row>
    <row r="67" spans="1:14" ht="21">
      <c r="A67" s="74">
        <v>69</v>
      </c>
      <c r="B67" s="75">
        <v>9157089</v>
      </c>
      <c r="C67" s="75" t="s">
        <v>335</v>
      </c>
      <c r="D67" s="75" t="s">
        <v>336</v>
      </c>
      <c r="E67" s="75" t="s">
        <v>337</v>
      </c>
      <c r="F67" s="75" t="s">
        <v>185</v>
      </c>
      <c r="G67" s="75" t="s">
        <v>186</v>
      </c>
      <c r="H67" s="75" t="s">
        <v>338</v>
      </c>
      <c r="I67" s="75" t="s">
        <v>187</v>
      </c>
      <c r="J67" s="76">
        <v>3</v>
      </c>
      <c r="K67" s="78">
        <v>435000</v>
      </c>
      <c r="L67" s="78">
        <f t="shared" ref="L67:L105" si="1">K67*J67</f>
        <v>1305000</v>
      </c>
      <c r="M67" s="78">
        <v>12</v>
      </c>
      <c r="N67" s="78">
        <f>L67*M67</f>
        <v>15660000</v>
      </c>
    </row>
    <row r="68" spans="1:14" ht="21">
      <c r="A68" s="74">
        <v>70</v>
      </c>
      <c r="B68" s="74"/>
      <c r="C68" s="86" t="s">
        <v>339</v>
      </c>
      <c r="D68" s="86" t="s">
        <v>340</v>
      </c>
      <c r="E68" s="86" t="s">
        <v>341</v>
      </c>
      <c r="F68" s="86" t="s">
        <v>185</v>
      </c>
      <c r="G68" s="86" t="s">
        <v>186</v>
      </c>
      <c r="H68" s="86" t="s">
        <v>338</v>
      </c>
      <c r="I68" s="86">
        <v>0</v>
      </c>
      <c r="J68" s="82"/>
      <c r="K68" s="84">
        <v>435000</v>
      </c>
      <c r="L68" s="83">
        <f t="shared" si="1"/>
        <v>0</v>
      </c>
      <c r="M68" s="84">
        <v>12</v>
      </c>
      <c r="N68" s="85"/>
    </row>
    <row r="69" spans="1:14" ht="21">
      <c r="A69" s="74">
        <v>71</v>
      </c>
      <c r="B69" s="74"/>
      <c r="C69" s="86" t="s">
        <v>246</v>
      </c>
      <c r="D69" s="86" t="s">
        <v>340</v>
      </c>
      <c r="E69" s="86" t="s">
        <v>342</v>
      </c>
      <c r="F69" s="86" t="s">
        <v>185</v>
      </c>
      <c r="G69" s="86" t="s">
        <v>186</v>
      </c>
      <c r="H69" s="86" t="s">
        <v>338</v>
      </c>
      <c r="I69" s="90" t="s">
        <v>191</v>
      </c>
      <c r="J69" s="82"/>
      <c r="K69" s="83">
        <v>435000</v>
      </c>
      <c r="L69" s="83">
        <f t="shared" si="1"/>
        <v>0</v>
      </c>
      <c r="M69" s="84">
        <v>12</v>
      </c>
      <c r="N69" s="85"/>
    </row>
    <row r="70" spans="1:14" ht="21">
      <c r="A70" s="74">
        <v>72</v>
      </c>
      <c r="B70" s="75">
        <v>9157081</v>
      </c>
      <c r="C70" s="75" t="s">
        <v>343</v>
      </c>
      <c r="D70" s="75" t="s">
        <v>344</v>
      </c>
      <c r="E70" s="75" t="s">
        <v>345</v>
      </c>
      <c r="F70" s="75" t="s">
        <v>185</v>
      </c>
      <c r="G70" s="75" t="s">
        <v>186</v>
      </c>
      <c r="H70" s="75" t="s">
        <v>338</v>
      </c>
      <c r="I70" s="75" t="s">
        <v>187</v>
      </c>
      <c r="J70" s="76">
        <v>1</v>
      </c>
      <c r="K70" s="78">
        <v>435000</v>
      </c>
      <c r="L70" s="78">
        <f t="shared" si="1"/>
        <v>435000</v>
      </c>
      <c r="M70" s="78">
        <v>12</v>
      </c>
      <c r="N70" s="78">
        <f>L70*M70</f>
        <v>5220000</v>
      </c>
    </row>
    <row r="71" spans="1:14" ht="21">
      <c r="A71" s="74">
        <v>73</v>
      </c>
      <c r="B71" s="75">
        <v>9157069</v>
      </c>
      <c r="C71" s="75" t="s">
        <v>277</v>
      </c>
      <c r="D71" s="75" t="s">
        <v>346</v>
      </c>
      <c r="E71" s="75" t="s">
        <v>347</v>
      </c>
      <c r="F71" s="75" t="s">
        <v>185</v>
      </c>
      <c r="G71" s="75" t="s">
        <v>186</v>
      </c>
      <c r="H71" s="75" t="s">
        <v>338</v>
      </c>
      <c r="I71" s="75" t="s">
        <v>187</v>
      </c>
      <c r="J71" s="76">
        <v>1</v>
      </c>
      <c r="K71" s="78">
        <v>435000</v>
      </c>
      <c r="L71" s="78">
        <f t="shared" si="1"/>
        <v>435000</v>
      </c>
      <c r="M71" s="78">
        <v>12</v>
      </c>
      <c r="N71" s="78">
        <f>L71*M71</f>
        <v>5220000</v>
      </c>
    </row>
    <row r="72" spans="1:14" ht="21">
      <c r="A72" s="74">
        <v>74</v>
      </c>
      <c r="B72" s="75">
        <v>9157029</v>
      </c>
      <c r="C72" s="75" t="s">
        <v>254</v>
      </c>
      <c r="D72" s="75" t="s">
        <v>348</v>
      </c>
      <c r="E72" s="75" t="s">
        <v>349</v>
      </c>
      <c r="F72" s="75" t="s">
        <v>185</v>
      </c>
      <c r="G72" s="75" t="s">
        <v>186</v>
      </c>
      <c r="H72" s="75" t="s">
        <v>338</v>
      </c>
      <c r="I72" s="75" t="s">
        <v>187</v>
      </c>
      <c r="J72" s="76">
        <v>4</v>
      </c>
      <c r="K72" s="78">
        <v>435000</v>
      </c>
      <c r="L72" s="78">
        <f t="shared" si="1"/>
        <v>1740000</v>
      </c>
      <c r="M72" s="78">
        <v>12</v>
      </c>
      <c r="N72" s="78">
        <f>L72*M72</f>
        <v>20880000</v>
      </c>
    </row>
    <row r="73" spans="1:14" ht="21">
      <c r="A73" s="74">
        <v>75</v>
      </c>
      <c r="B73" s="74"/>
      <c r="C73" s="86" t="s">
        <v>350</v>
      </c>
      <c r="D73" s="86" t="s">
        <v>351</v>
      </c>
      <c r="E73" s="86" t="s">
        <v>274</v>
      </c>
      <c r="F73" s="86" t="s">
        <v>185</v>
      </c>
      <c r="G73" s="86" t="s">
        <v>186</v>
      </c>
      <c r="H73" s="86" t="s">
        <v>338</v>
      </c>
      <c r="I73" s="86">
        <v>0</v>
      </c>
      <c r="J73" s="82"/>
      <c r="K73" s="84">
        <v>435000</v>
      </c>
      <c r="L73" s="83">
        <f t="shared" si="1"/>
        <v>0</v>
      </c>
      <c r="M73" s="84">
        <v>12</v>
      </c>
      <c r="N73" s="85"/>
    </row>
    <row r="74" spans="1:14" ht="21">
      <c r="A74" s="74">
        <v>76</v>
      </c>
      <c r="B74" s="74"/>
      <c r="C74" s="86" t="s">
        <v>352</v>
      </c>
      <c r="D74" s="86" t="s">
        <v>353</v>
      </c>
      <c r="E74" s="86" t="s">
        <v>261</v>
      </c>
      <c r="F74" s="86" t="s">
        <v>185</v>
      </c>
      <c r="G74" s="86" t="s">
        <v>186</v>
      </c>
      <c r="H74" s="86" t="s">
        <v>338</v>
      </c>
      <c r="I74" s="86">
        <v>0</v>
      </c>
      <c r="J74" s="82"/>
      <c r="K74" s="84">
        <v>435000</v>
      </c>
      <c r="L74" s="83">
        <f t="shared" si="1"/>
        <v>0</v>
      </c>
      <c r="M74" s="84">
        <v>12</v>
      </c>
      <c r="N74" s="85"/>
    </row>
    <row r="75" spans="1:14" ht="21">
      <c r="A75" s="74">
        <v>77</v>
      </c>
      <c r="B75" s="74"/>
      <c r="C75" s="86" t="s">
        <v>354</v>
      </c>
      <c r="D75" s="86" t="s">
        <v>353</v>
      </c>
      <c r="E75" s="86" t="s">
        <v>261</v>
      </c>
      <c r="F75" s="86" t="s">
        <v>185</v>
      </c>
      <c r="G75" s="86" t="s">
        <v>186</v>
      </c>
      <c r="H75" s="86" t="s">
        <v>338</v>
      </c>
      <c r="I75" s="86">
        <v>0</v>
      </c>
      <c r="J75" s="82"/>
      <c r="K75" s="84">
        <v>435000</v>
      </c>
      <c r="L75" s="83">
        <f t="shared" si="1"/>
        <v>0</v>
      </c>
      <c r="M75" s="84">
        <v>12</v>
      </c>
      <c r="N75" s="85"/>
    </row>
    <row r="76" spans="1:14" ht="21">
      <c r="A76" s="74">
        <v>78</v>
      </c>
      <c r="B76" s="75">
        <v>9157020</v>
      </c>
      <c r="C76" s="75" t="s">
        <v>277</v>
      </c>
      <c r="D76" s="75" t="s">
        <v>355</v>
      </c>
      <c r="E76" s="75" t="s">
        <v>356</v>
      </c>
      <c r="F76" s="75" t="s">
        <v>185</v>
      </c>
      <c r="G76" s="75" t="s">
        <v>186</v>
      </c>
      <c r="H76" s="75" t="s">
        <v>195</v>
      </c>
      <c r="I76" s="75" t="s">
        <v>187</v>
      </c>
      <c r="J76" s="76">
        <v>4</v>
      </c>
      <c r="K76" s="78">
        <v>435000</v>
      </c>
      <c r="L76" s="78">
        <f t="shared" si="1"/>
        <v>1740000</v>
      </c>
      <c r="M76" s="78">
        <v>12</v>
      </c>
      <c r="N76" s="78">
        <f>L76*M76</f>
        <v>20880000</v>
      </c>
    </row>
    <row r="77" spans="1:14" ht="21">
      <c r="A77" s="74">
        <v>79</v>
      </c>
      <c r="B77" s="74"/>
      <c r="C77" s="86" t="s">
        <v>289</v>
      </c>
      <c r="D77" s="86" t="s">
        <v>357</v>
      </c>
      <c r="E77" s="86" t="s">
        <v>301</v>
      </c>
      <c r="F77" s="86" t="s">
        <v>185</v>
      </c>
      <c r="G77" s="86" t="s">
        <v>186</v>
      </c>
      <c r="H77" s="86" t="s">
        <v>195</v>
      </c>
      <c r="I77" s="86">
        <v>0</v>
      </c>
      <c r="J77" s="82"/>
      <c r="K77" s="84">
        <v>435000</v>
      </c>
      <c r="L77" s="83">
        <f t="shared" si="1"/>
        <v>0</v>
      </c>
      <c r="M77" s="84">
        <v>12</v>
      </c>
      <c r="N77" s="85"/>
    </row>
    <row r="78" spans="1:14" ht="21">
      <c r="A78" s="74">
        <v>80</v>
      </c>
      <c r="B78" s="74"/>
      <c r="C78" s="86" t="s">
        <v>356</v>
      </c>
      <c r="D78" s="86" t="s">
        <v>355</v>
      </c>
      <c r="E78" s="86" t="s">
        <v>358</v>
      </c>
      <c r="F78" s="86" t="s">
        <v>185</v>
      </c>
      <c r="G78" s="86" t="s">
        <v>186</v>
      </c>
      <c r="H78" s="86" t="s">
        <v>195</v>
      </c>
      <c r="I78" s="90" t="s">
        <v>320</v>
      </c>
      <c r="J78" s="82"/>
      <c r="K78" s="83">
        <v>435000</v>
      </c>
      <c r="L78" s="83">
        <f t="shared" si="1"/>
        <v>0</v>
      </c>
      <c r="M78" s="84">
        <v>12</v>
      </c>
      <c r="N78" s="85"/>
    </row>
    <row r="79" spans="1:14" ht="21">
      <c r="A79" s="74">
        <v>81</v>
      </c>
      <c r="B79" s="74"/>
      <c r="C79" s="86" t="s">
        <v>246</v>
      </c>
      <c r="D79" s="86" t="s">
        <v>355</v>
      </c>
      <c r="E79" s="86" t="s">
        <v>277</v>
      </c>
      <c r="F79" s="86" t="s">
        <v>185</v>
      </c>
      <c r="G79" s="86" t="s">
        <v>186</v>
      </c>
      <c r="H79" s="86" t="s">
        <v>195</v>
      </c>
      <c r="I79" s="86">
        <v>0</v>
      </c>
      <c r="J79" s="82"/>
      <c r="K79" s="84">
        <v>435000</v>
      </c>
      <c r="L79" s="83">
        <f t="shared" si="1"/>
        <v>0</v>
      </c>
      <c r="M79" s="84">
        <v>12</v>
      </c>
      <c r="N79" s="85"/>
    </row>
    <row r="80" spans="1:14" ht="21">
      <c r="A80" s="74">
        <v>82</v>
      </c>
      <c r="B80" s="75">
        <v>9157026</v>
      </c>
      <c r="C80" s="75" t="s">
        <v>359</v>
      </c>
      <c r="D80" s="75" t="s">
        <v>360</v>
      </c>
      <c r="E80" s="75" t="s">
        <v>361</v>
      </c>
      <c r="F80" s="75" t="s">
        <v>185</v>
      </c>
      <c r="G80" s="75" t="s">
        <v>186</v>
      </c>
      <c r="H80" s="75" t="s">
        <v>195</v>
      </c>
      <c r="I80" s="75" t="s">
        <v>187</v>
      </c>
      <c r="J80" s="76">
        <v>4</v>
      </c>
      <c r="K80" s="78">
        <v>435000</v>
      </c>
      <c r="L80" s="78">
        <f t="shared" si="1"/>
        <v>1740000</v>
      </c>
      <c r="M80" s="78">
        <v>12</v>
      </c>
      <c r="N80" s="78">
        <f>L80*M80</f>
        <v>20880000</v>
      </c>
    </row>
    <row r="81" spans="1:14" ht="21">
      <c r="A81" s="74">
        <v>83</v>
      </c>
      <c r="B81" s="74"/>
      <c r="C81" s="86" t="s">
        <v>246</v>
      </c>
      <c r="D81" s="86" t="s">
        <v>362</v>
      </c>
      <c r="E81" s="86" t="s">
        <v>363</v>
      </c>
      <c r="F81" s="86" t="s">
        <v>185</v>
      </c>
      <c r="G81" s="86" t="s">
        <v>186</v>
      </c>
      <c r="H81" s="86" t="s">
        <v>195</v>
      </c>
      <c r="I81" s="86">
        <v>0</v>
      </c>
      <c r="J81" s="82"/>
      <c r="K81" s="84">
        <v>435000</v>
      </c>
      <c r="L81" s="83">
        <f t="shared" si="1"/>
        <v>0</v>
      </c>
      <c r="M81" s="84">
        <v>12</v>
      </c>
      <c r="N81" s="85"/>
    </row>
    <row r="82" spans="1:14" ht="21">
      <c r="A82" s="74">
        <v>84</v>
      </c>
      <c r="B82" s="74"/>
      <c r="C82" s="86" t="s">
        <v>200</v>
      </c>
      <c r="D82" s="86" t="s">
        <v>360</v>
      </c>
      <c r="E82" s="86" t="s">
        <v>364</v>
      </c>
      <c r="F82" s="86" t="s">
        <v>185</v>
      </c>
      <c r="G82" s="86" t="s">
        <v>186</v>
      </c>
      <c r="H82" s="86" t="s">
        <v>195</v>
      </c>
      <c r="I82" s="86">
        <v>0</v>
      </c>
      <c r="J82" s="82"/>
      <c r="K82" s="84">
        <v>435000</v>
      </c>
      <c r="L82" s="83">
        <f t="shared" si="1"/>
        <v>0</v>
      </c>
      <c r="M82" s="84">
        <v>12</v>
      </c>
      <c r="N82" s="85"/>
    </row>
    <row r="83" spans="1:14" ht="21">
      <c r="A83" s="74">
        <v>85</v>
      </c>
      <c r="B83" s="74"/>
      <c r="C83" s="86" t="s">
        <v>365</v>
      </c>
      <c r="D83" s="86" t="s">
        <v>360</v>
      </c>
      <c r="E83" s="86" t="s">
        <v>364</v>
      </c>
      <c r="F83" s="86" t="s">
        <v>185</v>
      </c>
      <c r="G83" s="86" t="s">
        <v>186</v>
      </c>
      <c r="H83" s="86" t="s">
        <v>195</v>
      </c>
      <c r="I83" s="86">
        <v>0</v>
      </c>
      <c r="J83" s="82"/>
      <c r="K83" s="84">
        <v>435000</v>
      </c>
      <c r="L83" s="83">
        <f t="shared" si="1"/>
        <v>0</v>
      </c>
      <c r="M83" s="84">
        <v>12</v>
      </c>
      <c r="N83" s="85"/>
    </row>
    <row r="84" spans="1:14" ht="21">
      <c r="A84" s="74">
        <v>86</v>
      </c>
      <c r="B84" s="75">
        <v>9157037</v>
      </c>
      <c r="C84" s="75" t="s">
        <v>200</v>
      </c>
      <c r="D84" s="75" t="s">
        <v>366</v>
      </c>
      <c r="E84" s="75" t="s">
        <v>261</v>
      </c>
      <c r="F84" s="75" t="s">
        <v>185</v>
      </c>
      <c r="G84" s="75" t="s">
        <v>186</v>
      </c>
      <c r="H84" s="75" t="s">
        <v>195</v>
      </c>
      <c r="I84" s="75" t="s">
        <v>187</v>
      </c>
      <c r="J84" s="76">
        <v>1</v>
      </c>
      <c r="K84" s="78">
        <v>435000</v>
      </c>
      <c r="L84" s="78">
        <f t="shared" si="1"/>
        <v>435000</v>
      </c>
      <c r="M84" s="78">
        <v>12</v>
      </c>
      <c r="N84" s="78">
        <f>L84*M84</f>
        <v>5220000</v>
      </c>
    </row>
    <row r="85" spans="1:14" ht="21">
      <c r="A85" s="74">
        <v>87</v>
      </c>
      <c r="B85" s="75">
        <v>9157035</v>
      </c>
      <c r="C85" s="75" t="s">
        <v>367</v>
      </c>
      <c r="D85" s="75" t="s">
        <v>368</v>
      </c>
      <c r="E85" s="75" t="s">
        <v>369</v>
      </c>
      <c r="F85" s="75" t="s">
        <v>185</v>
      </c>
      <c r="G85" s="75" t="s">
        <v>186</v>
      </c>
      <c r="H85" s="75" t="s">
        <v>195</v>
      </c>
      <c r="I85" s="75" t="s">
        <v>187</v>
      </c>
      <c r="J85" s="76">
        <v>2</v>
      </c>
      <c r="K85" s="78">
        <v>435000</v>
      </c>
      <c r="L85" s="78">
        <f t="shared" si="1"/>
        <v>870000</v>
      </c>
      <c r="M85" s="78">
        <v>12</v>
      </c>
      <c r="N85" s="78">
        <f>L85*M85</f>
        <v>10440000</v>
      </c>
    </row>
    <row r="86" spans="1:14" ht="21">
      <c r="A86" s="74">
        <v>88</v>
      </c>
      <c r="B86" s="74"/>
      <c r="C86" s="86" t="s">
        <v>370</v>
      </c>
      <c r="D86" s="86" t="s">
        <v>256</v>
      </c>
      <c r="E86" s="86" t="s">
        <v>286</v>
      </c>
      <c r="F86" s="86" t="s">
        <v>185</v>
      </c>
      <c r="G86" s="86" t="s">
        <v>186</v>
      </c>
      <c r="H86" s="86" t="s">
        <v>195</v>
      </c>
      <c r="I86" s="86">
        <v>0</v>
      </c>
      <c r="J86" s="82"/>
      <c r="K86" s="84">
        <v>435000</v>
      </c>
      <c r="L86" s="83">
        <f t="shared" si="1"/>
        <v>0</v>
      </c>
      <c r="M86" s="84">
        <v>12</v>
      </c>
      <c r="N86" s="85"/>
    </row>
    <row r="87" spans="1:14" ht="21">
      <c r="A87" s="74">
        <v>89</v>
      </c>
      <c r="B87" s="75">
        <v>9157040</v>
      </c>
      <c r="C87" s="75" t="s">
        <v>371</v>
      </c>
      <c r="D87" s="75" t="s">
        <v>372</v>
      </c>
      <c r="E87" s="75" t="s">
        <v>373</v>
      </c>
      <c r="F87" s="75" t="s">
        <v>185</v>
      </c>
      <c r="G87" s="75" t="s">
        <v>186</v>
      </c>
      <c r="H87" s="75" t="s">
        <v>195</v>
      </c>
      <c r="I87" s="75" t="s">
        <v>187</v>
      </c>
      <c r="J87" s="76">
        <v>1</v>
      </c>
      <c r="K87" s="78">
        <v>435000</v>
      </c>
      <c r="L87" s="78">
        <f t="shared" si="1"/>
        <v>435000</v>
      </c>
      <c r="M87" s="78">
        <v>12</v>
      </c>
      <c r="N87" s="78">
        <f>L87*M87</f>
        <v>5220000</v>
      </c>
    </row>
    <row r="88" spans="1:14" ht="21">
      <c r="A88" s="74">
        <v>90</v>
      </c>
      <c r="B88" s="75">
        <v>9157007</v>
      </c>
      <c r="C88" s="75" t="s">
        <v>374</v>
      </c>
      <c r="D88" s="75" t="s">
        <v>375</v>
      </c>
      <c r="E88" s="75" t="s">
        <v>376</v>
      </c>
      <c r="F88" s="75" t="s">
        <v>185</v>
      </c>
      <c r="G88" s="75" t="s">
        <v>186</v>
      </c>
      <c r="H88" s="75" t="s">
        <v>195</v>
      </c>
      <c r="I88" s="75" t="s">
        <v>187</v>
      </c>
      <c r="J88" s="76">
        <v>4</v>
      </c>
      <c r="K88" s="78">
        <v>435000</v>
      </c>
      <c r="L88" s="78">
        <f t="shared" si="1"/>
        <v>1740000</v>
      </c>
      <c r="M88" s="78">
        <v>12</v>
      </c>
      <c r="N88" s="78">
        <f>L88*M88</f>
        <v>20880000</v>
      </c>
    </row>
    <row r="89" spans="1:14" ht="21">
      <c r="A89" s="74">
        <v>91</v>
      </c>
      <c r="B89" s="74"/>
      <c r="C89" s="86" t="s">
        <v>377</v>
      </c>
      <c r="D89" s="86" t="s">
        <v>378</v>
      </c>
      <c r="E89" s="86" t="s">
        <v>363</v>
      </c>
      <c r="F89" s="86" t="s">
        <v>185</v>
      </c>
      <c r="G89" s="86" t="s">
        <v>186</v>
      </c>
      <c r="H89" s="86" t="s">
        <v>195</v>
      </c>
      <c r="I89" s="86">
        <v>0</v>
      </c>
      <c r="J89" s="82"/>
      <c r="K89" s="84">
        <v>435000</v>
      </c>
      <c r="L89" s="83">
        <f t="shared" si="1"/>
        <v>0</v>
      </c>
      <c r="M89" s="84">
        <v>12</v>
      </c>
      <c r="N89" s="85"/>
    </row>
    <row r="90" spans="1:14" ht="21">
      <c r="A90" s="74">
        <v>92</v>
      </c>
      <c r="B90" s="74"/>
      <c r="C90" s="86" t="s">
        <v>379</v>
      </c>
      <c r="D90" s="86" t="s">
        <v>375</v>
      </c>
      <c r="E90" s="86" t="s">
        <v>374</v>
      </c>
      <c r="F90" s="86" t="s">
        <v>185</v>
      </c>
      <c r="G90" s="86" t="s">
        <v>186</v>
      </c>
      <c r="H90" s="86" t="s">
        <v>195</v>
      </c>
      <c r="I90" s="86">
        <v>0</v>
      </c>
      <c r="J90" s="82"/>
      <c r="K90" s="84">
        <v>435000</v>
      </c>
      <c r="L90" s="83">
        <f t="shared" si="1"/>
        <v>0</v>
      </c>
      <c r="M90" s="84">
        <v>12</v>
      </c>
      <c r="N90" s="85"/>
    </row>
    <row r="91" spans="1:14" ht="21">
      <c r="A91" s="74">
        <v>93</v>
      </c>
      <c r="B91" s="74"/>
      <c r="C91" s="86" t="s">
        <v>380</v>
      </c>
      <c r="D91" s="86" t="s">
        <v>375</v>
      </c>
      <c r="E91" s="86" t="s">
        <v>374</v>
      </c>
      <c r="F91" s="86" t="s">
        <v>185</v>
      </c>
      <c r="G91" s="86" t="s">
        <v>186</v>
      </c>
      <c r="H91" s="86" t="s">
        <v>195</v>
      </c>
      <c r="I91" s="86">
        <v>0</v>
      </c>
      <c r="J91" s="82"/>
      <c r="K91" s="84">
        <v>435000</v>
      </c>
      <c r="L91" s="83">
        <f t="shared" si="1"/>
        <v>0</v>
      </c>
      <c r="M91" s="84">
        <v>12</v>
      </c>
      <c r="N91" s="85"/>
    </row>
    <row r="92" spans="1:14" ht="21">
      <c r="A92" s="74">
        <v>94</v>
      </c>
      <c r="B92" s="75">
        <v>9157033</v>
      </c>
      <c r="C92" s="75" t="s">
        <v>200</v>
      </c>
      <c r="D92" s="75" t="s">
        <v>381</v>
      </c>
      <c r="E92" s="75" t="s">
        <v>274</v>
      </c>
      <c r="F92" s="75" t="s">
        <v>185</v>
      </c>
      <c r="G92" s="75" t="s">
        <v>186</v>
      </c>
      <c r="H92" s="75" t="s">
        <v>195</v>
      </c>
      <c r="I92" s="75" t="s">
        <v>187</v>
      </c>
      <c r="J92" s="76">
        <v>5</v>
      </c>
      <c r="K92" s="78">
        <v>435000</v>
      </c>
      <c r="L92" s="78">
        <f t="shared" si="1"/>
        <v>2175000</v>
      </c>
      <c r="M92" s="78">
        <v>12</v>
      </c>
      <c r="N92" s="78">
        <f>L92*M92</f>
        <v>26100000</v>
      </c>
    </row>
    <row r="93" spans="1:14" ht="21">
      <c r="A93" s="74">
        <v>95</v>
      </c>
      <c r="B93" s="74"/>
      <c r="C93" s="86" t="s">
        <v>382</v>
      </c>
      <c r="D93" s="86" t="s">
        <v>383</v>
      </c>
      <c r="E93" s="86" t="s">
        <v>331</v>
      </c>
      <c r="F93" s="86" t="s">
        <v>185</v>
      </c>
      <c r="G93" s="86" t="s">
        <v>186</v>
      </c>
      <c r="H93" s="86" t="s">
        <v>195</v>
      </c>
      <c r="I93" s="86">
        <v>0</v>
      </c>
      <c r="J93" s="82"/>
      <c r="K93" s="84">
        <v>435000</v>
      </c>
      <c r="L93" s="83">
        <f t="shared" si="1"/>
        <v>0</v>
      </c>
      <c r="M93" s="84">
        <v>12</v>
      </c>
      <c r="N93" s="85"/>
    </row>
    <row r="94" spans="1:14" ht="21">
      <c r="A94" s="74">
        <v>96</v>
      </c>
      <c r="B94" s="74"/>
      <c r="C94" s="86" t="s">
        <v>246</v>
      </c>
      <c r="D94" s="86" t="s">
        <v>381</v>
      </c>
      <c r="E94" s="86" t="s">
        <v>217</v>
      </c>
      <c r="F94" s="86" t="s">
        <v>185</v>
      </c>
      <c r="G94" s="86" t="s">
        <v>186</v>
      </c>
      <c r="H94" s="86" t="s">
        <v>195</v>
      </c>
      <c r="I94" s="86">
        <v>0</v>
      </c>
      <c r="J94" s="82"/>
      <c r="K94" s="84">
        <v>435000</v>
      </c>
      <c r="L94" s="83">
        <f t="shared" si="1"/>
        <v>0</v>
      </c>
      <c r="M94" s="84">
        <v>12</v>
      </c>
      <c r="N94" s="85"/>
    </row>
    <row r="95" spans="1:14" ht="21">
      <c r="A95" s="74">
        <v>97</v>
      </c>
      <c r="B95" s="74"/>
      <c r="C95" s="86" t="s">
        <v>316</v>
      </c>
      <c r="D95" s="86" t="s">
        <v>381</v>
      </c>
      <c r="E95" s="86" t="s">
        <v>217</v>
      </c>
      <c r="F95" s="86" t="s">
        <v>185</v>
      </c>
      <c r="G95" s="86" t="s">
        <v>186</v>
      </c>
      <c r="H95" s="86" t="s">
        <v>195</v>
      </c>
      <c r="I95" s="86">
        <v>0</v>
      </c>
      <c r="J95" s="82"/>
      <c r="K95" s="84">
        <v>435000</v>
      </c>
      <c r="L95" s="83">
        <f t="shared" si="1"/>
        <v>0</v>
      </c>
      <c r="M95" s="84">
        <v>12</v>
      </c>
      <c r="N95" s="85"/>
    </row>
    <row r="96" spans="1:14" ht="21">
      <c r="A96" s="74">
        <v>98</v>
      </c>
      <c r="B96" s="74"/>
      <c r="C96" s="86" t="s">
        <v>384</v>
      </c>
      <c r="D96" s="86" t="s">
        <v>385</v>
      </c>
      <c r="E96" s="86" t="s">
        <v>194</v>
      </c>
      <c r="F96" s="86" t="s">
        <v>185</v>
      </c>
      <c r="G96" s="86" t="s">
        <v>186</v>
      </c>
      <c r="H96" s="86" t="s">
        <v>195</v>
      </c>
      <c r="I96" s="90" t="s">
        <v>191</v>
      </c>
      <c r="J96" s="82"/>
      <c r="K96" s="83">
        <v>435000</v>
      </c>
      <c r="L96" s="83">
        <f t="shared" si="1"/>
        <v>0</v>
      </c>
      <c r="M96" s="84">
        <v>12</v>
      </c>
      <c r="N96" s="85"/>
    </row>
    <row r="97" spans="1:15" ht="21">
      <c r="A97" s="74">
        <v>99</v>
      </c>
      <c r="B97" s="75">
        <v>9157019</v>
      </c>
      <c r="C97" s="75" t="s">
        <v>386</v>
      </c>
      <c r="D97" s="75" t="s">
        <v>387</v>
      </c>
      <c r="E97" s="75" t="s">
        <v>194</v>
      </c>
      <c r="F97" s="75" t="s">
        <v>185</v>
      </c>
      <c r="G97" s="75" t="s">
        <v>186</v>
      </c>
      <c r="H97" s="75" t="s">
        <v>195</v>
      </c>
      <c r="I97" s="75" t="s">
        <v>187</v>
      </c>
      <c r="J97" s="76">
        <v>5</v>
      </c>
      <c r="K97" s="78">
        <v>435000</v>
      </c>
      <c r="L97" s="78">
        <f t="shared" si="1"/>
        <v>2175000</v>
      </c>
      <c r="M97" s="78">
        <v>12</v>
      </c>
      <c r="N97" s="78">
        <f>L97*M97</f>
        <v>26100000</v>
      </c>
    </row>
    <row r="98" spans="1:15" ht="21">
      <c r="A98" s="74">
        <v>100</v>
      </c>
      <c r="B98" s="74"/>
      <c r="C98" s="86" t="s">
        <v>388</v>
      </c>
      <c r="D98" s="86" t="s">
        <v>389</v>
      </c>
      <c r="E98" s="86" t="s">
        <v>390</v>
      </c>
      <c r="F98" s="86" t="s">
        <v>185</v>
      </c>
      <c r="G98" s="86" t="s">
        <v>186</v>
      </c>
      <c r="H98" s="86" t="s">
        <v>195</v>
      </c>
      <c r="I98" s="86">
        <v>0</v>
      </c>
      <c r="J98" s="82"/>
      <c r="K98" s="84">
        <v>435000</v>
      </c>
      <c r="L98" s="83">
        <f t="shared" si="1"/>
        <v>0</v>
      </c>
      <c r="M98" s="84">
        <v>12</v>
      </c>
      <c r="N98" s="85"/>
    </row>
    <row r="99" spans="1:15" ht="21">
      <c r="A99" s="74">
        <v>101</v>
      </c>
      <c r="B99" s="74"/>
      <c r="C99" s="86" t="s">
        <v>391</v>
      </c>
      <c r="D99" s="86" t="s">
        <v>387</v>
      </c>
      <c r="E99" s="86" t="s">
        <v>392</v>
      </c>
      <c r="F99" s="86" t="s">
        <v>185</v>
      </c>
      <c r="G99" s="86" t="s">
        <v>186</v>
      </c>
      <c r="H99" s="86" t="s">
        <v>195</v>
      </c>
      <c r="I99" s="86">
        <v>0</v>
      </c>
      <c r="J99" s="82"/>
      <c r="K99" s="84">
        <v>435000</v>
      </c>
      <c r="L99" s="83">
        <f t="shared" si="1"/>
        <v>0</v>
      </c>
      <c r="M99" s="84">
        <v>12</v>
      </c>
      <c r="N99" s="85"/>
    </row>
    <row r="100" spans="1:15" ht="21">
      <c r="A100" s="74">
        <v>102</v>
      </c>
      <c r="B100" s="74"/>
      <c r="C100" s="86" t="s">
        <v>393</v>
      </c>
      <c r="D100" s="86" t="s">
        <v>387</v>
      </c>
      <c r="E100" s="86" t="s">
        <v>392</v>
      </c>
      <c r="F100" s="86" t="s">
        <v>185</v>
      </c>
      <c r="G100" s="86" t="s">
        <v>186</v>
      </c>
      <c r="H100" s="86" t="s">
        <v>195</v>
      </c>
      <c r="I100" s="86">
        <v>0</v>
      </c>
      <c r="J100" s="82"/>
      <c r="K100" s="84">
        <v>435000</v>
      </c>
      <c r="L100" s="83">
        <f t="shared" si="1"/>
        <v>0</v>
      </c>
      <c r="M100" s="84">
        <v>12</v>
      </c>
      <c r="N100" s="85"/>
    </row>
    <row r="101" spans="1:15" ht="21">
      <c r="A101" s="74">
        <v>103</v>
      </c>
      <c r="B101" s="74"/>
      <c r="C101" s="86" t="s">
        <v>246</v>
      </c>
      <c r="D101" s="86" t="s">
        <v>394</v>
      </c>
      <c r="E101" s="86" t="s">
        <v>395</v>
      </c>
      <c r="F101" s="86" t="s">
        <v>185</v>
      </c>
      <c r="G101" s="86" t="s">
        <v>186</v>
      </c>
      <c r="H101" s="86" t="s">
        <v>195</v>
      </c>
      <c r="I101" s="90" t="s">
        <v>191</v>
      </c>
      <c r="J101" s="82"/>
      <c r="K101" s="83">
        <v>435000</v>
      </c>
      <c r="L101" s="83">
        <f t="shared" si="1"/>
        <v>0</v>
      </c>
      <c r="M101" s="84">
        <v>12</v>
      </c>
      <c r="N101" s="85"/>
    </row>
    <row r="102" spans="1:15" ht="21">
      <c r="A102" s="74">
        <v>104</v>
      </c>
      <c r="B102" s="75">
        <v>9157008</v>
      </c>
      <c r="C102" s="75" t="s">
        <v>396</v>
      </c>
      <c r="D102" s="75" t="s">
        <v>397</v>
      </c>
      <c r="E102" s="75" t="s">
        <v>398</v>
      </c>
      <c r="F102" s="75" t="s">
        <v>185</v>
      </c>
      <c r="G102" s="75" t="s">
        <v>186</v>
      </c>
      <c r="H102" s="75" t="s">
        <v>195</v>
      </c>
      <c r="I102" s="75" t="s">
        <v>187</v>
      </c>
      <c r="J102" s="76">
        <v>4</v>
      </c>
      <c r="K102" s="78">
        <v>435000</v>
      </c>
      <c r="L102" s="78">
        <f>K102*J102</f>
        <v>1740000</v>
      </c>
      <c r="M102" s="78">
        <v>12</v>
      </c>
      <c r="N102" s="78">
        <f>L102*M102</f>
        <v>20880000</v>
      </c>
    </row>
    <row r="103" spans="1:15" ht="21">
      <c r="A103" s="74">
        <v>105</v>
      </c>
      <c r="B103" s="91"/>
      <c r="C103" s="86" t="s">
        <v>203</v>
      </c>
      <c r="D103" s="86" t="s">
        <v>219</v>
      </c>
      <c r="E103" s="86" t="s">
        <v>399</v>
      </c>
      <c r="F103" s="86" t="s">
        <v>185</v>
      </c>
      <c r="G103" s="86" t="s">
        <v>186</v>
      </c>
      <c r="H103" s="86" t="s">
        <v>195</v>
      </c>
      <c r="I103" s="86">
        <v>0</v>
      </c>
      <c r="J103" s="82"/>
      <c r="K103" s="84">
        <v>435000</v>
      </c>
      <c r="L103" s="83">
        <f t="shared" si="1"/>
        <v>0</v>
      </c>
      <c r="M103" s="84">
        <v>12</v>
      </c>
      <c r="N103" s="85"/>
    </row>
    <row r="104" spans="1:15" ht="21">
      <c r="A104" s="74">
        <v>106</v>
      </c>
      <c r="B104" s="91"/>
      <c r="C104" s="86" t="s">
        <v>400</v>
      </c>
      <c r="D104" s="86" t="s">
        <v>397</v>
      </c>
      <c r="E104" s="86" t="s">
        <v>396</v>
      </c>
      <c r="F104" s="86" t="s">
        <v>185</v>
      </c>
      <c r="G104" s="86" t="s">
        <v>186</v>
      </c>
      <c r="H104" s="86" t="s">
        <v>195</v>
      </c>
      <c r="I104" s="86">
        <v>0</v>
      </c>
      <c r="J104" s="82"/>
      <c r="K104" s="84">
        <v>435000</v>
      </c>
      <c r="L104" s="83">
        <f t="shared" si="1"/>
        <v>0</v>
      </c>
      <c r="M104" s="84">
        <v>12</v>
      </c>
      <c r="N104" s="85"/>
    </row>
    <row r="105" spans="1:15" ht="21">
      <c r="A105" s="74">
        <v>107</v>
      </c>
      <c r="B105" s="91"/>
      <c r="C105" s="86" t="s">
        <v>401</v>
      </c>
      <c r="D105" s="82" t="s">
        <v>397</v>
      </c>
      <c r="E105" s="86" t="s">
        <v>396</v>
      </c>
      <c r="F105" s="86" t="s">
        <v>185</v>
      </c>
      <c r="G105" s="86" t="s">
        <v>186</v>
      </c>
      <c r="H105" s="86" t="s">
        <v>195</v>
      </c>
      <c r="I105" s="86">
        <v>0</v>
      </c>
      <c r="J105" s="82"/>
      <c r="K105" s="84">
        <v>435000</v>
      </c>
      <c r="L105" s="83">
        <f t="shared" si="1"/>
        <v>0</v>
      </c>
      <c r="M105" s="84">
        <v>12</v>
      </c>
      <c r="N105" s="85"/>
    </row>
    <row r="106" spans="1:15" ht="19.5">
      <c r="A106" s="105" t="s">
        <v>402</v>
      </c>
      <c r="B106" s="106"/>
      <c r="C106" s="106"/>
      <c r="D106" s="106"/>
      <c r="E106" s="106"/>
      <c r="F106" s="106"/>
      <c r="G106" s="106"/>
      <c r="H106" s="106"/>
      <c r="I106" s="107"/>
      <c r="J106" s="92">
        <f>SUM(J2:J105)</f>
        <v>104</v>
      </c>
      <c r="K106" s="92"/>
      <c r="L106" s="92">
        <f>SUM(L2:L105)</f>
        <v>45240000</v>
      </c>
      <c r="M106" s="92"/>
      <c r="N106" s="93">
        <f>SUM(N2:N105)</f>
        <v>542880000</v>
      </c>
    </row>
    <row r="107" spans="1:15" s="96" customFormat="1" ht="21">
      <c r="A107" s="94"/>
      <c r="B107" s="86">
        <v>9157006</v>
      </c>
      <c r="C107" s="94"/>
      <c r="D107" s="86" t="s">
        <v>274</v>
      </c>
      <c r="E107" s="86" t="s">
        <v>269</v>
      </c>
      <c r="F107" s="86" t="s">
        <v>403</v>
      </c>
      <c r="G107" s="86" t="s">
        <v>186</v>
      </c>
      <c r="H107" s="86" t="s">
        <v>195</v>
      </c>
      <c r="I107" s="75" t="s">
        <v>187</v>
      </c>
      <c r="J107" s="86"/>
      <c r="K107" s="84">
        <v>435000</v>
      </c>
      <c r="L107" s="84">
        <v>435000</v>
      </c>
      <c r="M107" s="95">
        <v>10</v>
      </c>
      <c r="N107" s="95">
        <f>K107*M107</f>
        <v>4350000</v>
      </c>
      <c r="O107" s="95">
        <f>N107+N35</f>
        <v>20010000</v>
      </c>
    </row>
    <row r="108" spans="1:15" ht="21">
      <c r="A108" s="97"/>
      <c r="B108" s="97"/>
      <c r="C108" s="86" t="s">
        <v>404</v>
      </c>
      <c r="D108" s="86" t="s">
        <v>269</v>
      </c>
      <c r="E108" s="86" t="s">
        <v>274</v>
      </c>
      <c r="F108" s="97"/>
      <c r="G108" s="97"/>
      <c r="H108" s="97"/>
      <c r="I108" s="97" t="s">
        <v>405</v>
      </c>
      <c r="J108" s="97"/>
      <c r="K108" s="85"/>
      <c r="L108" s="85"/>
      <c r="M108" s="85"/>
      <c r="N108" s="85"/>
    </row>
    <row r="109" spans="1:15" ht="19.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9"/>
      <c r="L109" s="100">
        <f>L106+L107</f>
        <v>45675000</v>
      </c>
      <c r="M109" s="100"/>
      <c r="N109" s="100">
        <f>N106+N107</f>
        <v>547230000</v>
      </c>
    </row>
    <row r="110" spans="1:15" s="101" customFormat="1">
      <c r="A110"/>
      <c r="B110"/>
      <c r="C110"/>
      <c r="D110"/>
      <c r="E110"/>
      <c r="F110"/>
      <c r="G110"/>
      <c r="H110"/>
      <c r="I110"/>
      <c r="J110"/>
      <c r="K110" s="7"/>
      <c r="L110" s="7"/>
      <c r="M110" s="7"/>
      <c r="N110" s="7"/>
    </row>
  </sheetData>
  <mergeCells count="1">
    <mergeCell ref="A106:I106"/>
  </mergeCells>
  <conditionalFormatting sqref="B109:B1048576 B1:B106">
    <cfRule type="duplicateValues" dxfId="1" priority="1"/>
  </conditionalFormatting>
  <conditionalFormatting sqref="B109:B1048576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topLeftCell="G1" zoomScaleNormal="100" workbookViewId="0">
      <pane ySplit="1" topLeftCell="A28" activePane="bottomLeft" state="frozen"/>
      <selection pane="bottomLeft" activeCell="I50" sqref="I50"/>
    </sheetView>
  </sheetViews>
  <sheetFormatPr defaultRowHeight="15"/>
  <cols>
    <col min="1" max="1" width="12.5703125" bestFit="1" customWidth="1"/>
    <col min="2" max="2" width="21.140625" bestFit="1" customWidth="1"/>
    <col min="3" max="3" width="21" bestFit="1" customWidth="1"/>
    <col min="4" max="4" width="25.42578125" bestFit="1" customWidth="1"/>
    <col min="5" max="5" width="23.7109375" bestFit="1" customWidth="1"/>
    <col min="6" max="6" width="26.42578125" bestFit="1" customWidth="1"/>
    <col min="7" max="7" width="24.42578125" bestFit="1" customWidth="1"/>
    <col min="8" max="8" width="23.140625" bestFit="1" customWidth="1"/>
    <col min="9" max="9" width="28.85546875" bestFit="1" customWidth="1"/>
    <col min="10" max="10" width="26.140625" bestFit="1" customWidth="1"/>
    <col min="11" max="11" width="28.140625" bestFit="1" customWidth="1"/>
    <col min="12" max="12" width="15.28515625" bestFit="1" customWidth="1"/>
    <col min="13" max="13" width="14.28515625" bestFit="1" customWidth="1"/>
    <col min="14" max="14" width="13.28515625" bestFit="1" customWidth="1"/>
  </cols>
  <sheetData>
    <row r="1" spans="1:14">
      <c r="A1" s="5" t="s">
        <v>0</v>
      </c>
      <c r="B1" s="5" t="s">
        <v>1</v>
      </c>
      <c r="C1" s="5" t="s">
        <v>2</v>
      </c>
      <c r="D1" s="5" t="s">
        <v>35</v>
      </c>
      <c r="E1" s="5" t="s">
        <v>36</v>
      </c>
      <c r="F1" s="5" t="s">
        <v>37</v>
      </c>
      <c r="G1" s="5" t="s">
        <v>38</v>
      </c>
      <c r="H1" s="5" t="s">
        <v>39</v>
      </c>
      <c r="I1" s="5" t="s">
        <v>40</v>
      </c>
      <c r="J1" s="5" t="s">
        <v>41</v>
      </c>
      <c r="K1" s="5" t="s">
        <v>42</v>
      </c>
      <c r="L1" s="5" t="s">
        <v>138</v>
      </c>
      <c r="M1" s="5" t="s">
        <v>139</v>
      </c>
      <c r="N1" s="5" t="s">
        <v>140</v>
      </c>
    </row>
    <row r="2" spans="1:14">
      <c r="A2" s="4" t="s">
        <v>43</v>
      </c>
      <c r="B2" s="4" t="s">
        <v>44</v>
      </c>
      <c r="C2" s="4" t="s">
        <v>45</v>
      </c>
      <c r="D2" s="4">
        <v>1100000</v>
      </c>
      <c r="E2" s="4">
        <v>0</v>
      </c>
      <c r="F2" s="4">
        <v>200000</v>
      </c>
      <c r="G2" s="4">
        <v>8389590</v>
      </c>
      <c r="H2" s="4">
        <v>0</v>
      </c>
      <c r="I2" s="4">
        <v>0</v>
      </c>
      <c r="J2" s="4">
        <v>587952</v>
      </c>
      <c r="K2" s="4">
        <v>161995</v>
      </c>
      <c r="L2" s="7">
        <f>SUM(D2:K2)</f>
        <v>10439537</v>
      </c>
      <c r="M2" s="7">
        <f>L2/12</f>
        <v>869961.41666666663</v>
      </c>
      <c r="N2" s="7">
        <f>IF(L2*2&gt;=21372750,21372750,L2*2)/12</f>
        <v>1739922.8333333333</v>
      </c>
    </row>
    <row r="3" spans="1:14">
      <c r="A3" s="4" t="s">
        <v>46</v>
      </c>
      <c r="B3" s="4" t="s">
        <v>47</v>
      </c>
      <c r="C3" s="4" t="s">
        <v>45</v>
      </c>
      <c r="D3" s="4">
        <v>1100000</v>
      </c>
      <c r="E3" s="4">
        <v>2849700</v>
      </c>
      <c r="F3" s="4">
        <v>200000</v>
      </c>
      <c r="G3" s="4">
        <v>10141620</v>
      </c>
      <c r="H3" s="4">
        <v>0</v>
      </c>
      <c r="I3" s="4">
        <v>0</v>
      </c>
      <c r="J3" s="4">
        <v>611952</v>
      </c>
      <c r="K3" s="4">
        <v>0</v>
      </c>
      <c r="L3" s="7">
        <f t="shared" ref="L3:L48" si="0">SUM(D3:K3)</f>
        <v>14903272</v>
      </c>
      <c r="M3" s="7">
        <f t="shared" ref="M3:M48" si="1">L3/12</f>
        <v>1241939.3333333333</v>
      </c>
      <c r="N3" s="7">
        <f t="shared" ref="N3:N48" si="2">IF(L3*2&gt;=21372750,21372750,L3*2)/12</f>
        <v>1781062.5</v>
      </c>
    </row>
    <row r="4" spans="1:14">
      <c r="A4" s="4" t="s">
        <v>48</v>
      </c>
      <c r="B4" s="4" t="s">
        <v>49</v>
      </c>
      <c r="C4" s="4" t="s">
        <v>45</v>
      </c>
      <c r="D4" s="4">
        <v>1100000</v>
      </c>
      <c r="E4" s="4">
        <v>1424850</v>
      </c>
      <c r="F4" s="4">
        <v>200000</v>
      </c>
      <c r="G4" s="4">
        <v>10725600</v>
      </c>
      <c r="H4" s="4">
        <v>0</v>
      </c>
      <c r="I4" s="4">
        <v>0</v>
      </c>
      <c r="J4" s="4">
        <v>617952</v>
      </c>
      <c r="K4" s="4">
        <v>0</v>
      </c>
      <c r="L4" s="7">
        <f t="shared" si="0"/>
        <v>14068402</v>
      </c>
      <c r="M4" s="7">
        <f t="shared" si="1"/>
        <v>1172366.8333333333</v>
      </c>
      <c r="N4" s="7">
        <f t="shared" si="2"/>
        <v>1781062.5</v>
      </c>
    </row>
    <row r="5" spans="1:14">
      <c r="A5" s="4" t="s">
        <v>50</v>
      </c>
      <c r="B5" s="4" t="s">
        <v>51</v>
      </c>
      <c r="C5" s="4" t="s">
        <v>45</v>
      </c>
      <c r="D5" s="4">
        <v>1100000</v>
      </c>
      <c r="E5" s="4">
        <v>3562125</v>
      </c>
      <c r="F5" s="4">
        <v>200000</v>
      </c>
      <c r="G5" s="4">
        <v>9168270</v>
      </c>
      <c r="H5" s="4">
        <v>0</v>
      </c>
      <c r="I5" s="4">
        <v>0</v>
      </c>
      <c r="J5" s="4">
        <v>599952</v>
      </c>
      <c r="K5" s="4">
        <v>0</v>
      </c>
      <c r="L5" s="7">
        <f t="shared" si="0"/>
        <v>14630347</v>
      </c>
      <c r="M5" s="7">
        <f t="shared" si="1"/>
        <v>1219195.5833333333</v>
      </c>
      <c r="N5" s="7">
        <f t="shared" si="2"/>
        <v>1781062.5</v>
      </c>
    </row>
    <row r="6" spans="1:14">
      <c r="A6" s="4" t="s">
        <v>52</v>
      </c>
      <c r="B6" s="4" t="s">
        <v>53</v>
      </c>
      <c r="C6" s="4" t="s">
        <v>45</v>
      </c>
      <c r="D6" s="4">
        <v>1100000</v>
      </c>
      <c r="E6" s="4">
        <v>1424850</v>
      </c>
      <c r="F6" s="4">
        <v>200000</v>
      </c>
      <c r="G6" s="4">
        <v>9168270</v>
      </c>
      <c r="H6" s="4">
        <v>0</v>
      </c>
      <c r="I6" s="4">
        <v>0</v>
      </c>
      <c r="J6" s="4">
        <v>599952</v>
      </c>
      <c r="K6" s="4">
        <v>0</v>
      </c>
      <c r="L6" s="7">
        <f t="shared" si="0"/>
        <v>12493072</v>
      </c>
      <c r="M6" s="7">
        <f t="shared" si="1"/>
        <v>1041089.3333333334</v>
      </c>
      <c r="N6" s="7">
        <f t="shared" si="2"/>
        <v>1781062.5</v>
      </c>
    </row>
    <row r="7" spans="1:14">
      <c r="A7" s="4" t="s">
        <v>54</v>
      </c>
      <c r="B7" s="4" t="s">
        <v>55</v>
      </c>
      <c r="C7" s="4" t="s">
        <v>45</v>
      </c>
      <c r="D7" s="4">
        <v>1100000</v>
      </c>
      <c r="E7" s="4">
        <v>2137275</v>
      </c>
      <c r="F7" s="4">
        <v>200000</v>
      </c>
      <c r="G7" s="4">
        <v>11893590</v>
      </c>
      <c r="H7" s="4">
        <v>0</v>
      </c>
      <c r="I7" s="4">
        <v>0</v>
      </c>
      <c r="J7" s="4">
        <v>635952</v>
      </c>
      <c r="K7" s="4">
        <v>0</v>
      </c>
      <c r="L7" s="7">
        <f t="shared" si="0"/>
        <v>15966817</v>
      </c>
      <c r="M7" s="7">
        <f t="shared" si="1"/>
        <v>1330568.0833333333</v>
      </c>
      <c r="N7" s="7">
        <f t="shared" si="2"/>
        <v>1781062.5</v>
      </c>
    </row>
    <row r="8" spans="1:14">
      <c r="A8" s="4" t="s">
        <v>56</v>
      </c>
      <c r="B8" s="4" t="s">
        <v>57</v>
      </c>
      <c r="C8" s="4" t="s">
        <v>45</v>
      </c>
      <c r="D8" s="4">
        <v>1100000</v>
      </c>
      <c r="E8" s="4">
        <v>0</v>
      </c>
      <c r="F8" s="4">
        <v>200000</v>
      </c>
      <c r="G8" s="4">
        <v>11893590</v>
      </c>
      <c r="H8" s="4">
        <v>0</v>
      </c>
      <c r="I8" s="4">
        <v>0</v>
      </c>
      <c r="J8" s="4">
        <v>635952</v>
      </c>
      <c r="K8" s="4">
        <v>0</v>
      </c>
      <c r="L8" s="7">
        <f t="shared" si="0"/>
        <v>13829542</v>
      </c>
      <c r="M8" s="7">
        <f t="shared" si="1"/>
        <v>1152461.8333333333</v>
      </c>
      <c r="N8" s="7">
        <f t="shared" si="2"/>
        <v>1781062.5</v>
      </c>
    </row>
    <row r="9" spans="1:14">
      <c r="A9" s="4" t="s">
        <v>58</v>
      </c>
      <c r="B9" s="4" t="s">
        <v>59</v>
      </c>
      <c r="C9" s="4" t="s">
        <v>45</v>
      </c>
      <c r="D9" s="4">
        <v>1100000</v>
      </c>
      <c r="E9" s="4">
        <v>712425</v>
      </c>
      <c r="F9" s="4">
        <v>200000</v>
      </c>
      <c r="G9" s="4">
        <v>11893590</v>
      </c>
      <c r="H9" s="4">
        <v>0</v>
      </c>
      <c r="I9" s="4">
        <v>613948</v>
      </c>
      <c r="J9" s="4">
        <v>635952</v>
      </c>
      <c r="K9" s="4">
        <v>0</v>
      </c>
      <c r="L9" s="7">
        <f t="shared" si="0"/>
        <v>15155915</v>
      </c>
      <c r="M9" s="7">
        <f t="shared" si="1"/>
        <v>1262992.9166666667</v>
      </c>
      <c r="N9" s="7">
        <f t="shared" si="2"/>
        <v>1781062.5</v>
      </c>
    </row>
    <row r="10" spans="1:14">
      <c r="A10" s="4" t="s">
        <v>60</v>
      </c>
      <c r="B10" s="4" t="s">
        <v>61</v>
      </c>
      <c r="C10" s="4" t="s">
        <v>45</v>
      </c>
      <c r="D10" s="4">
        <v>1100000</v>
      </c>
      <c r="E10" s="4">
        <v>0</v>
      </c>
      <c r="F10" s="4">
        <v>200000</v>
      </c>
      <c r="G10" s="4">
        <v>10725600</v>
      </c>
      <c r="H10" s="4">
        <v>0</v>
      </c>
      <c r="I10" s="4">
        <v>0</v>
      </c>
      <c r="J10" s="4">
        <v>617952</v>
      </c>
      <c r="K10" s="4">
        <v>0</v>
      </c>
      <c r="L10" s="7">
        <f t="shared" si="0"/>
        <v>12643552</v>
      </c>
      <c r="M10" s="7">
        <f t="shared" si="1"/>
        <v>1053629.3333333333</v>
      </c>
      <c r="N10" s="7">
        <f t="shared" si="2"/>
        <v>1781062.5</v>
      </c>
    </row>
    <row r="11" spans="1:14">
      <c r="A11" s="4" t="s">
        <v>62</v>
      </c>
      <c r="B11" s="4" t="s">
        <v>63</v>
      </c>
      <c r="C11" s="4" t="s">
        <v>45</v>
      </c>
      <c r="D11" s="4">
        <v>1100000</v>
      </c>
      <c r="E11" s="4">
        <v>2849700</v>
      </c>
      <c r="F11" s="4">
        <v>200000</v>
      </c>
      <c r="G11" s="4">
        <v>10141620</v>
      </c>
      <c r="H11" s="4">
        <v>0</v>
      </c>
      <c r="I11" s="4">
        <v>0</v>
      </c>
      <c r="J11" s="4">
        <v>611952</v>
      </c>
      <c r="K11" s="4">
        <v>0</v>
      </c>
      <c r="L11" s="7">
        <f t="shared" si="0"/>
        <v>14903272</v>
      </c>
      <c r="M11" s="7">
        <f t="shared" si="1"/>
        <v>1241939.3333333333</v>
      </c>
      <c r="N11" s="7">
        <f t="shared" si="2"/>
        <v>1781062.5</v>
      </c>
    </row>
    <row r="12" spans="1:14">
      <c r="A12" s="4" t="s">
        <v>64</v>
      </c>
      <c r="B12" s="4" t="s">
        <v>65</v>
      </c>
      <c r="C12" s="4" t="s">
        <v>45</v>
      </c>
      <c r="D12" s="4">
        <v>1100000</v>
      </c>
      <c r="E12" s="4">
        <v>1424850</v>
      </c>
      <c r="F12" s="4">
        <v>200000</v>
      </c>
      <c r="G12" s="4">
        <v>9168270</v>
      </c>
      <c r="H12" s="4">
        <v>0</v>
      </c>
      <c r="I12" s="4">
        <v>647633</v>
      </c>
      <c r="J12" s="4">
        <v>599952</v>
      </c>
      <c r="K12" s="4">
        <v>0</v>
      </c>
      <c r="L12" s="7">
        <f t="shared" si="0"/>
        <v>13140705</v>
      </c>
      <c r="M12" s="7">
        <f t="shared" si="1"/>
        <v>1095058.75</v>
      </c>
      <c r="N12" s="7">
        <f t="shared" si="2"/>
        <v>1781062.5</v>
      </c>
    </row>
    <row r="13" spans="1:14">
      <c r="A13" s="4" t="s">
        <v>66</v>
      </c>
      <c r="B13" s="4" t="s">
        <v>67</v>
      </c>
      <c r="C13" s="4" t="s">
        <v>45</v>
      </c>
      <c r="D13" s="4">
        <v>1100000</v>
      </c>
      <c r="E13" s="4">
        <v>0</v>
      </c>
      <c r="F13" s="4">
        <v>200000</v>
      </c>
      <c r="G13" s="4">
        <v>9654930</v>
      </c>
      <c r="H13" s="4">
        <v>0</v>
      </c>
      <c r="I13" s="4">
        <v>497653</v>
      </c>
      <c r="J13" s="4">
        <v>605952</v>
      </c>
      <c r="K13" s="4">
        <v>0</v>
      </c>
      <c r="L13" s="7">
        <f t="shared" si="0"/>
        <v>12058535</v>
      </c>
      <c r="M13" s="7">
        <f t="shared" si="1"/>
        <v>1004877.9166666666</v>
      </c>
      <c r="N13" s="7">
        <f t="shared" si="2"/>
        <v>1781062.5</v>
      </c>
    </row>
    <row r="14" spans="1:14">
      <c r="A14" s="4" t="s">
        <v>68</v>
      </c>
      <c r="B14" s="4" t="s">
        <v>69</v>
      </c>
      <c r="C14" s="4" t="s">
        <v>45</v>
      </c>
      <c r="D14" s="4">
        <v>1100000</v>
      </c>
      <c r="E14" s="4">
        <v>712425</v>
      </c>
      <c r="F14" s="4">
        <v>200000</v>
      </c>
      <c r="G14" s="4">
        <v>8000250</v>
      </c>
      <c r="H14" s="4">
        <v>291990</v>
      </c>
      <c r="I14" s="4">
        <v>0</v>
      </c>
      <c r="J14" s="4">
        <v>581952</v>
      </c>
      <c r="K14" s="4">
        <v>420358</v>
      </c>
      <c r="L14" s="7">
        <f t="shared" si="0"/>
        <v>11306975</v>
      </c>
      <c r="M14" s="7">
        <f t="shared" si="1"/>
        <v>942247.91666666663</v>
      </c>
      <c r="N14" s="7">
        <f t="shared" si="2"/>
        <v>1781062.5</v>
      </c>
    </row>
    <row r="15" spans="1:14">
      <c r="A15" s="4" t="s">
        <v>70</v>
      </c>
      <c r="B15" s="4" t="s">
        <v>71</v>
      </c>
      <c r="C15" s="4" t="s">
        <v>45</v>
      </c>
      <c r="D15" s="4">
        <v>1100000</v>
      </c>
      <c r="E15" s="4">
        <v>0</v>
      </c>
      <c r="F15" s="4">
        <v>200000</v>
      </c>
      <c r="G15" s="4">
        <v>8778930</v>
      </c>
      <c r="H15" s="4">
        <v>389340</v>
      </c>
      <c r="I15" s="4">
        <v>0</v>
      </c>
      <c r="J15" s="4">
        <v>593952</v>
      </c>
      <c r="K15" s="4">
        <v>0</v>
      </c>
      <c r="L15" s="7">
        <f t="shared" si="0"/>
        <v>11062222</v>
      </c>
      <c r="M15" s="7">
        <f t="shared" si="1"/>
        <v>921851.83333333337</v>
      </c>
      <c r="N15" s="7">
        <f t="shared" si="2"/>
        <v>1781062.5</v>
      </c>
    </row>
    <row r="16" spans="1:14">
      <c r="A16" s="4" t="s">
        <v>72</v>
      </c>
      <c r="B16" s="4" t="s">
        <v>73</v>
      </c>
      <c r="C16" s="4" t="s">
        <v>45</v>
      </c>
      <c r="D16" s="4">
        <v>1100000</v>
      </c>
      <c r="E16" s="4">
        <v>712425</v>
      </c>
      <c r="F16" s="4">
        <v>200000</v>
      </c>
      <c r="G16" s="4">
        <v>9168270</v>
      </c>
      <c r="H16" s="4">
        <v>0</v>
      </c>
      <c r="I16" s="4">
        <v>0</v>
      </c>
      <c r="J16" s="4">
        <v>599952</v>
      </c>
      <c r="K16" s="4">
        <v>0</v>
      </c>
      <c r="L16" s="7">
        <f t="shared" si="0"/>
        <v>11780647</v>
      </c>
      <c r="M16" s="7">
        <f t="shared" si="1"/>
        <v>981720.58333333337</v>
      </c>
      <c r="N16" s="7">
        <f t="shared" si="2"/>
        <v>1781062.5</v>
      </c>
    </row>
    <row r="17" spans="1:14">
      <c r="A17" s="4" t="s">
        <v>74</v>
      </c>
      <c r="B17" s="4" t="s">
        <v>75</v>
      </c>
      <c r="C17" s="4" t="s">
        <v>45</v>
      </c>
      <c r="D17" s="4">
        <v>1100000</v>
      </c>
      <c r="E17" s="4">
        <v>1424850</v>
      </c>
      <c r="F17" s="4">
        <v>200000</v>
      </c>
      <c r="G17" s="4">
        <v>8778930</v>
      </c>
      <c r="H17" s="4">
        <v>0</v>
      </c>
      <c r="I17" s="4">
        <v>0</v>
      </c>
      <c r="J17" s="4">
        <v>593952</v>
      </c>
      <c r="K17" s="4">
        <v>243008</v>
      </c>
      <c r="L17" s="7">
        <f t="shared" si="0"/>
        <v>12340740</v>
      </c>
      <c r="M17" s="7">
        <f t="shared" si="1"/>
        <v>1028395</v>
      </c>
      <c r="N17" s="7">
        <f t="shared" si="2"/>
        <v>1781062.5</v>
      </c>
    </row>
    <row r="18" spans="1:14">
      <c r="A18" s="4" t="s">
        <v>76</v>
      </c>
      <c r="B18" s="4" t="s">
        <v>77</v>
      </c>
      <c r="C18" s="4" t="s">
        <v>45</v>
      </c>
      <c r="D18" s="4">
        <v>1100000</v>
      </c>
      <c r="E18" s="4">
        <v>2849700</v>
      </c>
      <c r="F18" s="4">
        <v>200000</v>
      </c>
      <c r="G18" s="4">
        <v>10141620</v>
      </c>
      <c r="H18" s="4">
        <v>0</v>
      </c>
      <c r="I18" s="4">
        <v>0</v>
      </c>
      <c r="J18" s="4">
        <v>611952</v>
      </c>
      <c r="K18" s="4">
        <v>0</v>
      </c>
      <c r="L18" s="7">
        <f t="shared" si="0"/>
        <v>14903272</v>
      </c>
      <c r="M18" s="7">
        <f t="shared" si="1"/>
        <v>1241939.3333333333</v>
      </c>
      <c r="N18" s="7">
        <f t="shared" si="2"/>
        <v>1781062.5</v>
      </c>
    </row>
    <row r="19" spans="1:14">
      <c r="A19" s="4" t="s">
        <v>78</v>
      </c>
      <c r="B19" s="4" t="s">
        <v>79</v>
      </c>
      <c r="C19" s="4" t="s">
        <v>45</v>
      </c>
      <c r="D19" s="4">
        <v>1100000</v>
      </c>
      <c r="E19" s="4">
        <v>0</v>
      </c>
      <c r="F19" s="4">
        <v>200000</v>
      </c>
      <c r="G19" s="4">
        <v>10141620</v>
      </c>
      <c r="H19" s="4">
        <v>0</v>
      </c>
      <c r="I19" s="4">
        <v>0</v>
      </c>
      <c r="J19" s="4">
        <v>611952</v>
      </c>
      <c r="K19" s="4">
        <v>0</v>
      </c>
      <c r="L19" s="7">
        <f t="shared" si="0"/>
        <v>12053572</v>
      </c>
      <c r="M19" s="7">
        <f t="shared" si="1"/>
        <v>1004464.3333333334</v>
      </c>
      <c r="N19" s="7">
        <f t="shared" si="2"/>
        <v>1781062.5</v>
      </c>
    </row>
    <row r="20" spans="1:14">
      <c r="A20" s="4" t="s">
        <v>80</v>
      </c>
      <c r="B20" s="4" t="s">
        <v>81</v>
      </c>
      <c r="C20" s="4" t="s">
        <v>45</v>
      </c>
      <c r="D20" s="4">
        <v>1100000</v>
      </c>
      <c r="E20" s="4">
        <v>1424850</v>
      </c>
      <c r="F20" s="4">
        <v>200000</v>
      </c>
      <c r="G20" s="4">
        <v>8000250</v>
      </c>
      <c r="H20" s="4">
        <v>291990</v>
      </c>
      <c r="I20" s="4">
        <v>0</v>
      </c>
      <c r="J20" s="4">
        <v>581952</v>
      </c>
      <c r="K20" s="4">
        <v>194529</v>
      </c>
      <c r="L20" s="7">
        <f t="shared" si="0"/>
        <v>11793571</v>
      </c>
      <c r="M20" s="7">
        <f t="shared" si="1"/>
        <v>982797.58333333337</v>
      </c>
      <c r="N20" s="7">
        <f t="shared" si="2"/>
        <v>1781062.5</v>
      </c>
    </row>
    <row r="21" spans="1:14">
      <c r="A21" s="4" t="s">
        <v>82</v>
      </c>
      <c r="B21" s="4" t="s">
        <v>83</v>
      </c>
      <c r="C21" s="4" t="s">
        <v>45</v>
      </c>
      <c r="D21" s="4">
        <v>1100000</v>
      </c>
      <c r="E21" s="4">
        <v>1424850</v>
      </c>
      <c r="F21" s="4">
        <v>200000</v>
      </c>
      <c r="G21" s="4">
        <v>8000250</v>
      </c>
      <c r="H21" s="4">
        <v>0</v>
      </c>
      <c r="I21" s="4">
        <v>0</v>
      </c>
      <c r="J21" s="4">
        <v>581952</v>
      </c>
      <c r="K21" s="4">
        <v>724813</v>
      </c>
      <c r="L21" s="7">
        <f t="shared" si="0"/>
        <v>12031865</v>
      </c>
      <c r="M21" s="7">
        <f t="shared" si="1"/>
        <v>1002655.4166666666</v>
      </c>
      <c r="N21" s="7">
        <f t="shared" si="2"/>
        <v>1781062.5</v>
      </c>
    </row>
    <row r="22" spans="1:14">
      <c r="A22" s="4" t="s">
        <v>84</v>
      </c>
      <c r="B22" s="4" t="s">
        <v>85</v>
      </c>
      <c r="C22" s="4" t="s">
        <v>45</v>
      </c>
      <c r="D22" s="4">
        <v>1100000</v>
      </c>
      <c r="E22" s="4">
        <v>1424850</v>
      </c>
      <c r="F22" s="4">
        <v>200000</v>
      </c>
      <c r="G22" s="4">
        <v>9168270</v>
      </c>
      <c r="H22" s="4">
        <v>0</v>
      </c>
      <c r="I22" s="4">
        <v>776574</v>
      </c>
      <c r="J22" s="4">
        <v>599952</v>
      </c>
      <c r="K22" s="4">
        <v>0</v>
      </c>
      <c r="L22" s="7">
        <f t="shared" si="0"/>
        <v>13269646</v>
      </c>
      <c r="M22" s="7">
        <f t="shared" si="1"/>
        <v>1105803.8333333333</v>
      </c>
      <c r="N22" s="7">
        <f t="shared" si="2"/>
        <v>1781062.5</v>
      </c>
    </row>
    <row r="23" spans="1:14">
      <c r="A23" s="4" t="s">
        <v>86</v>
      </c>
      <c r="B23" s="4" t="s">
        <v>87</v>
      </c>
      <c r="C23" s="4" t="s">
        <v>45</v>
      </c>
      <c r="D23" s="4">
        <v>1100000</v>
      </c>
      <c r="E23" s="4">
        <v>712425</v>
      </c>
      <c r="F23" s="4">
        <v>200000</v>
      </c>
      <c r="G23" s="4">
        <v>9168270</v>
      </c>
      <c r="H23" s="4">
        <v>0</v>
      </c>
      <c r="I23" s="4">
        <v>776574</v>
      </c>
      <c r="J23" s="4">
        <v>599952</v>
      </c>
      <c r="K23" s="4">
        <v>0</v>
      </c>
      <c r="L23" s="7">
        <f t="shared" si="0"/>
        <v>12557221</v>
      </c>
      <c r="M23" s="7">
        <f t="shared" si="1"/>
        <v>1046435.0833333334</v>
      </c>
      <c r="N23" s="7">
        <f t="shared" si="2"/>
        <v>1781062.5</v>
      </c>
    </row>
    <row r="24" spans="1:14">
      <c r="A24" s="4" t="s">
        <v>88</v>
      </c>
      <c r="B24" s="4" t="s">
        <v>89</v>
      </c>
      <c r="C24" s="4" t="s">
        <v>45</v>
      </c>
      <c r="D24" s="4">
        <v>1100000</v>
      </c>
      <c r="E24" s="4">
        <v>2137275</v>
      </c>
      <c r="F24" s="4">
        <v>200000</v>
      </c>
      <c r="G24" s="4">
        <v>9168270</v>
      </c>
      <c r="H24" s="4">
        <v>0</v>
      </c>
      <c r="I24" s="4">
        <v>0</v>
      </c>
      <c r="J24" s="4">
        <v>599952</v>
      </c>
      <c r="K24" s="4">
        <v>0</v>
      </c>
      <c r="L24" s="7">
        <f t="shared" si="0"/>
        <v>13205497</v>
      </c>
      <c r="M24" s="7">
        <f t="shared" si="1"/>
        <v>1100458.0833333333</v>
      </c>
      <c r="N24" s="7">
        <f t="shared" si="2"/>
        <v>1781062.5</v>
      </c>
    </row>
    <row r="25" spans="1:14">
      <c r="A25" s="4" t="s">
        <v>90</v>
      </c>
      <c r="B25" s="4" t="s">
        <v>91</v>
      </c>
      <c r="C25" s="4" t="s">
        <v>45</v>
      </c>
      <c r="D25" s="4">
        <v>1100000</v>
      </c>
      <c r="E25" s="4">
        <v>2137275</v>
      </c>
      <c r="F25" s="4">
        <v>200000</v>
      </c>
      <c r="G25" s="4">
        <v>9654930</v>
      </c>
      <c r="H25" s="4">
        <v>0</v>
      </c>
      <c r="I25" s="4">
        <v>0</v>
      </c>
      <c r="J25" s="4">
        <v>605952</v>
      </c>
      <c r="K25" s="4">
        <v>0</v>
      </c>
      <c r="L25" s="7">
        <f t="shared" si="0"/>
        <v>13698157</v>
      </c>
      <c r="M25" s="7">
        <f t="shared" si="1"/>
        <v>1141513.0833333333</v>
      </c>
      <c r="N25" s="7">
        <f t="shared" si="2"/>
        <v>1781062.5</v>
      </c>
    </row>
    <row r="26" spans="1:14">
      <c r="A26" s="4" t="s">
        <v>92</v>
      </c>
      <c r="B26" s="4" t="s">
        <v>93</v>
      </c>
      <c r="C26" s="4" t="s">
        <v>45</v>
      </c>
      <c r="D26" s="4">
        <v>1100000</v>
      </c>
      <c r="E26" s="4">
        <v>1424850</v>
      </c>
      <c r="F26" s="4">
        <v>200000</v>
      </c>
      <c r="G26" s="4">
        <v>9168270</v>
      </c>
      <c r="H26" s="4">
        <v>0</v>
      </c>
      <c r="I26" s="4">
        <v>0</v>
      </c>
      <c r="J26" s="4">
        <v>599952</v>
      </c>
      <c r="K26" s="4">
        <v>0</v>
      </c>
      <c r="L26" s="7">
        <f t="shared" si="0"/>
        <v>12493072</v>
      </c>
      <c r="M26" s="7">
        <f t="shared" si="1"/>
        <v>1041089.3333333334</v>
      </c>
      <c r="N26" s="7">
        <f t="shared" si="2"/>
        <v>1781062.5</v>
      </c>
    </row>
    <row r="27" spans="1:14">
      <c r="A27" s="4" t="s">
        <v>94</v>
      </c>
      <c r="B27" s="4" t="s">
        <v>95</v>
      </c>
      <c r="C27" s="4" t="s">
        <v>45</v>
      </c>
      <c r="D27" s="4">
        <v>1100000</v>
      </c>
      <c r="E27" s="4">
        <v>1424850</v>
      </c>
      <c r="F27" s="4">
        <v>200000</v>
      </c>
      <c r="G27" s="4">
        <v>9168270</v>
      </c>
      <c r="H27" s="4">
        <v>0</v>
      </c>
      <c r="I27" s="4">
        <v>0</v>
      </c>
      <c r="J27" s="4">
        <v>599952</v>
      </c>
      <c r="K27" s="4">
        <v>0</v>
      </c>
      <c r="L27" s="7">
        <f t="shared" si="0"/>
        <v>12493072</v>
      </c>
      <c r="M27" s="7">
        <f t="shared" si="1"/>
        <v>1041089.3333333334</v>
      </c>
      <c r="N27" s="7">
        <f t="shared" si="2"/>
        <v>1781062.5</v>
      </c>
    </row>
    <row r="28" spans="1:14">
      <c r="A28" s="4" t="s">
        <v>96</v>
      </c>
      <c r="B28" s="4" t="s">
        <v>97</v>
      </c>
      <c r="C28" s="4" t="s">
        <v>45</v>
      </c>
      <c r="D28" s="4">
        <v>1100000</v>
      </c>
      <c r="E28" s="4">
        <v>712425</v>
      </c>
      <c r="F28" s="4">
        <v>200000</v>
      </c>
      <c r="G28" s="4">
        <v>11893590</v>
      </c>
      <c r="H28" s="4">
        <v>0</v>
      </c>
      <c r="I28" s="4">
        <v>0</v>
      </c>
      <c r="J28" s="4">
        <v>635952</v>
      </c>
      <c r="K28" s="4">
        <v>0</v>
      </c>
      <c r="L28" s="7">
        <f t="shared" si="0"/>
        <v>14541967</v>
      </c>
      <c r="M28" s="7">
        <f t="shared" si="1"/>
        <v>1211830.5833333333</v>
      </c>
      <c r="N28" s="7">
        <f t="shared" si="2"/>
        <v>1781062.5</v>
      </c>
    </row>
    <row r="29" spans="1:14">
      <c r="A29" s="4" t="s">
        <v>98</v>
      </c>
      <c r="B29" s="4" t="s">
        <v>99</v>
      </c>
      <c r="C29" s="4" t="s">
        <v>45</v>
      </c>
      <c r="D29" s="4">
        <v>1100000</v>
      </c>
      <c r="E29" s="4">
        <v>2137275</v>
      </c>
      <c r="F29" s="4">
        <v>200000</v>
      </c>
      <c r="G29" s="4">
        <v>9654930</v>
      </c>
      <c r="H29" s="4">
        <v>0</v>
      </c>
      <c r="I29" s="4">
        <v>0</v>
      </c>
      <c r="J29" s="4">
        <v>605952</v>
      </c>
      <c r="K29" s="4">
        <v>0</v>
      </c>
      <c r="L29" s="7">
        <f t="shared" si="0"/>
        <v>13698157</v>
      </c>
      <c r="M29" s="7">
        <f t="shared" si="1"/>
        <v>1141513.0833333333</v>
      </c>
      <c r="N29" s="7">
        <f t="shared" si="2"/>
        <v>1781062.5</v>
      </c>
    </row>
    <row r="30" spans="1:14">
      <c r="A30" s="4" t="s">
        <v>100</v>
      </c>
      <c r="B30" s="4" t="s">
        <v>101</v>
      </c>
      <c r="C30" s="4" t="s">
        <v>45</v>
      </c>
      <c r="D30" s="4">
        <v>1100000</v>
      </c>
      <c r="E30" s="4">
        <v>0</v>
      </c>
      <c r="F30" s="4">
        <v>200000</v>
      </c>
      <c r="G30" s="4">
        <v>9168270</v>
      </c>
      <c r="H30" s="4">
        <v>0</v>
      </c>
      <c r="I30" s="4">
        <v>478643</v>
      </c>
      <c r="J30" s="4">
        <v>599952</v>
      </c>
      <c r="K30" s="4">
        <v>0</v>
      </c>
      <c r="L30" s="7">
        <f t="shared" si="0"/>
        <v>11546865</v>
      </c>
      <c r="M30" s="7">
        <f t="shared" si="1"/>
        <v>962238.75</v>
      </c>
      <c r="N30" s="7">
        <f t="shared" si="2"/>
        <v>1781062.5</v>
      </c>
    </row>
    <row r="31" spans="1:14">
      <c r="A31" s="4" t="s">
        <v>102</v>
      </c>
      <c r="B31" s="4" t="s">
        <v>103</v>
      </c>
      <c r="C31" s="4" t="s">
        <v>45</v>
      </c>
      <c r="D31" s="4">
        <v>1100000</v>
      </c>
      <c r="E31" s="4">
        <v>712425</v>
      </c>
      <c r="F31" s="4">
        <v>200000</v>
      </c>
      <c r="G31" s="4">
        <v>9168270</v>
      </c>
      <c r="H31" s="4">
        <v>0</v>
      </c>
      <c r="I31" s="4">
        <v>0</v>
      </c>
      <c r="J31" s="4">
        <v>599952</v>
      </c>
      <c r="K31" s="4">
        <v>0</v>
      </c>
      <c r="L31" s="7">
        <f t="shared" si="0"/>
        <v>11780647</v>
      </c>
      <c r="M31" s="7">
        <f t="shared" si="1"/>
        <v>981720.58333333337</v>
      </c>
      <c r="N31" s="7">
        <f t="shared" si="2"/>
        <v>1781062.5</v>
      </c>
    </row>
    <row r="32" spans="1:14">
      <c r="A32" s="4" t="s">
        <v>104</v>
      </c>
      <c r="B32" s="4" t="s">
        <v>105</v>
      </c>
      <c r="C32" s="4" t="s">
        <v>45</v>
      </c>
      <c r="D32" s="4">
        <v>1100000</v>
      </c>
      <c r="E32" s="4">
        <v>2137275</v>
      </c>
      <c r="F32" s="4">
        <v>200000</v>
      </c>
      <c r="G32" s="4">
        <v>10141620</v>
      </c>
      <c r="H32" s="4">
        <v>0</v>
      </c>
      <c r="I32" s="4">
        <v>535528</v>
      </c>
      <c r="J32" s="4">
        <v>611952</v>
      </c>
      <c r="K32" s="4">
        <v>0</v>
      </c>
      <c r="L32" s="7">
        <f t="shared" si="0"/>
        <v>14726375</v>
      </c>
      <c r="M32" s="7">
        <f t="shared" si="1"/>
        <v>1227197.9166666667</v>
      </c>
      <c r="N32" s="7">
        <f t="shared" si="2"/>
        <v>1781062.5</v>
      </c>
    </row>
    <row r="33" spans="1:14">
      <c r="A33" s="4" t="s">
        <v>106</v>
      </c>
      <c r="B33" s="4" t="s">
        <v>107</v>
      </c>
      <c r="C33" s="4" t="s">
        <v>45</v>
      </c>
      <c r="D33" s="4">
        <v>1100000</v>
      </c>
      <c r="E33" s="4">
        <v>712425</v>
      </c>
      <c r="F33" s="4">
        <v>200000</v>
      </c>
      <c r="G33" s="4">
        <v>8778930</v>
      </c>
      <c r="H33" s="4">
        <v>0</v>
      </c>
      <c r="I33" s="4">
        <v>0</v>
      </c>
      <c r="J33" s="4">
        <v>593952</v>
      </c>
      <c r="K33" s="4">
        <v>46155</v>
      </c>
      <c r="L33" s="7">
        <f t="shared" si="0"/>
        <v>11431462</v>
      </c>
      <c r="M33" s="7">
        <f t="shared" si="1"/>
        <v>952621.83333333337</v>
      </c>
      <c r="N33" s="7">
        <f t="shared" si="2"/>
        <v>1781062.5</v>
      </c>
    </row>
    <row r="34" spans="1:14">
      <c r="A34" s="4" t="s">
        <v>108</v>
      </c>
      <c r="B34" s="4" t="s">
        <v>109</v>
      </c>
      <c r="C34" s="4" t="s">
        <v>45</v>
      </c>
      <c r="D34" s="4">
        <v>1100000</v>
      </c>
      <c r="E34" s="4">
        <v>1424850</v>
      </c>
      <c r="F34" s="4">
        <v>200000</v>
      </c>
      <c r="G34" s="4">
        <v>9654930</v>
      </c>
      <c r="H34" s="4">
        <v>0</v>
      </c>
      <c r="I34" s="4">
        <v>812662</v>
      </c>
      <c r="J34" s="4">
        <v>605952</v>
      </c>
      <c r="K34" s="4">
        <v>0</v>
      </c>
      <c r="L34" s="7">
        <f t="shared" si="0"/>
        <v>13798394</v>
      </c>
      <c r="M34" s="7">
        <f t="shared" si="1"/>
        <v>1149866.1666666667</v>
      </c>
      <c r="N34" s="7">
        <f t="shared" si="2"/>
        <v>1781062.5</v>
      </c>
    </row>
    <row r="35" spans="1:14">
      <c r="A35" s="4" t="s">
        <v>110</v>
      </c>
      <c r="B35" s="4" t="s">
        <v>111</v>
      </c>
      <c r="C35" s="4" t="s">
        <v>45</v>
      </c>
      <c r="D35" s="4">
        <v>1100000</v>
      </c>
      <c r="E35" s="4">
        <v>1424850</v>
      </c>
      <c r="F35" s="4">
        <v>200000</v>
      </c>
      <c r="G35" s="4">
        <v>8778930</v>
      </c>
      <c r="H35" s="4">
        <v>389340</v>
      </c>
      <c r="I35" s="4">
        <v>0</v>
      </c>
      <c r="J35" s="4">
        <v>593952</v>
      </c>
      <c r="K35" s="4">
        <v>0</v>
      </c>
      <c r="L35" s="7">
        <f t="shared" si="0"/>
        <v>12487072</v>
      </c>
      <c r="M35" s="7">
        <f t="shared" si="1"/>
        <v>1040589.3333333334</v>
      </c>
      <c r="N35" s="7">
        <f t="shared" si="2"/>
        <v>1781062.5</v>
      </c>
    </row>
    <row r="36" spans="1:14">
      <c r="A36" s="4" t="s">
        <v>112</v>
      </c>
      <c r="B36" s="4" t="s">
        <v>113</v>
      </c>
      <c r="C36" s="4" t="s">
        <v>45</v>
      </c>
      <c r="D36" s="4">
        <v>1100000</v>
      </c>
      <c r="E36" s="4">
        <v>1424850</v>
      </c>
      <c r="F36" s="4">
        <v>200000</v>
      </c>
      <c r="G36" s="4">
        <v>9654930</v>
      </c>
      <c r="H36" s="4">
        <v>0</v>
      </c>
      <c r="I36" s="4">
        <v>0</v>
      </c>
      <c r="J36" s="4">
        <v>605952</v>
      </c>
      <c r="K36" s="4">
        <v>0</v>
      </c>
      <c r="L36" s="7">
        <f t="shared" si="0"/>
        <v>12985732</v>
      </c>
      <c r="M36" s="7">
        <f t="shared" si="1"/>
        <v>1082144.3333333333</v>
      </c>
      <c r="N36" s="7">
        <f t="shared" si="2"/>
        <v>1781062.5</v>
      </c>
    </row>
    <row r="37" spans="1:14">
      <c r="A37" s="4" t="s">
        <v>114</v>
      </c>
      <c r="B37" s="4" t="s">
        <v>115</v>
      </c>
      <c r="C37" s="4" t="s">
        <v>45</v>
      </c>
      <c r="D37" s="4">
        <v>1100000</v>
      </c>
      <c r="E37" s="4">
        <v>2849700</v>
      </c>
      <c r="F37" s="4">
        <v>200000</v>
      </c>
      <c r="G37" s="4">
        <v>10141620</v>
      </c>
      <c r="H37" s="4">
        <v>0</v>
      </c>
      <c r="I37" s="4">
        <v>0</v>
      </c>
      <c r="J37" s="4">
        <v>611952</v>
      </c>
      <c r="K37" s="4">
        <v>0</v>
      </c>
      <c r="L37" s="7">
        <f t="shared" si="0"/>
        <v>14903272</v>
      </c>
      <c r="M37" s="7">
        <f t="shared" si="1"/>
        <v>1241939.3333333333</v>
      </c>
      <c r="N37" s="7">
        <f t="shared" si="2"/>
        <v>1781062.5</v>
      </c>
    </row>
    <row r="38" spans="1:14">
      <c r="A38" s="4" t="s">
        <v>116</v>
      </c>
      <c r="B38" s="4" t="s">
        <v>117</v>
      </c>
      <c r="C38" s="4" t="s">
        <v>45</v>
      </c>
      <c r="D38" s="4">
        <v>1100000</v>
      </c>
      <c r="E38" s="4">
        <v>712425</v>
      </c>
      <c r="F38" s="4">
        <v>200000</v>
      </c>
      <c r="G38" s="4">
        <v>9168270</v>
      </c>
      <c r="H38" s="4">
        <v>0</v>
      </c>
      <c r="I38" s="4">
        <v>465944</v>
      </c>
      <c r="J38" s="4">
        <v>599952</v>
      </c>
      <c r="K38" s="4">
        <v>0</v>
      </c>
      <c r="L38" s="7">
        <f t="shared" si="0"/>
        <v>12246591</v>
      </c>
      <c r="M38" s="7">
        <f t="shared" si="1"/>
        <v>1020549.25</v>
      </c>
      <c r="N38" s="7">
        <f t="shared" si="2"/>
        <v>1781062.5</v>
      </c>
    </row>
    <row r="39" spans="1:14">
      <c r="A39" s="4" t="s">
        <v>118</v>
      </c>
      <c r="B39" s="4" t="s">
        <v>119</v>
      </c>
      <c r="C39" s="4" t="s">
        <v>45</v>
      </c>
      <c r="D39" s="4">
        <v>1100000</v>
      </c>
      <c r="E39" s="4">
        <v>1424850</v>
      </c>
      <c r="F39" s="4">
        <v>200000</v>
      </c>
      <c r="G39" s="4">
        <v>9168270</v>
      </c>
      <c r="H39" s="4">
        <v>0</v>
      </c>
      <c r="I39" s="4">
        <v>0</v>
      </c>
      <c r="J39" s="4">
        <v>599952</v>
      </c>
      <c r="K39" s="4">
        <v>0</v>
      </c>
      <c r="L39" s="7">
        <f t="shared" si="0"/>
        <v>12493072</v>
      </c>
      <c r="M39" s="7">
        <f t="shared" si="1"/>
        <v>1041089.3333333334</v>
      </c>
      <c r="N39" s="7">
        <f t="shared" si="2"/>
        <v>1781062.5</v>
      </c>
    </row>
    <row r="40" spans="1:14">
      <c r="A40" s="4" t="s">
        <v>120</v>
      </c>
      <c r="B40" s="4" t="s">
        <v>121</v>
      </c>
      <c r="C40" s="4" t="s">
        <v>45</v>
      </c>
      <c r="D40" s="4">
        <v>1100000</v>
      </c>
      <c r="E40" s="4">
        <v>712425</v>
      </c>
      <c r="F40" s="4">
        <v>200000</v>
      </c>
      <c r="G40" s="4">
        <v>10725600</v>
      </c>
      <c r="H40" s="4">
        <v>0</v>
      </c>
      <c r="I40" s="4">
        <v>848498</v>
      </c>
      <c r="J40" s="4">
        <v>617952</v>
      </c>
      <c r="K40" s="4">
        <v>0</v>
      </c>
      <c r="L40" s="7">
        <f t="shared" si="0"/>
        <v>14204475</v>
      </c>
      <c r="M40" s="7">
        <f t="shared" si="1"/>
        <v>1183706.25</v>
      </c>
      <c r="N40" s="7">
        <f t="shared" si="2"/>
        <v>1781062.5</v>
      </c>
    </row>
    <row r="41" spans="1:14">
      <c r="A41" s="4" t="s">
        <v>122</v>
      </c>
      <c r="B41" s="4" t="s">
        <v>123</v>
      </c>
      <c r="C41" s="4" t="s">
        <v>45</v>
      </c>
      <c r="D41" s="4">
        <v>1100000</v>
      </c>
      <c r="E41" s="4">
        <v>0</v>
      </c>
      <c r="F41" s="4">
        <v>200000</v>
      </c>
      <c r="G41" s="4">
        <v>10141620</v>
      </c>
      <c r="H41" s="4">
        <v>486660</v>
      </c>
      <c r="I41" s="4">
        <v>550771</v>
      </c>
      <c r="J41" s="4">
        <v>611952</v>
      </c>
      <c r="K41" s="4">
        <v>0</v>
      </c>
      <c r="L41" s="7">
        <f t="shared" si="0"/>
        <v>13091003</v>
      </c>
      <c r="M41" s="7">
        <f t="shared" si="1"/>
        <v>1090916.9166666667</v>
      </c>
      <c r="N41" s="7">
        <f t="shared" si="2"/>
        <v>1781062.5</v>
      </c>
    </row>
    <row r="42" spans="1:14">
      <c r="A42" s="4" t="s">
        <v>124</v>
      </c>
      <c r="B42" s="4" t="s">
        <v>125</v>
      </c>
      <c r="C42" s="4" t="s">
        <v>45</v>
      </c>
      <c r="D42" s="4">
        <v>1100000</v>
      </c>
      <c r="E42" s="4">
        <v>1424850</v>
      </c>
      <c r="F42" s="4">
        <v>200000</v>
      </c>
      <c r="G42" s="4">
        <v>9168270</v>
      </c>
      <c r="H42" s="4">
        <v>0</v>
      </c>
      <c r="I42" s="4">
        <v>0</v>
      </c>
      <c r="J42" s="4">
        <v>585315</v>
      </c>
      <c r="K42" s="4">
        <v>0</v>
      </c>
      <c r="L42" s="7">
        <f t="shared" si="0"/>
        <v>12478435</v>
      </c>
      <c r="M42" s="7">
        <f t="shared" si="1"/>
        <v>1039869.5833333334</v>
      </c>
      <c r="N42" s="7">
        <f t="shared" si="2"/>
        <v>1781062.5</v>
      </c>
    </row>
    <row r="43" spans="1:14">
      <c r="A43" s="4" t="s">
        <v>126</v>
      </c>
      <c r="B43" s="4" t="s">
        <v>127</v>
      </c>
      <c r="C43" s="4" t="s">
        <v>45</v>
      </c>
      <c r="D43" s="4">
        <v>1100000</v>
      </c>
      <c r="E43" s="4">
        <v>1424850</v>
      </c>
      <c r="F43" s="4">
        <v>200000</v>
      </c>
      <c r="G43" s="4">
        <v>9168270</v>
      </c>
      <c r="H43" s="4">
        <v>0</v>
      </c>
      <c r="I43" s="4">
        <v>0</v>
      </c>
      <c r="J43" s="4">
        <v>599952</v>
      </c>
      <c r="K43" s="4">
        <v>0</v>
      </c>
      <c r="L43" s="7">
        <f t="shared" si="0"/>
        <v>12493072</v>
      </c>
      <c r="M43" s="7">
        <f t="shared" si="1"/>
        <v>1041089.3333333334</v>
      </c>
      <c r="N43" s="7">
        <f t="shared" si="2"/>
        <v>1781062.5</v>
      </c>
    </row>
    <row r="44" spans="1:14">
      <c r="A44" s="4" t="s">
        <v>128</v>
      </c>
      <c r="B44" s="4" t="s">
        <v>129</v>
      </c>
      <c r="C44" s="4" t="s">
        <v>45</v>
      </c>
      <c r="D44" s="4">
        <v>1100000</v>
      </c>
      <c r="E44" s="4">
        <v>0</v>
      </c>
      <c r="F44" s="4">
        <v>200000</v>
      </c>
      <c r="G44" s="4">
        <v>9168270</v>
      </c>
      <c r="H44" s="4">
        <v>0</v>
      </c>
      <c r="I44" s="4">
        <v>451591</v>
      </c>
      <c r="J44" s="4">
        <v>585315</v>
      </c>
      <c r="K44" s="4">
        <v>0</v>
      </c>
      <c r="L44" s="7">
        <f t="shared" si="0"/>
        <v>11505176</v>
      </c>
      <c r="M44" s="7">
        <f t="shared" si="1"/>
        <v>958764.66666666663</v>
      </c>
      <c r="N44" s="7">
        <f t="shared" si="2"/>
        <v>1781062.5</v>
      </c>
    </row>
    <row r="45" spans="1:14">
      <c r="A45" s="4" t="s">
        <v>130</v>
      </c>
      <c r="B45" s="4" t="s">
        <v>131</v>
      </c>
      <c r="C45" s="4" t="s">
        <v>45</v>
      </c>
      <c r="D45" s="4">
        <v>1100000</v>
      </c>
      <c r="E45" s="4">
        <v>1424850</v>
      </c>
      <c r="F45" s="4">
        <v>200000</v>
      </c>
      <c r="G45" s="4">
        <v>10725600</v>
      </c>
      <c r="H45" s="4">
        <v>0</v>
      </c>
      <c r="I45" s="4">
        <v>0</v>
      </c>
      <c r="J45" s="4">
        <v>617952</v>
      </c>
      <c r="K45" s="4">
        <v>0</v>
      </c>
      <c r="L45" s="7">
        <f t="shared" si="0"/>
        <v>14068402</v>
      </c>
      <c r="M45" s="7">
        <f t="shared" si="1"/>
        <v>1172366.8333333333</v>
      </c>
      <c r="N45" s="7">
        <f t="shared" si="2"/>
        <v>1781062.5</v>
      </c>
    </row>
    <row r="46" spans="1:14">
      <c r="A46" s="4" t="s">
        <v>132</v>
      </c>
      <c r="B46" s="4" t="s">
        <v>133</v>
      </c>
      <c r="C46" s="4" t="s">
        <v>45</v>
      </c>
      <c r="D46" s="4">
        <v>1100000</v>
      </c>
      <c r="E46" s="4">
        <v>1424850</v>
      </c>
      <c r="F46" s="4">
        <v>200000</v>
      </c>
      <c r="G46" s="4">
        <v>10725600</v>
      </c>
      <c r="H46" s="4">
        <v>0</v>
      </c>
      <c r="I46" s="4">
        <v>0</v>
      </c>
      <c r="J46" s="4">
        <v>617952</v>
      </c>
      <c r="K46" s="4">
        <v>0</v>
      </c>
      <c r="L46" s="7">
        <f t="shared" si="0"/>
        <v>14068402</v>
      </c>
      <c r="M46" s="7">
        <f t="shared" si="1"/>
        <v>1172366.8333333333</v>
      </c>
      <c r="N46" s="7">
        <f t="shared" si="2"/>
        <v>1781062.5</v>
      </c>
    </row>
    <row r="47" spans="1:14">
      <c r="A47" s="4" t="s">
        <v>134</v>
      </c>
      <c r="B47" s="4" t="s">
        <v>135</v>
      </c>
      <c r="C47" s="4" t="s">
        <v>45</v>
      </c>
      <c r="D47" s="4">
        <v>1100000</v>
      </c>
      <c r="E47" s="4">
        <v>712425</v>
      </c>
      <c r="F47" s="4">
        <v>200000</v>
      </c>
      <c r="G47" s="4">
        <v>8778930</v>
      </c>
      <c r="H47" s="4">
        <v>0</v>
      </c>
      <c r="I47" s="4">
        <v>0</v>
      </c>
      <c r="J47" s="4">
        <v>593952</v>
      </c>
      <c r="K47" s="4">
        <v>16448</v>
      </c>
      <c r="L47" s="7">
        <f t="shared" si="0"/>
        <v>11401755</v>
      </c>
      <c r="M47" s="7">
        <f t="shared" si="1"/>
        <v>950146.25</v>
      </c>
      <c r="N47" s="7">
        <f t="shared" si="2"/>
        <v>1781062.5</v>
      </c>
    </row>
    <row r="48" spans="1:14">
      <c r="A48" s="4" t="s">
        <v>136</v>
      </c>
      <c r="B48" s="4" t="s">
        <v>137</v>
      </c>
      <c r="C48" s="4" t="s">
        <v>45</v>
      </c>
      <c r="D48" s="4">
        <v>1100000</v>
      </c>
      <c r="E48" s="4">
        <v>712425</v>
      </c>
      <c r="F48" s="4">
        <v>200000</v>
      </c>
      <c r="G48" s="4">
        <v>9168270</v>
      </c>
      <c r="H48" s="4">
        <v>0</v>
      </c>
      <c r="I48" s="4">
        <v>824438</v>
      </c>
      <c r="J48" s="4">
        <v>599952</v>
      </c>
      <c r="K48" s="4">
        <v>0</v>
      </c>
      <c r="L48" s="7">
        <f t="shared" si="0"/>
        <v>12605085</v>
      </c>
      <c r="M48" s="7">
        <f t="shared" si="1"/>
        <v>1050423.75</v>
      </c>
      <c r="N48" s="7">
        <f t="shared" si="2"/>
        <v>1781062.5</v>
      </c>
    </row>
    <row r="49" spans="4:14" s="6" customFormat="1" ht="15.75">
      <c r="D49" s="6">
        <f t="shared" ref="D49:K49" si="3">SUM(D2:D48)</f>
        <v>51700000</v>
      </c>
      <c r="E49" s="6">
        <f t="shared" si="3"/>
        <v>57706425</v>
      </c>
      <c r="F49" s="6">
        <f t="shared" si="3"/>
        <v>9400000</v>
      </c>
      <c r="G49" s="6">
        <f t="shared" si="3"/>
        <v>452613930</v>
      </c>
      <c r="H49" s="6">
        <f t="shared" si="3"/>
        <v>1849320</v>
      </c>
      <c r="I49" s="6">
        <f>SUM(I2:I48)</f>
        <v>8280457</v>
      </c>
      <c r="J49" s="6">
        <f t="shared" si="3"/>
        <v>28420470</v>
      </c>
      <c r="K49" s="6">
        <f t="shared" si="3"/>
        <v>1807306</v>
      </c>
      <c r="L49" s="6">
        <f t="shared" ref="L49" si="4">SUM(L2:L48)</f>
        <v>611777908</v>
      </c>
      <c r="M49" s="6">
        <f t="shared" ref="M49" si="5">SUM(M2:M48)</f>
        <v>50981492.333333336</v>
      </c>
      <c r="N49" s="6">
        <f t="shared" ref="N49" si="6">SUM(N2:N48)</f>
        <v>83668797.833333328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workbookViewId="0">
      <selection activeCell="E14" sqref="E14"/>
    </sheetView>
  </sheetViews>
  <sheetFormatPr defaultRowHeight="24.75"/>
  <cols>
    <col min="1" max="1" width="8.28515625" style="64" bestFit="1" customWidth="1"/>
    <col min="2" max="2" width="12.7109375" style="64" bestFit="1" customWidth="1"/>
    <col min="3" max="3" width="19.28515625" style="64" bestFit="1" customWidth="1"/>
    <col min="4" max="4" width="16" style="64" bestFit="1" customWidth="1"/>
    <col min="5" max="5" width="15.7109375" style="64" bestFit="1" customWidth="1"/>
    <col min="6" max="16384" width="9.140625" style="64"/>
  </cols>
  <sheetData>
    <row r="2" spans="1:5">
      <c r="A2" s="108" t="s">
        <v>167</v>
      </c>
      <c r="B2" s="108"/>
      <c r="C2" s="108"/>
      <c r="D2" s="108"/>
      <c r="E2" s="108"/>
    </row>
    <row r="4" spans="1:5" ht="49.5">
      <c r="A4" s="63" t="s">
        <v>141</v>
      </c>
      <c r="B4" s="63" t="s">
        <v>158</v>
      </c>
      <c r="C4" s="63" t="s">
        <v>159</v>
      </c>
      <c r="D4" s="103" t="s">
        <v>406</v>
      </c>
      <c r="E4" s="104" t="s">
        <v>407</v>
      </c>
    </row>
    <row r="5" spans="1:5">
      <c r="A5" s="63">
        <v>1</v>
      </c>
      <c r="B5" s="102">
        <v>9157071</v>
      </c>
      <c r="C5" s="63" t="s">
        <v>160</v>
      </c>
      <c r="D5" s="63">
        <v>3</v>
      </c>
      <c r="E5" s="63">
        <v>1255722</v>
      </c>
    </row>
    <row r="6" spans="1:5">
      <c r="A6" s="63">
        <v>2</v>
      </c>
      <c r="B6" s="102">
        <v>9157083</v>
      </c>
      <c r="C6" s="63" t="s">
        <v>161</v>
      </c>
      <c r="D6" s="63">
        <v>3</v>
      </c>
      <c r="E6" s="63">
        <v>1309100</v>
      </c>
    </row>
    <row r="7" spans="1:5">
      <c r="A7" s="63">
        <v>3</v>
      </c>
      <c r="B7" s="102">
        <v>9157078</v>
      </c>
      <c r="C7" s="63" t="s">
        <v>113</v>
      </c>
      <c r="D7" s="63">
        <v>4</v>
      </c>
      <c r="E7" s="63">
        <v>1731432</v>
      </c>
    </row>
    <row r="8" spans="1:5">
      <c r="A8" s="63">
        <v>4</v>
      </c>
      <c r="B8" s="102">
        <v>9157051</v>
      </c>
      <c r="C8" s="63" t="s">
        <v>162</v>
      </c>
      <c r="D8" s="63">
        <v>5</v>
      </c>
      <c r="E8" s="63">
        <v>2190120</v>
      </c>
    </row>
    <row r="9" spans="1:5">
      <c r="A9" s="63">
        <v>5</v>
      </c>
      <c r="B9" s="102">
        <v>9157076</v>
      </c>
      <c r="C9" s="63" t="s">
        <v>163</v>
      </c>
      <c r="D9" s="63">
        <v>5</v>
      </c>
      <c r="E9" s="63">
        <v>2299732</v>
      </c>
    </row>
    <row r="10" spans="1:5">
      <c r="A10" s="63">
        <v>6</v>
      </c>
      <c r="B10" s="102">
        <v>9157067</v>
      </c>
      <c r="C10" s="63" t="s">
        <v>164</v>
      </c>
      <c r="D10" s="63">
        <v>4</v>
      </c>
      <c r="E10" s="63">
        <v>1665743</v>
      </c>
    </row>
    <row r="11" spans="1:5">
      <c r="A11" s="63">
        <v>7</v>
      </c>
      <c r="B11" s="102">
        <v>9157048</v>
      </c>
      <c r="C11" s="63" t="s">
        <v>165</v>
      </c>
      <c r="D11" s="63">
        <v>1</v>
      </c>
      <c r="E11" s="63">
        <v>505197</v>
      </c>
    </row>
    <row r="12" spans="1:5">
      <c r="A12" s="63">
        <v>8</v>
      </c>
      <c r="B12" s="102">
        <v>9157052</v>
      </c>
      <c r="C12" s="63" t="s">
        <v>166</v>
      </c>
      <c r="D12" s="63">
        <v>2</v>
      </c>
      <c r="E12" s="63">
        <v>803902</v>
      </c>
    </row>
    <row r="13" spans="1:5">
      <c r="A13" s="63"/>
      <c r="B13" s="63"/>
      <c r="C13" s="63"/>
      <c r="D13" s="65" t="s">
        <v>150</v>
      </c>
      <c r="E13" s="65">
        <f>SUM(E5:E12)</f>
        <v>11760948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rightToLeft="1" tabSelected="1" view="pageBreakPreview" zoomScale="60" zoomScaleNormal="55" workbookViewId="0">
      <selection activeCell="I11" sqref="I11"/>
    </sheetView>
  </sheetViews>
  <sheetFormatPr defaultColWidth="9" defaultRowHeight="14.25"/>
  <cols>
    <col min="1" max="1" width="3.5703125" style="47" customWidth="1"/>
    <col min="2" max="2" width="12.85546875" style="48" customWidth="1"/>
    <col min="3" max="3" width="15.42578125" style="48" customWidth="1"/>
    <col min="4" max="4" width="17.28515625" style="48" customWidth="1"/>
    <col min="5" max="5" width="23" style="48" customWidth="1"/>
    <col min="6" max="6" width="25.85546875" style="48" customWidth="1"/>
    <col min="7" max="7" width="19.5703125" style="50" customWidth="1"/>
    <col min="8" max="8" width="20.7109375" style="50" customWidth="1"/>
    <col min="9" max="9" width="19.140625" style="50" customWidth="1"/>
    <col min="10" max="10" width="14.140625" style="50" customWidth="1"/>
    <col min="11" max="11" width="17.42578125" style="50" customWidth="1"/>
    <col min="12" max="12" width="19.5703125" style="50" customWidth="1"/>
    <col min="13" max="13" width="24.42578125" style="50" customWidth="1"/>
    <col min="14" max="14" width="3.5703125" style="50" customWidth="1"/>
    <col min="15" max="15" width="17.85546875" style="53" bestFit="1" customWidth="1"/>
    <col min="16" max="16" width="13.5703125" style="53" bestFit="1" customWidth="1"/>
    <col min="17" max="17" width="21" style="48" bestFit="1" customWidth="1"/>
    <col min="18" max="18" width="21.7109375" style="48" bestFit="1" customWidth="1"/>
    <col min="19" max="19" width="16.85546875" style="48" bestFit="1" customWidth="1"/>
    <col min="20" max="20" width="10.28515625" style="48" bestFit="1" customWidth="1"/>
    <col min="21" max="21" width="8.42578125" style="48" bestFit="1" customWidth="1"/>
    <col min="22" max="22" width="9.28515625" style="48" bestFit="1" customWidth="1"/>
    <col min="23" max="99" width="20.5703125" style="47" customWidth="1"/>
    <col min="100" max="16384" width="9" style="47"/>
  </cols>
  <sheetData>
    <row r="1" spans="1:22" s="8" customFormat="1" ht="62.25" customHeight="1">
      <c r="B1" s="109" t="s">
        <v>156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O1" s="9"/>
      <c r="P1" s="9"/>
    </row>
    <row r="2" spans="1:22" s="8" customFormat="1" ht="26.25">
      <c r="B2" s="10"/>
      <c r="C2" s="10"/>
      <c r="D2" s="10"/>
      <c r="E2" s="10"/>
      <c r="F2" s="10"/>
      <c r="G2" s="10"/>
      <c r="H2" s="10"/>
      <c r="I2" s="10"/>
      <c r="J2" s="10"/>
      <c r="K2" s="60"/>
      <c r="L2" s="10"/>
      <c r="M2" s="10"/>
      <c r="O2" s="9"/>
      <c r="P2" s="9"/>
    </row>
    <row r="3" spans="1:22" s="8" customFormat="1" ht="25.5" thickBot="1"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  <c r="O3" s="9"/>
      <c r="P3" s="9"/>
      <c r="U3" s="13"/>
      <c r="V3" s="13"/>
    </row>
    <row r="4" spans="1:22" s="13" customFormat="1" ht="69.95" customHeight="1" thickBot="1">
      <c r="A4" s="14"/>
      <c r="B4" s="15" t="s">
        <v>141</v>
      </c>
      <c r="C4" s="16" t="s">
        <v>142</v>
      </c>
      <c r="D4" s="16" t="s">
        <v>143</v>
      </c>
      <c r="E4" s="17" t="s">
        <v>144</v>
      </c>
      <c r="F4" s="18" t="s">
        <v>145</v>
      </c>
      <c r="G4" s="18" t="s">
        <v>146</v>
      </c>
      <c r="H4" s="18" t="s">
        <v>139</v>
      </c>
      <c r="I4" s="18" t="s">
        <v>147</v>
      </c>
      <c r="J4" s="18" t="s">
        <v>148</v>
      </c>
      <c r="K4" s="18" t="s">
        <v>157</v>
      </c>
      <c r="L4" s="17" t="s">
        <v>149</v>
      </c>
      <c r="M4" s="19" t="s">
        <v>150</v>
      </c>
      <c r="O4" s="20"/>
      <c r="P4" s="20"/>
      <c r="U4" s="8"/>
      <c r="V4" s="8"/>
    </row>
    <row r="5" spans="1:22" s="26" customFormat="1" ht="54.95" customHeight="1">
      <c r="A5" s="21"/>
      <c r="B5" s="22">
        <v>1</v>
      </c>
      <c r="C5" s="23" t="s">
        <v>155</v>
      </c>
      <c r="D5" s="23">
        <v>47</v>
      </c>
      <c r="E5" s="24">
        <f>'خرداد دارخوين '!AA49</f>
        <v>908838297</v>
      </c>
      <c r="F5" s="24">
        <f>'خرداد دارخوين '!W49+'خرداد دارخوين '!X49</f>
        <v>155435344</v>
      </c>
      <c r="G5" s="24">
        <v>0</v>
      </c>
      <c r="H5" s="24">
        <f>'سنوات '!M49</f>
        <v>50981492.333333336</v>
      </c>
      <c r="I5" s="24">
        <f>'سنوات '!N49</f>
        <v>83668797.833333328</v>
      </c>
      <c r="J5" s="24">
        <v>0</v>
      </c>
      <c r="K5" s="24">
        <f>'بازخرید مرخصی '!E13</f>
        <v>11760948</v>
      </c>
      <c r="L5" s="24">
        <f>SUM(E5:K5)*3%</f>
        <v>36320546.374999993</v>
      </c>
      <c r="M5" s="25">
        <f>SUM(E5:L5)</f>
        <v>1247005425.5416665</v>
      </c>
      <c r="O5" s="27"/>
      <c r="P5" s="27"/>
    </row>
    <row r="6" spans="1:22" s="35" customFormat="1" ht="54.95" customHeight="1" thickBot="1">
      <c r="A6" s="28"/>
      <c r="B6" s="29"/>
      <c r="C6" s="30"/>
      <c r="D6" s="31" t="s">
        <v>150</v>
      </c>
      <c r="E6" s="32">
        <f>SUM(E5:E5)</f>
        <v>908838297</v>
      </c>
      <c r="F6" s="32">
        <f>SUM(F5:F5)</f>
        <v>155435344</v>
      </c>
      <c r="G6" s="32">
        <f t="shared" ref="G6:M6" si="0">SUM(G5:G5)</f>
        <v>0</v>
      </c>
      <c r="H6" s="32">
        <f>SUM(H5:H5)</f>
        <v>50981492.333333336</v>
      </c>
      <c r="I6" s="32">
        <f>SUM(I5:I5)</f>
        <v>83668797.833333328</v>
      </c>
      <c r="J6" s="32">
        <f t="shared" si="0"/>
        <v>0</v>
      </c>
      <c r="K6" s="32">
        <f t="shared" si="0"/>
        <v>11760948</v>
      </c>
      <c r="L6" s="32">
        <f t="shared" si="0"/>
        <v>36320546.374999993</v>
      </c>
      <c r="M6" s="33">
        <f t="shared" si="0"/>
        <v>1247005425.5416665</v>
      </c>
      <c r="N6" s="10"/>
      <c r="O6" s="34"/>
      <c r="P6" s="34"/>
      <c r="U6" s="36"/>
      <c r="V6" s="36"/>
    </row>
    <row r="7" spans="1:22" s="35" customFormat="1" ht="54.95" customHeight="1">
      <c r="B7" s="37"/>
      <c r="C7" s="38"/>
      <c r="D7" s="39"/>
      <c r="E7" s="39"/>
      <c r="F7" s="39"/>
      <c r="G7" s="39"/>
      <c r="H7" s="39"/>
      <c r="I7" s="67"/>
      <c r="K7" s="116" t="s">
        <v>150</v>
      </c>
      <c r="L7" s="117"/>
      <c r="M7" s="40">
        <f>M6</f>
        <v>1247005425.5416665</v>
      </c>
      <c r="N7" s="10"/>
      <c r="O7" s="41"/>
      <c r="P7" s="41"/>
      <c r="U7" s="36"/>
      <c r="V7" s="36"/>
    </row>
    <row r="8" spans="1:22" s="35" customFormat="1" ht="54.95" customHeight="1">
      <c r="B8" s="37"/>
      <c r="C8" s="38"/>
      <c r="D8" s="39"/>
      <c r="E8" s="39"/>
      <c r="F8" s="39"/>
      <c r="G8" s="39"/>
      <c r="H8" s="39"/>
      <c r="I8" s="39"/>
      <c r="K8" s="118" t="s">
        <v>151</v>
      </c>
      <c r="L8" s="119"/>
      <c r="M8" s="42">
        <f>M7*9%</f>
        <v>112230488.29874998</v>
      </c>
      <c r="N8" s="10"/>
      <c r="O8" s="41"/>
      <c r="P8" s="41"/>
      <c r="U8" s="36"/>
      <c r="V8" s="36"/>
    </row>
    <row r="9" spans="1:22" s="43" customFormat="1" ht="54.95" customHeight="1" thickBot="1">
      <c r="B9" s="44"/>
      <c r="C9" s="44"/>
      <c r="D9" s="44"/>
      <c r="E9" s="45"/>
      <c r="F9" s="44"/>
      <c r="G9" s="45"/>
      <c r="H9" s="45"/>
      <c r="I9" s="66"/>
      <c r="K9" s="120" t="s">
        <v>150</v>
      </c>
      <c r="L9" s="121"/>
      <c r="M9" s="33">
        <f>M7+M8</f>
        <v>1359235913.8404164</v>
      </c>
      <c r="N9" s="45"/>
      <c r="O9" s="46"/>
      <c r="P9" s="46"/>
      <c r="Q9" s="44"/>
      <c r="R9" s="44"/>
      <c r="S9" s="44"/>
      <c r="T9" s="44"/>
      <c r="U9" s="44"/>
      <c r="V9" s="44"/>
    </row>
    <row r="10" spans="1:22" ht="24">
      <c r="D10" s="49"/>
      <c r="E10" s="49"/>
      <c r="J10" s="51"/>
      <c r="K10" s="51"/>
      <c r="L10" s="51"/>
      <c r="M10" s="52"/>
    </row>
    <row r="11" spans="1:22" ht="24">
      <c r="D11" s="49"/>
      <c r="E11" s="49"/>
      <c r="J11" s="51"/>
      <c r="K11" s="51"/>
      <c r="L11" s="51"/>
      <c r="M11" s="52"/>
    </row>
    <row r="12" spans="1:22">
      <c r="B12" s="47"/>
      <c r="C12" s="47"/>
      <c r="D12" s="47"/>
      <c r="E12" s="47"/>
      <c r="F12" s="47"/>
      <c r="G12" s="47"/>
      <c r="H12" s="54"/>
      <c r="I12" s="55"/>
      <c r="J12" s="47"/>
      <c r="K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4" spans="1:22" ht="15" thickBot="1"/>
    <row r="15" spans="1:22" s="59" customFormat="1" ht="150" customHeight="1" thickBot="1">
      <c r="A15" s="56"/>
      <c r="B15" s="110" t="s">
        <v>152</v>
      </c>
      <c r="C15" s="111"/>
      <c r="D15" s="111"/>
      <c r="E15" s="112"/>
      <c r="F15" s="110" t="s">
        <v>153</v>
      </c>
      <c r="G15" s="111"/>
      <c r="H15" s="111"/>
      <c r="I15" s="113" t="s">
        <v>154</v>
      </c>
      <c r="J15" s="114"/>
      <c r="K15" s="114"/>
      <c r="L15" s="114"/>
      <c r="M15" s="115"/>
      <c r="N15" s="57"/>
      <c r="O15" s="57"/>
      <c r="P15" s="58"/>
      <c r="Q15" s="58"/>
      <c r="R15" s="58"/>
      <c r="S15" s="58"/>
      <c r="T15" s="58"/>
      <c r="U15" s="58"/>
    </row>
  </sheetData>
  <mergeCells count="7">
    <mergeCell ref="B1:M1"/>
    <mergeCell ref="B15:E15"/>
    <mergeCell ref="F15:H15"/>
    <mergeCell ref="I15:M15"/>
    <mergeCell ref="K7:L7"/>
    <mergeCell ref="K8:L8"/>
    <mergeCell ref="K9:L9"/>
  </mergeCells>
  <printOptions horizontalCentered="1" verticalCentered="1"/>
  <pageMargins left="0" right="0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خرداد دارخوين </vt:lpstr>
      <vt:lpstr>بیمه تکمیلی </vt:lpstr>
      <vt:lpstr>سنوات </vt:lpstr>
      <vt:lpstr>بازخرید مرخصی </vt:lpstr>
      <vt:lpstr>صورت وضعیت </vt:lpstr>
      <vt:lpstr>'صورت وضعیت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2015-08-06T05:44:24Z</cp:lastPrinted>
  <dcterms:created xsi:type="dcterms:W3CDTF">2015-07-25T12:42:24Z</dcterms:created>
  <dcterms:modified xsi:type="dcterms:W3CDTF">2015-08-08T10:30:20Z</dcterms:modified>
</cp:coreProperties>
</file>