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قرارداد های فی مابین با شرکتها\صورت وضعیت سال 94\صورت وضعیت سال 94\تولید توسعه\دارخوین\آبان\"/>
    </mc:Choice>
  </mc:AlternateContent>
  <bookViews>
    <workbookView xWindow="0" yWindow="0" windowWidth="20400" windowHeight="9600"/>
  </bookViews>
  <sheets>
    <sheet name="آبان توليد توسعه دارخوين" sheetId="1" r:id="rId1"/>
    <sheet name="سنوات " sheetId="4" r:id="rId2"/>
    <sheet name="جدول  " sheetId="2" r:id="rId3"/>
  </sheets>
  <definedNames>
    <definedName name="_xlnm.Print_Area" localSheetId="2">'جدول  '!$A$1:$K$14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M4" i="4" l="1"/>
  <c r="N4" i="4" s="1"/>
  <c r="N35" i="4" s="1"/>
  <c r="G5" i="2" s="1"/>
  <c r="N34" i="4"/>
  <c r="M34" i="4"/>
  <c r="O34" i="4" s="1"/>
  <c r="C34" i="4"/>
  <c r="B34" i="4"/>
  <c r="A34" i="4"/>
  <c r="N33" i="4"/>
  <c r="M33" i="4"/>
  <c r="O33" i="4" s="1"/>
  <c r="C33" i="4"/>
  <c r="B33" i="4"/>
  <c r="A33" i="4"/>
  <c r="N32" i="4"/>
  <c r="M32" i="4"/>
  <c r="O32" i="4" s="1"/>
  <c r="C32" i="4"/>
  <c r="B32" i="4"/>
  <c r="A32" i="4"/>
  <c r="N31" i="4"/>
  <c r="M31" i="4"/>
  <c r="O31" i="4" s="1"/>
  <c r="C31" i="4"/>
  <c r="B31" i="4"/>
  <c r="A31" i="4"/>
  <c r="N30" i="4"/>
  <c r="M30" i="4"/>
  <c r="O30" i="4" s="1"/>
  <c r="C30" i="4"/>
  <c r="B30" i="4"/>
  <c r="A30" i="4"/>
  <c r="N29" i="4"/>
  <c r="M29" i="4"/>
  <c r="O29" i="4" s="1"/>
  <c r="C29" i="4"/>
  <c r="B29" i="4"/>
  <c r="A29" i="4"/>
  <c r="N28" i="4"/>
  <c r="M28" i="4"/>
  <c r="O28" i="4" s="1"/>
  <c r="C28" i="4"/>
  <c r="B28" i="4"/>
  <c r="A28" i="4"/>
  <c r="N27" i="4"/>
  <c r="M27" i="4"/>
  <c r="O27" i="4" s="1"/>
  <c r="C27" i="4"/>
  <c r="B27" i="4"/>
  <c r="A27" i="4"/>
  <c r="N26" i="4"/>
  <c r="M26" i="4"/>
  <c r="O26" i="4" s="1"/>
  <c r="C26" i="4"/>
  <c r="B26" i="4"/>
  <c r="A26" i="4"/>
  <c r="N25" i="4"/>
  <c r="M25" i="4"/>
  <c r="O25" i="4" s="1"/>
  <c r="C25" i="4"/>
  <c r="B25" i="4"/>
  <c r="A25" i="4"/>
  <c r="N24" i="4"/>
  <c r="M24" i="4"/>
  <c r="O24" i="4" s="1"/>
  <c r="C24" i="4"/>
  <c r="B24" i="4"/>
  <c r="A24" i="4"/>
  <c r="N23" i="4"/>
  <c r="M23" i="4"/>
  <c r="O23" i="4" s="1"/>
  <c r="C23" i="4"/>
  <c r="B23" i="4"/>
  <c r="A23" i="4"/>
  <c r="N22" i="4"/>
  <c r="M22" i="4"/>
  <c r="O22" i="4" s="1"/>
  <c r="C22" i="4"/>
  <c r="B22" i="4"/>
  <c r="A22" i="4"/>
  <c r="N21" i="4"/>
  <c r="M21" i="4"/>
  <c r="O21" i="4" s="1"/>
  <c r="C21" i="4"/>
  <c r="B21" i="4"/>
  <c r="A21" i="4"/>
  <c r="N20" i="4"/>
  <c r="M20" i="4"/>
  <c r="O20" i="4" s="1"/>
  <c r="C20" i="4"/>
  <c r="B20" i="4"/>
  <c r="A20" i="4"/>
  <c r="N19" i="4"/>
  <c r="M19" i="4"/>
  <c r="O19" i="4" s="1"/>
  <c r="C19" i="4"/>
  <c r="B19" i="4"/>
  <c r="A19" i="4"/>
  <c r="N18" i="4"/>
  <c r="M18" i="4"/>
  <c r="O18" i="4" s="1"/>
  <c r="C18" i="4"/>
  <c r="B18" i="4"/>
  <c r="A18" i="4"/>
  <c r="N17" i="4"/>
  <c r="M17" i="4"/>
  <c r="O17" i="4" s="1"/>
  <c r="C17" i="4"/>
  <c r="B17" i="4"/>
  <c r="A17" i="4"/>
  <c r="N16" i="4"/>
  <c r="M16" i="4"/>
  <c r="O16" i="4" s="1"/>
  <c r="C16" i="4"/>
  <c r="B16" i="4"/>
  <c r="A16" i="4"/>
  <c r="N15" i="4"/>
  <c r="M15" i="4"/>
  <c r="O15" i="4" s="1"/>
  <c r="C15" i="4"/>
  <c r="B15" i="4"/>
  <c r="A15" i="4"/>
  <c r="N14" i="4"/>
  <c r="M14" i="4"/>
  <c r="O14" i="4" s="1"/>
  <c r="C14" i="4"/>
  <c r="B14" i="4"/>
  <c r="A14" i="4"/>
  <c r="N13" i="4"/>
  <c r="M13" i="4"/>
  <c r="O13" i="4" s="1"/>
  <c r="C13" i="4"/>
  <c r="B13" i="4"/>
  <c r="A13" i="4"/>
  <c r="N12" i="4"/>
  <c r="M12" i="4"/>
  <c r="O12" i="4" s="1"/>
  <c r="C12" i="4"/>
  <c r="B12" i="4"/>
  <c r="A12" i="4"/>
  <c r="N11" i="4"/>
  <c r="M11" i="4"/>
  <c r="O11" i="4" s="1"/>
  <c r="C11" i="4"/>
  <c r="B11" i="4"/>
  <c r="A11" i="4"/>
  <c r="N10" i="4"/>
  <c r="M10" i="4"/>
  <c r="O10" i="4" s="1"/>
  <c r="C10" i="4"/>
  <c r="B10" i="4"/>
  <c r="A10" i="4"/>
  <c r="N9" i="4"/>
  <c r="M9" i="4"/>
  <c r="O9" i="4" s="1"/>
  <c r="C9" i="4"/>
  <c r="B9" i="4"/>
  <c r="A9" i="4"/>
  <c r="N8" i="4"/>
  <c r="M8" i="4"/>
  <c r="O8" i="4" s="1"/>
  <c r="C8" i="4"/>
  <c r="B8" i="4"/>
  <c r="A8" i="4"/>
  <c r="N7" i="4"/>
  <c r="M7" i="4"/>
  <c r="O7" i="4" s="1"/>
  <c r="C7" i="4"/>
  <c r="B7" i="4"/>
  <c r="A7" i="4"/>
  <c r="N6" i="4"/>
  <c r="M6" i="4"/>
  <c r="O6" i="4" s="1"/>
  <c r="C6" i="4"/>
  <c r="B6" i="4"/>
  <c r="A6" i="4"/>
  <c r="N5" i="4"/>
  <c r="M5" i="4"/>
  <c r="O5" i="4" s="1"/>
  <c r="C5" i="4"/>
  <c r="B5" i="4"/>
  <c r="A5" i="4"/>
  <c r="O4" i="4"/>
  <c r="C4" i="4"/>
  <c r="B4" i="4"/>
  <c r="A4" i="4"/>
  <c r="O35" i="4" l="1"/>
  <c r="H5" i="2" s="1"/>
  <c r="H6" i="2" l="1"/>
  <c r="F5" i="2"/>
  <c r="F6" i="2" s="1"/>
  <c r="E5" i="2"/>
  <c r="G6" i="2"/>
  <c r="J5" i="2" l="1"/>
  <c r="E6" i="2"/>
  <c r="I6" i="2"/>
  <c r="J6" i="2" l="1"/>
  <c r="J7" i="2" s="1"/>
  <c r="J8" i="2" s="1"/>
  <c r="J9" i="2" s="1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D33" i="1"/>
  <c r="A32" i="1"/>
  <c r="B32" i="1"/>
  <c r="C32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</calcChain>
</file>

<file path=xl/sharedStrings.xml><?xml version="1.0" encoding="utf-8"?>
<sst xmlns="http://schemas.openxmlformats.org/spreadsheetml/2006/main" count="285" uniqueCount="279">
  <si>
    <t>كد پرسنلي</t>
  </si>
  <si>
    <t>نام و نام خانوادگي</t>
  </si>
  <si>
    <t>مركز هزينه</t>
  </si>
  <si>
    <t>كاركرد اضافه كاري</t>
  </si>
  <si>
    <t>كاركرد عادي</t>
  </si>
  <si>
    <t>كاركرد ماموريت</t>
  </si>
  <si>
    <t>کارکرد کسرکار</t>
  </si>
  <si>
    <t>کارکرد ناهار</t>
  </si>
  <si>
    <t xml:space="preserve"> اضافه کار مازاد</t>
  </si>
  <si>
    <t>کارکرد شب کاري</t>
  </si>
  <si>
    <t>نوبت کاري 10%</t>
  </si>
  <si>
    <t>نوبت کاري 15%</t>
  </si>
  <si>
    <t>نوبت کاري 22.5%</t>
  </si>
  <si>
    <t>مرخصي ساعتي بدون حقوق</t>
  </si>
  <si>
    <t>غيبت</t>
  </si>
  <si>
    <t>تعطيل کاري</t>
  </si>
  <si>
    <t>کارکرد بيماري</t>
  </si>
  <si>
    <t>اضافه كاري</t>
  </si>
  <si>
    <t>حق ماموريت</t>
  </si>
  <si>
    <t>حقوق ثابت</t>
  </si>
  <si>
    <t>بدهي ماه جاري</t>
  </si>
  <si>
    <t>حق اولأد</t>
  </si>
  <si>
    <t>حق مسكن</t>
  </si>
  <si>
    <t>اياب و ذهاب</t>
  </si>
  <si>
    <t>حق سرپرستي</t>
  </si>
  <si>
    <t>مزاياي شغل</t>
  </si>
  <si>
    <t>فوق العاده جذب</t>
  </si>
  <si>
    <t>فوق العاده خاص</t>
  </si>
  <si>
    <t>فوق العاده کارگاهي</t>
  </si>
  <si>
    <t>حق جلسه</t>
  </si>
  <si>
    <t>بن کارگري</t>
  </si>
  <si>
    <t>حق ناهار</t>
  </si>
  <si>
    <t>پرداخت معوقه</t>
  </si>
  <si>
    <t>يارانه موبايل</t>
  </si>
  <si>
    <t>فوق العاده ويژه</t>
  </si>
  <si>
    <t>ساير مزايا</t>
  </si>
  <si>
    <t>حق پرتو کاري</t>
  </si>
  <si>
    <t>افزايش قانون کار</t>
  </si>
  <si>
    <t>حق نهار پرسنل</t>
  </si>
  <si>
    <t>هزينه ماموريت</t>
  </si>
  <si>
    <t>ساير</t>
  </si>
  <si>
    <t>شب کاري</t>
  </si>
  <si>
    <t>نوبت کاري 22.5درصد</t>
  </si>
  <si>
    <t>نوبت کاري 10درصد</t>
  </si>
  <si>
    <t>ساير مزايا بدون بيمه وماليات</t>
  </si>
  <si>
    <t>نوبت کاري 15درصد</t>
  </si>
  <si>
    <t>محروميت</t>
  </si>
  <si>
    <t>سختي کار</t>
  </si>
  <si>
    <t>بدي آب وهوا</t>
  </si>
  <si>
    <t>شرايط محيط کار</t>
  </si>
  <si>
    <t>تعطيل کاري روزانه</t>
  </si>
  <si>
    <t>معافيت جانبازي</t>
  </si>
  <si>
    <t>فوق العاده ايثارگري</t>
  </si>
  <si>
    <t>اياب وذهاب</t>
  </si>
  <si>
    <t>فوق العاده مهد کودک</t>
  </si>
  <si>
    <t>تفاوت تطبيق</t>
  </si>
  <si>
    <t>فوق العاده حفاظتي</t>
  </si>
  <si>
    <t>حق جذب</t>
  </si>
  <si>
    <t>يارانه ورزشي</t>
  </si>
  <si>
    <t>مزد شغل</t>
  </si>
  <si>
    <t>مزد رتبه</t>
  </si>
  <si>
    <t>مزد سنوات</t>
  </si>
  <si>
    <t>مزد پست</t>
  </si>
  <si>
    <t>مزاياي ماندگاري پست</t>
  </si>
  <si>
    <t>ساير كسور</t>
  </si>
  <si>
    <t>روند ماه جاري</t>
  </si>
  <si>
    <t>بدهي ماه قبل</t>
  </si>
  <si>
    <t>بيمه تامين اجتماعي - سهم كارمند</t>
  </si>
  <si>
    <t>مساعده</t>
  </si>
  <si>
    <t>ماليات</t>
  </si>
  <si>
    <t>جمع اقساط وام</t>
  </si>
  <si>
    <t>کسور(اياب و ذهاب)</t>
  </si>
  <si>
    <t>بيمه تکميلي سهم کارمند</t>
  </si>
  <si>
    <t>بيمه عمر سهم کارمند</t>
  </si>
  <si>
    <t>بيمه حوادث سهم کارمند</t>
  </si>
  <si>
    <t>بدهي سهم غذا</t>
  </si>
  <si>
    <t>علي الحساب</t>
  </si>
  <si>
    <t>کسر کار</t>
  </si>
  <si>
    <t>حق عضويت صندوق رفاه و پس انداز</t>
  </si>
  <si>
    <t>عضويت صندوق متصا</t>
  </si>
  <si>
    <t>عضويت صندوق کريم اهل بيت</t>
  </si>
  <si>
    <t>عضويت اوليه کريم اهل بيت</t>
  </si>
  <si>
    <t>عضويت پس انداز سازمان</t>
  </si>
  <si>
    <t>کسور صدورکارت</t>
  </si>
  <si>
    <t>کمک به غزه</t>
  </si>
  <si>
    <t>عضويت رفاه پارسيان</t>
  </si>
  <si>
    <t>بيمه تامين اجتماعي سهم كارفرما</t>
  </si>
  <si>
    <t>بيمه بيكاري</t>
  </si>
  <si>
    <t>کنترل بيمه</t>
  </si>
  <si>
    <t>تعداد افراد</t>
  </si>
  <si>
    <t>بيمه تکميلي سهم کارفرما</t>
  </si>
  <si>
    <t>بيمه عمر سهم کارفرما</t>
  </si>
  <si>
    <t>بيمه حوادث سهم کارفرما</t>
  </si>
  <si>
    <t>كاركرد موثر</t>
  </si>
  <si>
    <t>خالص پرداختي</t>
  </si>
  <si>
    <t>جمع حقوق و مزايا</t>
  </si>
  <si>
    <t>جمع كسور</t>
  </si>
  <si>
    <t xml:space="preserve"> مبلغ قسط عضويت صندوق پس انداز سازمان انرژي اتمي</t>
  </si>
  <si>
    <t>باقيمانده‌ عضويت صندوق پس انداز سازمان انرژي اتمي</t>
  </si>
  <si>
    <t>مجموع اقساط‌عضويت صندوق پس انداز سازمان انرژي اتمي</t>
  </si>
  <si>
    <t>مبلغ‌عضويت صندوق پس انداز سازمان انرژي اتمي</t>
  </si>
  <si>
    <t xml:space="preserve"> مبلغ استقرارعضويت صندوق پس انداز سازمان انرژي اتمي</t>
  </si>
  <si>
    <t xml:space="preserve"> مبلغ قسط وام مهر15%کالا الکتريک</t>
  </si>
  <si>
    <t>باقيمانده‌ وام مهر15%کالا الکتريک</t>
  </si>
  <si>
    <t>مجموع اقساط‌وام مهر15%کالا الکتريک</t>
  </si>
  <si>
    <t>مبلغ‌وام مهر15%کالا الکتريک</t>
  </si>
  <si>
    <t xml:space="preserve"> مبلغ استقراروام مهر15%کالا الکتريک</t>
  </si>
  <si>
    <t xml:space="preserve"> مبلغ قسط عضويت صندوق قرض الحسنه علوم وفنون ليزر</t>
  </si>
  <si>
    <t>باقيمانده‌ عضويت صندوق قرض الحسنه علوم وفنون ليزر</t>
  </si>
  <si>
    <t>مجموع اقساط‌عضويت صندوق قرض الحسنه علوم وفنون ليزر</t>
  </si>
  <si>
    <t>مبلغ‌عضويت صندوق قرض الحسنه علوم وفنون ليزر</t>
  </si>
  <si>
    <t xml:space="preserve"> مبلغ استقرارعضويت صندوق قرض الحسنه علوم وفنون ليزر</t>
  </si>
  <si>
    <t xml:space="preserve"> مبلغ قسط بانک رسالت</t>
  </si>
  <si>
    <t>باقيمانده‌ بانک رسالت</t>
  </si>
  <si>
    <t>مجموع اقساط‌بانک رسالت</t>
  </si>
  <si>
    <t>مبلغ‌بانک رسالت</t>
  </si>
  <si>
    <t xml:space="preserve"> مبلغ استقراربانک رسالت</t>
  </si>
  <si>
    <t xml:space="preserve"> مبلغ قسط حق عضويت قرض الحسنه وليعصر (عج)</t>
  </si>
  <si>
    <t>باقيمانده‌ حق عضويت قرض الحسنه وليعصر (عج)</t>
  </si>
  <si>
    <t>مجموع اقساط‌حق عضويت قرض الحسنه وليعصر (عج)</t>
  </si>
  <si>
    <t>مبلغ‌حق عضويت قرض الحسنه وليعصر (عج)</t>
  </si>
  <si>
    <t xml:space="preserve"> مبلغ استقرارحق عضويت قرض الحسنه وليعصر (عج)</t>
  </si>
  <si>
    <t xml:space="preserve"> مبلغ قسط وام مسکن کالا الکتريک</t>
  </si>
  <si>
    <t>باقيمانده‌ وام مسکن کالا الکتريک</t>
  </si>
  <si>
    <t>مجموع اقساط‌وام مسکن کالا الکتريک</t>
  </si>
  <si>
    <t>مبلغ‌وام مسکن کالا الکتريک</t>
  </si>
  <si>
    <t xml:space="preserve"> مبلغ استقراروام مسکن کالا الکتريک</t>
  </si>
  <si>
    <t xml:space="preserve"> مبلغ قسط صندوق سلامت و حمايت كاركنان</t>
  </si>
  <si>
    <t>باقيمانده‌ صندوق سلامت و حمايت كاركنان</t>
  </si>
  <si>
    <t>مجموع اقساط‌صندوق سلامت و حمايت كاركنان</t>
  </si>
  <si>
    <t>مبلغ‌صندوق سلامت و حمايت كاركنان</t>
  </si>
  <si>
    <t xml:space="preserve"> مبلغ استقرارصندوق سلامت و حمايت كاركنان</t>
  </si>
  <si>
    <t xml:space="preserve"> مبلغ قسط عضويت صندوق قرض الحسنه انجمن اسلامي</t>
  </si>
  <si>
    <t>باقيمانده‌ عضويت صندوق قرض الحسنه انجمن اسلامي</t>
  </si>
  <si>
    <t>مجموع اقساط‌عضويت صندوق قرض الحسنه انجمن اسلامي</t>
  </si>
  <si>
    <t>مبلغ‌عضويت صندوق قرض الحسنه انجمن اسلامي</t>
  </si>
  <si>
    <t xml:space="preserve"> مبلغ استقرارعضويت صندوق قرض الحسنه انجمن اسلامي</t>
  </si>
  <si>
    <t xml:space="preserve"> مبلغ قسط خريدشرکت تعاوني (1)</t>
  </si>
  <si>
    <t>باقيمانده‌ خريدشرکت تعاوني (1)</t>
  </si>
  <si>
    <t>مجموع اقساط‌خريدشرکت تعاوني (1)</t>
  </si>
  <si>
    <t>مبلغ‌خريدشرکت تعاوني (1)</t>
  </si>
  <si>
    <t xml:space="preserve"> مبلغ استقرارخريدشرکت تعاوني (1)</t>
  </si>
  <si>
    <t xml:space="preserve"> مبلغ قسط کسورات بانکي</t>
  </si>
  <si>
    <t>باقيمانده‌ کسورات بانکي</t>
  </si>
  <si>
    <t>مجموع اقساط‌کسورات بانکي</t>
  </si>
  <si>
    <t>مبلغ‌کسورات بانکي</t>
  </si>
  <si>
    <t xml:space="preserve"> مبلغ استقرارکسورات بانکي</t>
  </si>
  <si>
    <t xml:space="preserve"> مبلغ قسط صندوق مالي پژوهشکده کرج</t>
  </si>
  <si>
    <t>باقيمانده‌ صندوق مالي پژوهشکده کرج</t>
  </si>
  <si>
    <t>مجموع اقساط‌صندوق مالي پژوهشکده کرج</t>
  </si>
  <si>
    <t>مبلغ‌صندوق مالي پژوهشکده کرج</t>
  </si>
  <si>
    <t xml:space="preserve"> مبلغ استقرارصندوق مالي پژوهشکده کرج</t>
  </si>
  <si>
    <t xml:space="preserve"> مبلغ قسط وام ضروري</t>
  </si>
  <si>
    <t>باقيمانده‌ وام ضروري</t>
  </si>
  <si>
    <t>مجموع اقساط‌وام ضروري</t>
  </si>
  <si>
    <t>مبلغ‌وام ضروري</t>
  </si>
  <si>
    <t xml:space="preserve"> مبلغ استقراروام ضروري</t>
  </si>
  <si>
    <t xml:space="preserve"> مبلغ قسط وام صندوق احسان</t>
  </si>
  <si>
    <t>باقيمانده‌ وام صندوق احسان</t>
  </si>
  <si>
    <t>مجموع اقساط‌وام صندوق احسان</t>
  </si>
  <si>
    <t>مبلغ‌وام صندوق احسان</t>
  </si>
  <si>
    <t xml:space="preserve"> مبلغ استقراروام صندوق احسان</t>
  </si>
  <si>
    <t xml:space="preserve"> مبلغ قسط کسورات دادگستري</t>
  </si>
  <si>
    <t>باقيمانده‌ کسورات دادگستري</t>
  </si>
  <si>
    <t>مجموع اقساط‌کسورات دادگستري</t>
  </si>
  <si>
    <t>مبلغ‌کسورات دادگستري</t>
  </si>
  <si>
    <t xml:space="preserve"> مبلغ استقرارکسورات دادگستري</t>
  </si>
  <si>
    <t xml:space="preserve"> مبلغ قسط وام صندوق قرض الحسنه قائم (عج)</t>
  </si>
  <si>
    <t>باقيمانده‌ وام صندوق قرض الحسنه قائم (عج)</t>
  </si>
  <si>
    <t>مجموع اقساط‌وام صندوق قرض الحسنه قائم (عج)</t>
  </si>
  <si>
    <t>مبلغ‌وام صندوق قرض الحسنه قائم (عج)</t>
  </si>
  <si>
    <t xml:space="preserve"> مبلغ استقراروام صندوق قرض الحسنه قائم (عج)</t>
  </si>
  <si>
    <t xml:space="preserve"> مبلغ قسط صندوق پس انداز پژوهشکده کرج</t>
  </si>
  <si>
    <t>باقيمانده‌ صندوق پس انداز پژوهشکده کرج</t>
  </si>
  <si>
    <t>مجموع اقساط‌صندوق پس انداز پژوهشکده کرج</t>
  </si>
  <si>
    <t>مبلغ‌صندوق پس انداز پژوهشکده کرج</t>
  </si>
  <si>
    <t xml:space="preserve"> مبلغ استقرارصندوق پس انداز پژوهشکده کرج</t>
  </si>
  <si>
    <t xml:space="preserve"> مبلغ قسط وام مسکن</t>
  </si>
  <si>
    <t>باقيمانده‌ وام مسکن</t>
  </si>
  <si>
    <t>مجموع اقساط‌وام مسکن</t>
  </si>
  <si>
    <t>مبلغ‌وام مسکن</t>
  </si>
  <si>
    <t xml:space="preserve"> مبلغ استقراروام مسکن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</si>
  <si>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</si>
  <si>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</si>
  <si>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</si>
  <si>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</si>
  <si>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</si>
  <si>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 xml:space="preserve"> مبلغ قسط بيمه درمان تکميلي کارکنان</t>
  </si>
  <si>
    <t>باقيمانده‌ بيمه درمان تکميلي کارکنان</t>
  </si>
  <si>
    <t>مجموع اقساط‌بيمه درمان تکميلي کارکنان</t>
  </si>
  <si>
    <t>مبلغ‌بيمه درمان تکميلي کارکنان</t>
  </si>
  <si>
    <t xml:space="preserve"> مبلغ استقراربيمه درمان تکميلي کارکنان</t>
  </si>
  <si>
    <t xml:space="preserve"> مبلغ قسط وام مهر4درصد کالا الکتريک</t>
  </si>
  <si>
    <t>باقيمانده‌ وام مهر4درصد کالا الکتريک</t>
  </si>
  <si>
    <t>مجموع اقساط‌وام مهر4درصد کالا الکتريک</t>
  </si>
  <si>
    <t>مبلغ‌وام مهر4درصد کالا الکتريک</t>
  </si>
  <si>
    <t xml:space="preserve"> مبلغ استقراروام مهر4درصد کالا الکتريک</t>
  </si>
  <si>
    <t xml:space="preserve"> مبلغ قسط مسکن سازمان</t>
  </si>
  <si>
    <t>باقيمانده‌ مسکن سازمان</t>
  </si>
  <si>
    <t>مجموع اقساط‌مسکن سازمان</t>
  </si>
  <si>
    <t>مبلغ‌مسکن سازمان</t>
  </si>
  <si>
    <t xml:space="preserve"> مبلغ استقرارمسکن سازمان</t>
  </si>
  <si>
    <t xml:space="preserve"> مبلغ قسط عضويت صندوق كارگشايي پيشرو</t>
  </si>
  <si>
    <t>باقيمانده‌ عضويت صندوق كارگشايي پيشرو</t>
  </si>
  <si>
    <t>مجموع اقساط‌عضويت صندوق كارگشايي پيشرو</t>
  </si>
  <si>
    <t>مبلغ‌عضويت صندوق كارگشايي پيشرو</t>
  </si>
  <si>
    <t xml:space="preserve"> مبلغ استقرارعضويت صندوق كارگشايي پيشرو</t>
  </si>
  <si>
    <t xml:space="preserve"> مبلغ قسط وام ضروري کالا الکتريک</t>
  </si>
  <si>
    <t>باقيمانده‌ وام ضروري کالا الکتريک</t>
  </si>
  <si>
    <t>مجموع اقساط‌وام ضروري کالا الکتريک</t>
  </si>
  <si>
    <t>مبلغ‌وام ضروري کالا الکتريک</t>
  </si>
  <si>
    <t xml:space="preserve"> مبلغ استقراروام ضروري کالا الکتريک</t>
  </si>
  <si>
    <t xml:space="preserve"> مبلغ قسط وام صندوق قرض الحسنه انجمن اسلامي</t>
  </si>
  <si>
    <t>باقيمانده‌ وام صندوق قرض الحسنه انجمن اسلامي</t>
  </si>
  <si>
    <t>مجموع اقساط‌وام صندوق قرض الحسنه انجمن اسلامي</t>
  </si>
  <si>
    <t>مبلغ‌وام صندوق قرض الحسنه انجمن اسلامي</t>
  </si>
  <si>
    <t xml:space="preserve"> مبلغ استقراروام صندوق قرض الحسنه انجمن اسلامي</t>
  </si>
  <si>
    <t xml:space="preserve"> مبلغ قسط کسورات جاري کالا الکتريک</t>
  </si>
  <si>
    <t>باقيمانده‌ کسورات جاري کالا الکتريک</t>
  </si>
  <si>
    <t>مجموع اقساط‌کسورات جاري کالا الکتريک</t>
  </si>
  <si>
    <t>مبلغ‌کسورات جاري کالا الکتريک</t>
  </si>
  <si>
    <t xml:space="preserve"> مبلغ استقرارکسورات جاري کالا الکتريک</t>
  </si>
  <si>
    <t xml:space="preserve"> مبلغ قسط صندوق بسيج کاربردپرتوها</t>
  </si>
  <si>
    <t>باقيمانده‌ صندوق بسيج کاربردپرتوها</t>
  </si>
  <si>
    <t>مجموع اقساط‌صندوق بسيج کاربردپرتوها</t>
  </si>
  <si>
    <t>مبلغ‌صندوق بسيج کاربردپرتوها</t>
  </si>
  <si>
    <t xml:space="preserve"> مبلغ استقرارصندوق بسيج کاربردپرتوها</t>
  </si>
  <si>
    <t xml:space="preserve"> مبلغ قسط عضويت صندوق قرض الحسنه قائم (عج)</t>
  </si>
  <si>
    <t>باقيمانده‌ عضويت صندوق قرض الحسنه قائم (عج)</t>
  </si>
  <si>
    <t>مجموع اقساط‌عضويت صندوق قرض الحسنه قائم (عج)</t>
  </si>
  <si>
    <t>مبلغ‌عضويت صندوق قرض الحسنه قائم (عج)</t>
  </si>
  <si>
    <t xml:space="preserve"> مبلغ استقرارعضويت صندوق قرض الحسنه قائم (عج)</t>
  </si>
  <si>
    <t xml:space="preserve"> مبلغ قسط وام ستاد پژوهشگاه</t>
  </si>
  <si>
    <t xml:space="preserve"> مبلغ قسط بيمه تكميلي -سازمان</t>
  </si>
  <si>
    <t xml:space="preserve"> مبلغ قسط وام صندوق کريم اهل بيت</t>
  </si>
  <si>
    <t xml:space="preserve"> مبلغ قسط وام صندوق پس انداز سازمان</t>
  </si>
  <si>
    <t xml:space="preserve"> مبلغ قسط عضويت صندوق رفاه وپس انداز کارکنان</t>
  </si>
  <si>
    <t xml:space="preserve"> مبلغ قسط عمروحادثه</t>
  </si>
  <si>
    <t xml:space="preserve"> مبلغ قسط بيمه ايران شرکت</t>
  </si>
  <si>
    <t xml:space="preserve"> مبلغ قسط وام صندوق قرض الحسنه وليعصر(عج)</t>
  </si>
  <si>
    <t xml:space="preserve"> مبلغ قسط وام رياست جمهوري(مدد کاري)</t>
  </si>
  <si>
    <t xml:space="preserve"> مبلغ قسط وام بانک انصار(انرژي نوين)</t>
  </si>
  <si>
    <t xml:space="preserve"> مبلغ قسط وام مهر ميعاد کالا</t>
  </si>
  <si>
    <t xml:space="preserve"> مبلغ قسط وام انصار كالا</t>
  </si>
  <si>
    <t xml:space="preserve"> مبلغ قسط خدمات دندانپزشکي سازمان</t>
  </si>
  <si>
    <t xml:space="preserve"> مبلغ قسط هزينه رفاهي کالا الکتريک</t>
  </si>
  <si>
    <t xml:space="preserve"> مبلغ قسط تسهيلات بانکي خريدکالا</t>
  </si>
  <si>
    <t xml:space="preserve"> مبلغ قسط بانک مهر اقتصاد</t>
  </si>
  <si>
    <t xml:space="preserve"> مبلغ قسط وام مهر 14%کالا الکتريک</t>
  </si>
  <si>
    <t xml:space="preserve"> مبلغ قسط وام کارگشايي پيشرو</t>
  </si>
  <si>
    <t xml:space="preserve"> مبلغ قسط وام صندوق قرض الحسنه علوم وفنون ليزر</t>
  </si>
  <si>
    <t xml:space="preserve"> مبلغ قسط وام تعهدي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</si>
  <si>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</si>
  <si>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</si>
  <si>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</si>
  <si>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</si>
  <si>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</si>
  <si>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</si>
  <si>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عیدی و پاداش </t>
  </si>
  <si>
    <t>سایر مزایا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</si>
  <si>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</si>
  <si>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</si>
  <si>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</si>
  <si>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</si>
  <si>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</si>
  <si>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</si>
  <si>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</si>
  <si>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</si>
  <si>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</si>
  <si>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</si>
  <si>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</si>
  <si>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</si>
  <si>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</si>
  <si>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</si>
  <si>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 xml:space="preserve">عیدی </t>
  </si>
  <si>
    <t xml:space="preserve">آبان </t>
  </si>
  <si>
    <t xml:space="preserve">گزارش صورت وضعیت آبان ماه 94پرسنل شرکت تولید توسعه انرژی اتمی (دارخوین) </t>
  </si>
  <si>
    <t xml:space="preserve"> مبلغ در حكم حق پرتو کاري</t>
  </si>
  <si>
    <t xml:space="preserve">حکم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</si>
</sst>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1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2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left" vertical="center"/>
    </xf>
    <xf numFmtId="3" fontId="11" fillId="0" borderId="8" xfId="0" applyNumberFormat="1" applyFont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164" fontId="12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3" fillId="0" borderId="0" xfId="1" applyNumberFormat="1" applyFont="1"/>
    <xf numFmtId="164" fontId="2" fillId="0" borderId="0" xfId="1" applyNumberFormat="1" applyFont="1"/>
    <xf numFmtId="164" fontId="15" fillId="0" borderId="0" xfId="1" applyNumberFormat="1" applyFont="1"/>
    <xf numFmtId="3" fontId="11" fillId="2" borderId="14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4" fillId="2" borderId="11" xfId="0" applyFont="1" applyFill="1" applyBorder="1" applyAlignment="1">
      <alignment horizontal="right" vertical="top" wrapText="1"/>
    </xf>
    <xf numFmtId="0" fontId="14" fillId="2" borderId="12" xfId="0" applyFont="1" applyFill="1" applyBorder="1" applyAlignment="1">
      <alignment horizontal="right" vertical="top" wrapText="1"/>
    </xf>
    <xf numFmtId="0" fontId="14" fillId="2" borderId="13" xfId="0" applyFont="1" applyFill="1" applyBorder="1" applyAlignment="1">
      <alignment horizontal="right" vertical="top" wrapText="1"/>
    </xf>
    <xf numFmtId="3" fontId="14" fillId="2" borderId="11" xfId="0" applyNumberFormat="1" applyFont="1" applyFill="1" applyBorder="1" applyAlignment="1">
      <alignment horizontal="right" vertical="top" wrapText="1"/>
    </xf>
    <xf numFmtId="3" fontId="14" fillId="2" borderId="12" xfId="0" applyNumberFormat="1" applyFont="1" applyFill="1" applyBorder="1" applyAlignment="1">
      <alignment horizontal="right" vertical="top" wrapText="1"/>
    </xf>
    <xf numFmtId="3" fontId="14" fillId="2" borderId="13" xfId="0" applyNumberFormat="1" applyFont="1" applyFill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5"/>
  <sheetViews>
    <sheetView rightToLeft="1" tabSelected="1" topLeftCell="BO1" workbookViewId="0">
      <pane ySplit="1" topLeftCell="A20" activePane="bottomLeft" state="frozen"/>
      <selection pane="bottomLeft" activeCell="BP38" sqref="BP38"/>
    </sheetView>
  </sheetViews>
  <sheetFormatPr defaultRowHeight="14.25" x14ac:dyDescent="0.2"/>
  <cols>
    <col min="1" max="1" width="11" style="1" bestFit="1" customWidth="1"/>
    <col min="2" max="2" width="17" style="1" bestFit="1" customWidth="1"/>
    <col min="3" max="3" width="18.375" style="1" bestFit="1" customWidth="1"/>
    <col min="4" max="4" width="17.5" style="1" bestFit="1" customWidth="1"/>
    <col min="5" max="5" width="14" style="1" bestFit="1" customWidth="1"/>
    <col min="6" max="6" width="14.625" style="1" bestFit="1" customWidth="1"/>
    <col min="7" max="7" width="14" style="1" bestFit="1" customWidth="1"/>
    <col min="8" max="8" width="11.5" style="1" bestFit="1" customWidth="1"/>
    <col min="9" max="9" width="14.625" style="1" bestFit="1" customWidth="1"/>
    <col min="10" max="10" width="16.125" style="1" bestFit="1" customWidth="1"/>
    <col min="11" max="11" width="15.375" style="1" bestFit="1" customWidth="1"/>
    <col min="12" max="12" width="15.5" style="1" bestFit="1" customWidth="1"/>
    <col min="13" max="13" width="17.25" style="1" bestFit="1" customWidth="1"/>
    <col min="14" max="14" width="27.125" style="1" bestFit="1" customWidth="1"/>
    <col min="15" max="15" width="6" style="1" bestFit="1" customWidth="1"/>
    <col min="16" max="16" width="11.75" style="1" bestFit="1" customWidth="1"/>
    <col min="17" max="17" width="13.375" style="1" bestFit="1" customWidth="1"/>
    <col min="18" max="18" width="11.25" style="1" bestFit="1" customWidth="1"/>
    <col min="19" max="19" width="12.375" style="1" bestFit="1" customWidth="1"/>
    <col min="20" max="20" width="10.875" style="1" bestFit="1" customWidth="1"/>
    <col min="21" max="21" width="15.25" style="1" bestFit="1" customWidth="1"/>
    <col min="22" max="22" width="17.125" style="1" bestFit="1" customWidth="1"/>
    <col min="23" max="23" width="15.875" style="1" bestFit="1" customWidth="1"/>
    <col min="24" max="24" width="11.625" style="1" bestFit="1" customWidth="1"/>
    <col min="25" max="25" width="14.75" style="1" bestFit="1" customWidth="1"/>
    <col min="26" max="26" width="12.125" style="1" bestFit="1" customWidth="1"/>
    <col min="27" max="27" width="15.375" style="1" bestFit="1" customWidth="1"/>
    <col min="28" max="28" width="15.75" style="1" bestFit="1" customWidth="1"/>
    <col min="29" max="29" width="19" style="1" bestFit="1" customWidth="1"/>
    <col min="30" max="30" width="10.625" style="1" bestFit="1" customWidth="1"/>
    <col min="31" max="32" width="17.125" style="1" bestFit="1" customWidth="1"/>
    <col min="33" max="33" width="13.75" style="1" bestFit="1" customWidth="1"/>
    <col min="34" max="34" width="11.75" style="1" bestFit="1" customWidth="1"/>
    <col min="35" max="35" width="14.75" style="1" bestFit="1" customWidth="1"/>
    <col min="36" max="36" width="9.875" style="1" bestFit="1" customWidth="1"/>
    <col min="37" max="37" width="13.375" style="1" bestFit="1" customWidth="1"/>
    <col min="38" max="38" width="16" style="1" bestFit="1" customWidth="1"/>
    <col min="39" max="39" width="14.875" style="1" bestFit="1" customWidth="1"/>
    <col min="40" max="40" width="14.25" style="1" bestFit="1" customWidth="1"/>
    <col min="41" max="41" width="6" style="1" bestFit="1" customWidth="1"/>
    <col min="42" max="42" width="10" style="1" bestFit="1" customWidth="1"/>
    <col min="43" max="43" width="19.875" style="1" bestFit="1" customWidth="1"/>
    <col min="44" max="44" width="18" style="1" bestFit="1" customWidth="1"/>
    <col min="45" max="45" width="26.5" style="1" bestFit="1" customWidth="1"/>
    <col min="46" max="46" width="18.125" style="1" bestFit="1" customWidth="1"/>
    <col min="47" max="47" width="9.5" style="1" bestFit="1" customWidth="1"/>
    <col min="48" max="48" width="10.5" style="1" bestFit="1" customWidth="1"/>
    <col min="49" max="49" width="12.125" style="1" bestFit="1" customWidth="1"/>
    <col min="50" max="50" width="15.5" style="1" bestFit="1" customWidth="1"/>
    <col min="51" max="51" width="17.625" style="1" bestFit="1" customWidth="1"/>
    <col min="52" max="52" width="15.125" style="1" bestFit="1" customWidth="1"/>
    <col min="53" max="53" width="18.5" style="1" bestFit="1" customWidth="1"/>
    <col min="54" max="54" width="17.125" style="1" bestFit="1" customWidth="1"/>
    <col min="55" max="55" width="20" style="1" bestFit="1" customWidth="1"/>
    <col min="56" max="56" width="15.875" style="1" bestFit="1" customWidth="1"/>
    <col min="57" max="57" width="18.75" style="1" bestFit="1" customWidth="1"/>
    <col min="58" max="58" width="9.375" style="1" bestFit="1" customWidth="1"/>
    <col min="59" max="59" width="13.125" style="1" bestFit="1" customWidth="1"/>
    <col min="60" max="60" width="18.5" style="1" bestFit="1" customWidth="1"/>
    <col min="61" max="61" width="15.875" style="1" bestFit="1" customWidth="1"/>
    <col min="62" max="62" width="17.125" style="1" bestFit="1" customWidth="1"/>
    <col min="63" max="63" width="15.875" style="1" bestFit="1" customWidth="1"/>
    <col min="64" max="64" width="20.625" style="1" customWidth="1"/>
    <col min="65" max="65" width="11" style="1" bestFit="1" customWidth="1"/>
    <col min="66" max="66" width="13.5" style="1" bestFit="1" customWidth="1"/>
    <col min="67" max="67" width="13.75" style="1" bestFit="1" customWidth="1"/>
    <col min="68" max="68" width="31.625" style="1" bestFit="1" customWidth="1"/>
    <col min="69" max="69" width="8.5" style="1" bestFit="1" customWidth="1"/>
    <col min="70" max="70" width="15.875" style="1" bestFit="1" customWidth="1"/>
    <col min="71" max="71" width="17.125" style="1" bestFit="1" customWidth="1"/>
    <col min="72" max="72" width="18.625" style="1" bestFit="1" customWidth="1"/>
    <col min="73" max="73" width="23.625" style="1" bestFit="1" customWidth="1"/>
    <col min="74" max="74" width="20.375" style="1" bestFit="1" customWidth="1"/>
    <col min="75" max="75" width="22.625" style="1" bestFit="1" customWidth="1"/>
    <col min="76" max="76" width="15.125" style="1" bestFit="1" customWidth="1"/>
    <col min="77" max="77" width="12.875" style="1" bestFit="1" customWidth="1"/>
    <col min="78" max="78" width="8.375" style="1" bestFit="1" customWidth="1"/>
    <col min="79" max="79" width="32.875" style="1" bestFit="1" customWidth="1"/>
    <col min="80" max="80" width="20" style="1" bestFit="1" customWidth="1"/>
    <col min="81" max="81" width="27.625" style="1" bestFit="1" customWidth="1"/>
    <col min="82" max="82" width="25.125" style="1" bestFit="1" customWidth="1"/>
    <col min="83" max="83" width="23.5" style="1" bestFit="1" customWidth="1"/>
    <col min="84" max="84" width="15.875" style="1" bestFit="1" customWidth="1"/>
    <col min="85" max="85" width="11.625" style="1" bestFit="1" customWidth="1"/>
    <col min="86" max="86" width="19.625" style="1" bestFit="1" customWidth="1"/>
    <col min="87" max="87" width="31.125" style="1" bestFit="1" customWidth="1"/>
    <col min="88" max="88" width="17.125" style="1" bestFit="1" customWidth="1"/>
    <col min="89" max="89" width="10.625" style="1" bestFit="1" customWidth="1"/>
    <col min="90" max="90" width="10.125" style="1" bestFit="1" customWidth="1"/>
    <col min="91" max="91" width="24.375" style="1" bestFit="1" customWidth="1"/>
    <col min="92" max="92" width="21.125" style="1" bestFit="1" customWidth="1"/>
    <col min="93" max="93" width="23.375" style="1" bestFit="1" customWidth="1"/>
    <col min="94" max="94" width="14" style="1" bestFit="1" customWidth="1"/>
    <col min="95" max="96" width="18.5" style="1" bestFit="1" customWidth="1"/>
    <col min="97" max="97" width="17.125" style="1" bestFit="1" customWidth="1"/>
    <col min="98" max="98" width="51.875" style="1" bestFit="1" customWidth="1"/>
    <col min="99" max="99" width="49.75" style="1" bestFit="1" customWidth="1"/>
    <col min="100" max="100" width="54" style="1" bestFit="1" customWidth="1"/>
    <col min="101" max="101" width="45.375" style="1" bestFit="1" customWidth="1"/>
    <col min="102" max="102" width="53.375" style="1" bestFit="1" customWidth="1"/>
    <col min="103" max="103" width="33.125" style="1" bestFit="1" customWidth="1"/>
    <col min="104" max="104" width="31.125" style="1" bestFit="1" customWidth="1"/>
    <col min="105" max="105" width="35.375" style="1" bestFit="1" customWidth="1"/>
    <col min="106" max="106" width="26.75" style="1" bestFit="1" customWidth="1"/>
    <col min="107" max="107" width="34.75" style="1" bestFit="1" customWidth="1"/>
    <col min="108" max="108" width="52.75" style="1" bestFit="1" customWidth="1"/>
    <col min="109" max="109" width="50.75" style="1" bestFit="1" customWidth="1"/>
    <col min="110" max="110" width="55" style="1" bestFit="1" customWidth="1"/>
    <col min="111" max="111" width="46.375" style="1" bestFit="1" customWidth="1"/>
    <col min="112" max="112" width="54.25" style="1" bestFit="1" customWidth="1"/>
    <col min="113" max="113" width="22.125" style="1" bestFit="1" customWidth="1"/>
    <col min="114" max="114" width="20" style="1" bestFit="1" customWidth="1"/>
    <col min="115" max="115" width="24.25" style="1" bestFit="1" customWidth="1"/>
    <col min="116" max="116" width="15.625" style="1" bestFit="1" customWidth="1"/>
    <col min="117" max="117" width="23.625" style="1" bestFit="1" customWidth="1"/>
    <col min="118" max="118" width="47.125" style="1" bestFit="1" customWidth="1"/>
    <col min="119" max="119" width="45" style="1" bestFit="1" customWidth="1"/>
    <col min="120" max="120" width="49.25" style="1" bestFit="1" customWidth="1"/>
    <col min="121" max="121" width="40.625" style="1" bestFit="1" customWidth="1"/>
    <col min="122" max="122" width="48.625" style="1" bestFit="1" customWidth="1"/>
    <col min="123" max="123" width="31.75" style="1" bestFit="1" customWidth="1"/>
    <col min="124" max="124" width="29.625" style="1" bestFit="1" customWidth="1"/>
    <col min="125" max="125" width="34" style="1" bestFit="1" customWidth="1"/>
    <col min="126" max="126" width="25.25" style="1" bestFit="1" customWidth="1"/>
    <col min="127" max="127" width="33.25" style="1" bestFit="1" customWidth="1"/>
    <col min="128" max="128" width="40.25" style="1" bestFit="1" customWidth="1"/>
    <col min="129" max="129" width="38.25" style="1" bestFit="1" customWidth="1"/>
    <col min="130" max="130" width="42.5" style="1" bestFit="1" customWidth="1"/>
    <col min="131" max="131" width="33.75" style="1" bestFit="1" customWidth="1"/>
    <col min="132" max="132" width="41.75" style="1" bestFit="1" customWidth="1"/>
    <col min="133" max="133" width="52" style="1" bestFit="1" customWidth="1"/>
    <col min="134" max="134" width="49.875" style="1" bestFit="1" customWidth="1"/>
    <col min="135" max="135" width="54.125" style="1" bestFit="1" customWidth="1"/>
    <col min="136" max="136" width="45.5" style="1" bestFit="1" customWidth="1"/>
    <col min="137" max="137" width="53.5" style="1" bestFit="1" customWidth="1"/>
    <col min="138" max="138" width="32" style="1" bestFit="1" customWidth="1"/>
    <col min="139" max="139" width="30" style="1" bestFit="1" customWidth="1"/>
    <col min="140" max="140" width="34.25" style="1" bestFit="1" customWidth="1"/>
    <col min="141" max="141" width="25.5" style="1" bestFit="1" customWidth="1"/>
    <col min="142" max="142" width="33.5" style="1" bestFit="1" customWidth="1"/>
    <col min="143" max="143" width="24.625" style="1" bestFit="1" customWidth="1"/>
    <col min="144" max="144" width="22.625" style="1" bestFit="1" customWidth="1"/>
    <col min="145" max="145" width="26.875" style="1" bestFit="1" customWidth="1"/>
    <col min="146" max="146" width="18.25" style="1" bestFit="1" customWidth="1"/>
    <col min="147" max="147" width="26.25" style="1" bestFit="1" customWidth="1"/>
    <col min="148" max="148" width="37.375" style="1" bestFit="1" customWidth="1"/>
    <col min="149" max="149" width="35.375" style="1" bestFit="1" customWidth="1"/>
    <col min="150" max="150" width="39.625" style="1" bestFit="1" customWidth="1"/>
    <col min="151" max="151" width="31" style="1" bestFit="1" customWidth="1"/>
    <col min="152" max="152" width="39" style="1" bestFit="1" customWidth="1"/>
    <col min="153" max="153" width="21.375" style="1" bestFit="1" customWidth="1"/>
    <col min="154" max="154" width="19.375" style="1" bestFit="1" customWidth="1"/>
    <col min="155" max="155" width="23.625" style="1" bestFit="1" customWidth="1"/>
    <col min="156" max="156" width="15" style="1" bestFit="1" customWidth="1"/>
    <col min="157" max="157" width="23" style="1" bestFit="1" customWidth="1"/>
    <col min="158" max="158" width="28.25" style="1" bestFit="1" customWidth="1"/>
    <col min="159" max="159" width="26.25" style="1" bestFit="1" customWidth="1"/>
    <col min="160" max="160" width="30.5" style="1" bestFit="1" customWidth="1"/>
    <col min="161" max="161" width="21.875" style="1" bestFit="1" customWidth="1"/>
    <col min="162" max="162" width="29.875" style="1" bestFit="1" customWidth="1"/>
    <col min="163" max="163" width="28.875" style="1" bestFit="1" customWidth="1"/>
    <col min="164" max="164" width="26.875" style="1" bestFit="1" customWidth="1"/>
    <col min="165" max="165" width="31.125" style="1" bestFit="1" customWidth="1"/>
    <col min="166" max="166" width="22.5" style="1" bestFit="1" customWidth="1"/>
    <col min="167" max="167" width="30.5" style="1" bestFit="1" customWidth="1"/>
    <col min="168" max="168" width="43.5" style="1" bestFit="1" customWidth="1"/>
    <col min="169" max="169" width="41.375" style="1" bestFit="1" customWidth="1"/>
    <col min="170" max="170" width="45.625" style="1" bestFit="1" customWidth="1"/>
    <col min="171" max="171" width="37" style="1" bestFit="1" customWidth="1"/>
    <col min="172" max="172" width="45" style="1" bestFit="1" customWidth="1"/>
    <col min="173" max="173" width="40.5" style="1" bestFit="1" customWidth="1"/>
    <col min="174" max="174" width="38.5" style="1" bestFit="1" customWidth="1"/>
    <col min="175" max="175" width="42.75" style="1" bestFit="1" customWidth="1"/>
    <col min="176" max="176" width="34.125" style="1" bestFit="1" customWidth="1"/>
    <col min="177" max="177" width="42" style="1" bestFit="1" customWidth="1"/>
    <col min="178" max="178" width="20.875" style="1" bestFit="1" customWidth="1"/>
    <col min="179" max="179" width="18.875" style="1" bestFit="1" customWidth="1"/>
    <col min="180" max="180" width="23.125" style="1" bestFit="1" customWidth="1"/>
    <col min="181" max="181" width="14.5" style="1" bestFit="1" customWidth="1"/>
    <col min="182" max="182" width="22.5" style="1" bestFit="1" customWidth="1"/>
    <col min="183" max="183" width="42.5" style="1" bestFit="1" customWidth="1"/>
    <col min="184" max="184" width="40.375" style="1" bestFit="1" customWidth="1"/>
    <col min="185" max="185" width="44.625" style="1" bestFit="1" customWidth="1"/>
    <col min="186" max="186" width="36" style="1" bestFit="1" customWidth="1"/>
    <col min="187" max="187" width="44" style="1" bestFit="1" customWidth="1"/>
    <col min="188" max="188" width="35.625" style="1" bestFit="1" customWidth="1"/>
    <col min="189" max="189" width="33.5" style="1" bestFit="1" customWidth="1"/>
    <col min="190" max="190" width="37.75" style="1" bestFit="1" customWidth="1"/>
    <col min="191" max="191" width="29.125" style="1" bestFit="1" customWidth="1"/>
    <col min="192" max="192" width="37.125" style="1" bestFit="1" customWidth="1"/>
    <col min="193" max="193" width="35.125" style="1" bestFit="1" customWidth="1"/>
    <col min="194" max="194" width="33" style="1" bestFit="1" customWidth="1"/>
    <col min="195" max="195" width="37.25" style="1" bestFit="1" customWidth="1"/>
    <col min="196" max="196" width="28.625" style="1" bestFit="1" customWidth="1"/>
    <col min="197" max="197" width="36.625" style="1" bestFit="1" customWidth="1"/>
    <col min="198" max="198" width="25" style="1" bestFit="1" customWidth="1"/>
    <col min="199" max="199" width="23" style="1" bestFit="1" customWidth="1"/>
    <col min="200" max="200" width="27.25" style="1" bestFit="1" customWidth="1"/>
    <col min="201" max="201" width="18.625" style="1" bestFit="1" customWidth="1"/>
    <col min="202" max="202" width="26.625" style="1" bestFit="1" customWidth="1"/>
    <col min="203" max="203" width="41.375" style="1" bestFit="1" customWidth="1"/>
    <col min="204" max="204" width="39.375" style="1" bestFit="1" customWidth="1"/>
    <col min="205" max="205" width="43.625" style="1" bestFit="1" customWidth="1"/>
    <col min="206" max="206" width="35" style="1" bestFit="1" customWidth="1"/>
    <col min="207" max="207" width="43" style="1" bestFit="1" customWidth="1"/>
    <col min="208" max="208" width="32.25" style="1" bestFit="1" customWidth="1"/>
    <col min="209" max="209" width="30.25" style="1" bestFit="1" customWidth="1"/>
    <col min="210" max="210" width="34.5" style="1" bestFit="1" customWidth="1"/>
    <col min="211" max="211" width="25.875" style="1" bestFit="1" customWidth="1"/>
    <col min="212" max="212" width="33.75" style="1" bestFit="1" customWidth="1"/>
    <col min="213" max="213" width="48" style="1" bestFit="1" customWidth="1"/>
    <col min="214" max="214" width="45.875" style="1" bestFit="1" customWidth="1"/>
    <col min="215" max="215" width="50.125" style="1" bestFit="1" customWidth="1"/>
    <col min="216" max="216" width="41.5" style="1" bestFit="1" customWidth="1"/>
    <col min="217" max="217" width="49.5" style="1" bestFit="1" customWidth="1"/>
    <col min="218" max="218" width="35.125" style="1" bestFit="1" customWidth="1"/>
    <col min="219" max="219" width="33" style="1" bestFit="1" customWidth="1"/>
    <col min="220" max="220" width="37.25" style="1" bestFit="1" customWidth="1"/>
    <col min="221" max="221" width="28.625" style="1" bestFit="1" customWidth="1"/>
    <col min="222" max="222" width="36.625" style="1" bestFit="1" customWidth="1"/>
    <col min="223" max="223" width="35.125" style="1" bestFit="1" customWidth="1"/>
    <col min="224" max="224" width="33" style="1" bestFit="1" customWidth="1"/>
    <col min="225" max="225" width="37.25" style="1" bestFit="1" customWidth="1"/>
    <col min="226" max="226" width="28.625" style="1" bestFit="1" customWidth="1"/>
    <col min="227" max="227" width="36.625" style="1" bestFit="1" customWidth="1"/>
    <col min="228" max="228" width="47.5" style="1" bestFit="1" customWidth="1"/>
    <col min="229" max="229" width="45.375" style="1" bestFit="1" customWidth="1"/>
    <col min="230" max="230" width="49.625" style="1" bestFit="1" customWidth="1"/>
    <col min="231" max="231" width="41" style="1" bestFit="1" customWidth="1"/>
    <col min="232" max="232" width="49" style="1" bestFit="1" customWidth="1"/>
    <col min="233" max="233" width="29" style="1" bestFit="1" customWidth="1"/>
    <col min="234" max="234" width="31" style="1" bestFit="1" customWidth="1"/>
    <col min="235" max="235" width="34.125" style="1" bestFit="1" customWidth="1"/>
    <col min="236" max="236" width="37.125" style="1" bestFit="1" customWidth="1"/>
    <col min="237" max="237" width="45.875" style="1" bestFit="1" customWidth="1"/>
    <col min="238" max="238" width="21" style="1" bestFit="1" customWidth="1"/>
    <col min="239" max="239" width="26.75" style="1" bestFit="1" customWidth="1"/>
    <col min="240" max="240" width="45.75" style="1" bestFit="1" customWidth="1"/>
    <col min="241" max="241" width="39.375" style="1" bestFit="1" customWidth="1"/>
    <col min="242" max="242" width="35.25" style="1" bestFit="1" customWidth="1"/>
    <col min="243" max="243" width="26.875" style="1" bestFit="1" customWidth="1"/>
    <col min="244" max="244" width="22.875" style="1" bestFit="1" customWidth="1"/>
    <col min="245" max="245" width="36.75" style="1" bestFit="1" customWidth="1"/>
    <col min="246" max="246" width="34.375" style="1" bestFit="1" customWidth="1"/>
    <col min="247" max="247" width="32.875" style="1" bestFit="1" customWidth="1"/>
    <col min="248" max="248" width="25.75" style="1" bestFit="1" customWidth="1"/>
    <col min="249" max="249" width="33.625" style="1" bestFit="1" customWidth="1"/>
    <col min="250" max="250" width="30.25" style="1" bestFit="1" customWidth="1"/>
    <col min="251" max="251" width="48.75" style="1" bestFit="1" customWidth="1"/>
    <col min="252" max="252" width="20.625" style="1" customWidth="1"/>
    <col min="253" max="16384" width="9" style="1"/>
  </cols>
  <sheetData>
    <row r="1" spans="1:25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</row>
    <row r="2" spans="1:252" x14ac:dyDescent="0.2">
      <c r="A2" s="1" t="str">
        <f>"9157041"</f>
        <v>9157041</v>
      </c>
      <c r="B2" s="1" t="str">
        <f>"عيد آسماني"</f>
        <v>عيد آسماني</v>
      </c>
      <c r="C2" s="1" t="str">
        <f t="shared" ref="C2:C32" si="0">"توليد توسعه - دارخوين"</f>
        <v>توليد توسعه - دارخوين</v>
      </c>
      <c r="D2" s="1">
        <v>0</v>
      </c>
      <c r="E2" s="1">
        <v>13200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200000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1100000</v>
      </c>
      <c r="AF2" s="1">
        <v>1012000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960000</v>
      </c>
      <c r="BC2" s="1">
        <v>0</v>
      </c>
      <c r="BD2" s="1">
        <v>161995</v>
      </c>
      <c r="BE2" s="1">
        <v>0</v>
      </c>
      <c r="BF2" s="1">
        <v>0</v>
      </c>
      <c r="BG2" s="1">
        <v>0</v>
      </c>
      <c r="BH2" s="1">
        <v>8389590</v>
      </c>
      <c r="BI2" s="1">
        <v>0</v>
      </c>
      <c r="BJ2" s="1">
        <v>587952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730768</v>
      </c>
      <c r="BQ2" s="1">
        <v>0</v>
      </c>
      <c r="BR2" s="1">
        <v>0</v>
      </c>
      <c r="BS2" s="1">
        <v>833333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650000</v>
      </c>
      <c r="CI2" s="1">
        <v>2087907</v>
      </c>
      <c r="CJ2" s="1">
        <v>313186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13200</v>
      </c>
      <c r="CQ2" s="1">
        <v>10197436</v>
      </c>
      <c r="CR2" s="1">
        <v>12411537</v>
      </c>
      <c r="CS2" s="1">
        <v>2214101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  <c r="DA2" s="1">
        <v>0</v>
      </c>
      <c r="DB2" s="1">
        <v>0</v>
      </c>
      <c r="DC2" s="1">
        <v>0</v>
      </c>
      <c r="DD2" s="1">
        <v>0</v>
      </c>
      <c r="DE2" s="1">
        <v>0</v>
      </c>
      <c r="DF2" s="1">
        <v>0</v>
      </c>
      <c r="DG2" s="1">
        <v>0</v>
      </c>
      <c r="DH2" s="1">
        <v>0</v>
      </c>
      <c r="DI2" s="1">
        <v>0</v>
      </c>
      <c r="DJ2" s="1">
        <v>0</v>
      </c>
      <c r="DK2" s="1">
        <v>0</v>
      </c>
      <c r="DL2" s="1">
        <v>0</v>
      </c>
      <c r="DM2" s="1">
        <v>0</v>
      </c>
      <c r="DN2" s="1">
        <v>0</v>
      </c>
      <c r="DO2" s="1">
        <v>0</v>
      </c>
      <c r="DP2" s="1">
        <v>0</v>
      </c>
      <c r="DQ2" s="1">
        <v>0</v>
      </c>
      <c r="DR2" s="1">
        <v>0</v>
      </c>
      <c r="DS2" s="1">
        <v>0</v>
      </c>
      <c r="DT2" s="1">
        <v>0</v>
      </c>
      <c r="DU2" s="1">
        <v>0</v>
      </c>
      <c r="DV2" s="1">
        <v>0</v>
      </c>
      <c r="DW2" s="1">
        <v>0</v>
      </c>
      <c r="DX2" s="1">
        <v>0</v>
      </c>
      <c r="DY2" s="1">
        <v>0</v>
      </c>
      <c r="DZ2" s="1">
        <v>0</v>
      </c>
      <c r="EA2" s="1">
        <v>0</v>
      </c>
      <c r="EB2" s="1">
        <v>0</v>
      </c>
      <c r="EC2" s="1">
        <v>0</v>
      </c>
      <c r="ED2" s="1">
        <v>0</v>
      </c>
      <c r="EE2" s="1">
        <v>0</v>
      </c>
      <c r="EF2" s="1">
        <v>0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0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  <c r="FZ2" s="1">
        <v>0</v>
      </c>
      <c r="GA2" s="1">
        <v>833333</v>
      </c>
      <c r="GB2" s="1">
        <v>28333322</v>
      </c>
      <c r="GC2" s="1">
        <v>1666678</v>
      </c>
      <c r="GD2" s="1">
        <v>30000000</v>
      </c>
      <c r="GE2" s="1">
        <v>30000000</v>
      </c>
      <c r="GF2" s="1">
        <v>0</v>
      </c>
      <c r="GG2" s="1">
        <v>0</v>
      </c>
      <c r="GH2" s="1">
        <v>0</v>
      </c>
      <c r="GI2" s="1">
        <v>0</v>
      </c>
      <c r="GJ2" s="1">
        <v>0</v>
      </c>
      <c r="GK2" s="1">
        <v>0</v>
      </c>
      <c r="GL2" s="1">
        <v>0</v>
      </c>
      <c r="GM2" s="1">
        <v>0</v>
      </c>
      <c r="GN2" s="1">
        <v>0</v>
      </c>
      <c r="GO2" s="1">
        <v>0</v>
      </c>
      <c r="GP2" s="1">
        <v>0</v>
      </c>
      <c r="GQ2" s="1">
        <v>0</v>
      </c>
      <c r="GR2" s="1">
        <v>0</v>
      </c>
      <c r="GS2" s="1">
        <v>0</v>
      </c>
      <c r="GT2" s="1">
        <v>0</v>
      </c>
      <c r="GU2" s="1">
        <v>0</v>
      </c>
      <c r="GV2" s="1">
        <v>0</v>
      </c>
      <c r="GW2" s="1">
        <v>0</v>
      </c>
      <c r="GX2" s="1">
        <v>0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0</v>
      </c>
      <c r="HI2" s="1">
        <v>0</v>
      </c>
      <c r="HJ2" s="1">
        <v>0</v>
      </c>
      <c r="HK2" s="1">
        <v>0</v>
      </c>
      <c r="HL2" s="1">
        <v>0</v>
      </c>
      <c r="HM2" s="1">
        <v>0</v>
      </c>
      <c r="HN2" s="1">
        <v>0</v>
      </c>
      <c r="HO2" s="1">
        <v>0</v>
      </c>
      <c r="HP2" s="1">
        <v>0</v>
      </c>
      <c r="HQ2" s="1">
        <v>0</v>
      </c>
      <c r="HR2" s="1">
        <v>0</v>
      </c>
      <c r="HS2" s="1">
        <v>0</v>
      </c>
      <c r="HT2" s="1">
        <v>0</v>
      </c>
      <c r="HU2" s="1">
        <v>0</v>
      </c>
      <c r="HV2" s="1">
        <v>0</v>
      </c>
      <c r="HW2" s="1">
        <v>0</v>
      </c>
      <c r="HX2" s="1">
        <v>0</v>
      </c>
      <c r="HY2" s="1">
        <v>0</v>
      </c>
      <c r="HZ2" s="1">
        <v>0</v>
      </c>
      <c r="IA2" s="1">
        <v>0</v>
      </c>
      <c r="IB2" s="1">
        <v>0</v>
      </c>
      <c r="IC2" s="1">
        <v>0</v>
      </c>
      <c r="ID2" s="1">
        <v>0</v>
      </c>
      <c r="IE2" s="1">
        <v>0</v>
      </c>
      <c r="IF2" s="1">
        <v>0</v>
      </c>
      <c r="IG2" s="1">
        <v>0</v>
      </c>
      <c r="IH2" s="1">
        <v>0</v>
      </c>
      <c r="II2" s="1">
        <v>0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0</v>
      </c>
      <c r="IP2" s="1">
        <v>0</v>
      </c>
      <c r="IQ2" s="1">
        <v>0</v>
      </c>
      <c r="IR2" s="1">
        <v>0</v>
      </c>
    </row>
    <row r="3" spans="1:252" x14ac:dyDescent="0.2">
      <c r="A3" s="1" t="str">
        <f>"9157042"</f>
        <v>9157042</v>
      </c>
      <c r="B3" s="1" t="str">
        <f>"كاظم آل بالدي"</f>
        <v>كاظم آل بالدي</v>
      </c>
      <c r="C3" s="1" t="str">
        <f t="shared" si="0"/>
        <v>توليد توسعه - دارخوين</v>
      </c>
      <c r="D3" s="1">
        <v>0</v>
      </c>
      <c r="E3" s="1">
        <v>13200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2849700</v>
      </c>
      <c r="W3" s="1">
        <v>200000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1100000</v>
      </c>
      <c r="AF3" s="1">
        <v>1012000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960000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9168240</v>
      </c>
      <c r="BI3" s="1">
        <v>0</v>
      </c>
      <c r="BJ3" s="1">
        <v>611952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775614</v>
      </c>
      <c r="BQ3" s="1">
        <v>0</v>
      </c>
      <c r="BR3" s="1">
        <v>130414</v>
      </c>
      <c r="BS3" s="1">
        <v>1388888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650000</v>
      </c>
      <c r="CI3" s="1">
        <v>2216038</v>
      </c>
      <c r="CJ3" s="1">
        <v>332405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13200</v>
      </c>
      <c r="CQ3" s="1">
        <v>12956976</v>
      </c>
      <c r="CR3" s="1">
        <v>15901892</v>
      </c>
      <c r="CS3" s="1">
        <v>2944916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1">
        <v>0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1388888</v>
      </c>
      <c r="GB3" s="1">
        <v>36111088</v>
      </c>
      <c r="GC3" s="1">
        <v>13888912</v>
      </c>
      <c r="GD3" s="1">
        <v>50000000</v>
      </c>
      <c r="GE3" s="1">
        <v>50000000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0</v>
      </c>
      <c r="GQ3" s="1">
        <v>0</v>
      </c>
      <c r="GR3" s="1">
        <v>0</v>
      </c>
      <c r="GS3" s="1">
        <v>0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0</v>
      </c>
      <c r="HP3" s="1">
        <v>0</v>
      </c>
      <c r="HQ3" s="1">
        <v>0</v>
      </c>
      <c r="HR3" s="1">
        <v>0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0</v>
      </c>
      <c r="IB3" s="1">
        <v>0</v>
      </c>
      <c r="IC3" s="1">
        <v>0</v>
      </c>
      <c r="ID3" s="1">
        <v>0</v>
      </c>
      <c r="IE3" s="1">
        <v>0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</row>
    <row r="4" spans="1:252" x14ac:dyDescent="0.2">
      <c r="A4" s="1" t="str">
        <f>"9157043"</f>
        <v>9157043</v>
      </c>
      <c r="B4" s="1" t="str">
        <f>"عبداله البوبالد"</f>
        <v>عبداله البوبالد</v>
      </c>
      <c r="C4" s="1" t="str">
        <f t="shared" si="0"/>
        <v>توليد توسعه - دارخوين</v>
      </c>
      <c r="D4" s="1">
        <v>0</v>
      </c>
      <c r="E4" s="1">
        <v>13200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712425</v>
      </c>
      <c r="W4" s="1">
        <v>200000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1100000</v>
      </c>
      <c r="AF4" s="1">
        <v>1012000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960000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10725600</v>
      </c>
      <c r="BI4" s="1">
        <v>0</v>
      </c>
      <c r="BJ4" s="1">
        <v>617952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885049</v>
      </c>
      <c r="BQ4" s="1">
        <v>0</v>
      </c>
      <c r="BR4" s="1">
        <v>100155</v>
      </c>
      <c r="BS4" s="1">
        <v>1388888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650000</v>
      </c>
      <c r="CI4" s="1">
        <v>2528710</v>
      </c>
      <c r="CJ4" s="1">
        <v>379307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13200</v>
      </c>
      <c r="CQ4" s="1">
        <v>12303885</v>
      </c>
      <c r="CR4" s="1">
        <v>15327977</v>
      </c>
      <c r="CS4" s="1">
        <v>3024092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</v>
      </c>
      <c r="GA4" s="1">
        <v>1388888</v>
      </c>
      <c r="GB4" s="1">
        <v>38888864</v>
      </c>
      <c r="GC4" s="1">
        <v>11111136</v>
      </c>
      <c r="GD4" s="1">
        <v>50000000</v>
      </c>
      <c r="GE4" s="1">
        <v>50000000</v>
      </c>
      <c r="GF4" s="1">
        <v>0</v>
      </c>
      <c r="GG4" s="1">
        <v>0</v>
      </c>
      <c r="GH4" s="1">
        <v>0</v>
      </c>
      <c r="GI4" s="1">
        <v>0</v>
      </c>
      <c r="GJ4" s="1">
        <v>0</v>
      </c>
      <c r="GK4" s="1">
        <v>0</v>
      </c>
      <c r="GL4" s="1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0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0</v>
      </c>
      <c r="HP4" s="1">
        <v>0</v>
      </c>
      <c r="HQ4" s="1">
        <v>0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0</v>
      </c>
      <c r="ID4" s="1">
        <v>0</v>
      </c>
      <c r="IE4" s="1">
        <v>0</v>
      </c>
      <c r="IF4" s="1">
        <v>0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</v>
      </c>
      <c r="IQ4" s="1">
        <v>0</v>
      </c>
      <c r="IR4" s="1">
        <v>0</v>
      </c>
    </row>
    <row r="5" spans="1:252" x14ac:dyDescent="0.2">
      <c r="A5" s="1" t="str">
        <f>"9157044"</f>
        <v>9157044</v>
      </c>
      <c r="B5" s="1" t="str">
        <f>"سعيد ال بوبالدي"</f>
        <v>سعيد ال بوبالدي</v>
      </c>
      <c r="C5" s="1" t="str">
        <f t="shared" si="0"/>
        <v>توليد توسعه - دارخوين</v>
      </c>
      <c r="D5" s="1">
        <v>0</v>
      </c>
      <c r="E5" s="1">
        <v>13200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2849700</v>
      </c>
      <c r="W5" s="1">
        <v>200000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1100000</v>
      </c>
      <c r="AF5" s="1">
        <v>1012000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960000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9168270</v>
      </c>
      <c r="BI5" s="1">
        <v>0</v>
      </c>
      <c r="BJ5" s="1">
        <v>599952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774776</v>
      </c>
      <c r="BQ5" s="1">
        <v>0</v>
      </c>
      <c r="BR5" s="1">
        <v>129828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2213644</v>
      </c>
      <c r="CJ5" s="1">
        <v>332047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13200</v>
      </c>
      <c r="CQ5" s="1">
        <v>14985318</v>
      </c>
      <c r="CR5" s="1">
        <v>15889922</v>
      </c>
      <c r="CS5" s="1">
        <v>904604</v>
      </c>
    </row>
    <row r="6" spans="1:252" x14ac:dyDescent="0.2">
      <c r="A6" s="1" t="str">
        <f>"9157045"</f>
        <v>9157045</v>
      </c>
      <c r="B6" s="1" t="str">
        <f>"شريف آلبوبالدي"</f>
        <v>شريف آلبوبالدي</v>
      </c>
      <c r="C6" s="1" t="str">
        <f t="shared" si="0"/>
        <v>توليد توسعه - دارخوين</v>
      </c>
      <c r="D6" s="1">
        <v>0</v>
      </c>
      <c r="E6" s="1">
        <v>13200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712425</v>
      </c>
      <c r="W6" s="1">
        <v>200000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1100000</v>
      </c>
      <c r="AF6" s="1">
        <v>1012000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960000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9168270</v>
      </c>
      <c r="BI6" s="1">
        <v>0</v>
      </c>
      <c r="BJ6" s="1">
        <v>599952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774776</v>
      </c>
      <c r="BQ6" s="1">
        <v>0</v>
      </c>
      <c r="BR6" s="1">
        <v>22964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650000</v>
      </c>
      <c r="CI6" s="1">
        <v>2213644</v>
      </c>
      <c r="CJ6" s="1">
        <v>332047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13200</v>
      </c>
      <c r="CQ6" s="1">
        <v>12304907</v>
      </c>
      <c r="CR6" s="1">
        <v>13752647</v>
      </c>
      <c r="CS6" s="1">
        <v>1447740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0</v>
      </c>
      <c r="IP6" s="1">
        <v>0</v>
      </c>
      <c r="IQ6" s="1">
        <v>0</v>
      </c>
      <c r="IR6" s="1">
        <v>0</v>
      </c>
    </row>
    <row r="7" spans="1:252" x14ac:dyDescent="0.2">
      <c r="A7" s="1" t="str">
        <f>"9157046"</f>
        <v>9157046</v>
      </c>
      <c r="B7" s="1" t="str">
        <f>"يعقوب آلبوبالدي"</f>
        <v>يعقوب آلبوبالدي</v>
      </c>
      <c r="C7" s="1" t="str">
        <f t="shared" si="0"/>
        <v>توليد توسعه - دارخوين</v>
      </c>
      <c r="D7" s="1">
        <v>0</v>
      </c>
      <c r="E7" s="1">
        <v>13200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2137275</v>
      </c>
      <c r="W7" s="1">
        <v>200000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1100000</v>
      </c>
      <c r="AF7" s="1">
        <v>1012000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960000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11893590</v>
      </c>
      <c r="BI7" s="1">
        <v>0</v>
      </c>
      <c r="BJ7" s="1">
        <v>635952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968068</v>
      </c>
      <c r="BQ7" s="1">
        <v>0</v>
      </c>
      <c r="BR7" s="1">
        <v>229511</v>
      </c>
      <c r="BS7" s="1">
        <v>1388888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650000</v>
      </c>
      <c r="CI7" s="1">
        <v>2765908</v>
      </c>
      <c r="CJ7" s="1">
        <v>414886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13200</v>
      </c>
      <c r="CQ7" s="1">
        <v>14702350</v>
      </c>
      <c r="CR7" s="1">
        <v>17938817</v>
      </c>
      <c r="CS7" s="1">
        <v>3236467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1388888</v>
      </c>
      <c r="GB7" s="1">
        <v>47222192</v>
      </c>
      <c r="GC7" s="1">
        <v>2777808</v>
      </c>
      <c r="GD7" s="1">
        <v>50000000</v>
      </c>
      <c r="GE7" s="1">
        <v>50000000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0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</row>
    <row r="8" spans="1:252" x14ac:dyDescent="0.2">
      <c r="A8" s="1" t="str">
        <f>"9157047"</f>
        <v>9157047</v>
      </c>
      <c r="B8" s="1" t="str">
        <f>"محمد البوغبيش"</f>
        <v>محمد البوغبيش</v>
      </c>
      <c r="C8" s="1" t="str">
        <f t="shared" si="0"/>
        <v>توليد توسعه - دارخوين</v>
      </c>
      <c r="D8" s="1">
        <v>0</v>
      </c>
      <c r="E8" s="1">
        <v>13200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200000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1100000</v>
      </c>
      <c r="AF8" s="1">
        <v>1012000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960000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11893590</v>
      </c>
      <c r="BI8" s="1">
        <v>0</v>
      </c>
      <c r="BJ8" s="1">
        <v>635952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968068</v>
      </c>
      <c r="BQ8" s="1">
        <v>0</v>
      </c>
      <c r="BR8" s="1">
        <v>122648</v>
      </c>
      <c r="BS8" s="1">
        <v>1361111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650000</v>
      </c>
      <c r="CI8" s="1">
        <v>2765908</v>
      </c>
      <c r="CJ8" s="1">
        <v>414886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13200</v>
      </c>
      <c r="CQ8" s="1">
        <v>12699715</v>
      </c>
      <c r="CR8" s="1">
        <v>15801542</v>
      </c>
      <c r="CS8" s="1">
        <v>3101827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1361111</v>
      </c>
      <c r="GB8" s="1">
        <v>13611110</v>
      </c>
      <c r="GC8" s="1">
        <v>35388890</v>
      </c>
      <c r="GD8" s="1">
        <v>49000000</v>
      </c>
      <c r="GE8" s="1">
        <v>49000000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  <c r="IQ8" s="1">
        <v>0</v>
      </c>
      <c r="IR8" s="1">
        <v>0</v>
      </c>
    </row>
    <row r="9" spans="1:252" x14ac:dyDescent="0.2">
      <c r="A9" s="1" t="str">
        <f>"9157049"</f>
        <v>9157049</v>
      </c>
      <c r="B9" s="1" t="str">
        <f>"عبدالامام بالدي"</f>
        <v>عبدالامام بالدي</v>
      </c>
      <c r="C9" s="1" t="str">
        <f t="shared" si="0"/>
        <v>توليد توسعه - دارخوين</v>
      </c>
      <c r="D9" s="1">
        <v>0</v>
      </c>
      <c r="E9" s="1">
        <v>13200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200000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1100000</v>
      </c>
      <c r="AF9" s="1">
        <v>1012000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960000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10725600</v>
      </c>
      <c r="BI9" s="1">
        <v>0</v>
      </c>
      <c r="BJ9" s="1">
        <v>617952</v>
      </c>
      <c r="BK9" s="1">
        <v>1051200</v>
      </c>
      <c r="BL9" s="1">
        <v>0</v>
      </c>
      <c r="BM9" s="1">
        <v>0</v>
      </c>
      <c r="BN9" s="1">
        <v>0</v>
      </c>
      <c r="BO9" s="1">
        <v>0</v>
      </c>
      <c r="BP9" s="1">
        <v>958633</v>
      </c>
      <c r="BQ9" s="1">
        <v>0</v>
      </c>
      <c r="BR9" s="1">
        <v>116043</v>
      </c>
      <c r="BS9" s="1">
        <v>2258888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650000</v>
      </c>
      <c r="CI9" s="1">
        <v>2738950</v>
      </c>
      <c r="CJ9" s="1">
        <v>410843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13200</v>
      </c>
      <c r="CQ9" s="1">
        <v>11683188</v>
      </c>
      <c r="CR9" s="1">
        <v>15666752</v>
      </c>
      <c r="CS9" s="1">
        <v>3983564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1388888</v>
      </c>
      <c r="GB9" s="1">
        <v>13888880</v>
      </c>
      <c r="GC9" s="1">
        <v>36111120</v>
      </c>
      <c r="GD9" s="1">
        <v>50000000</v>
      </c>
      <c r="GE9" s="1">
        <v>50000000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  <c r="GP9" s="1">
        <v>0</v>
      </c>
      <c r="GQ9" s="1">
        <v>0</v>
      </c>
      <c r="GR9" s="1">
        <v>0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</v>
      </c>
      <c r="HO9" s="1">
        <v>0</v>
      </c>
      <c r="HP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</v>
      </c>
      <c r="ID9" s="1">
        <v>0</v>
      </c>
      <c r="IE9" s="1">
        <v>870000</v>
      </c>
      <c r="IF9" s="1">
        <v>0</v>
      </c>
      <c r="IG9" s="1">
        <v>0</v>
      </c>
      <c r="IH9" s="1">
        <v>0</v>
      </c>
      <c r="II9" s="1">
        <v>0</v>
      </c>
      <c r="IJ9" s="1">
        <v>0</v>
      </c>
      <c r="IK9" s="1">
        <v>0</v>
      </c>
      <c r="IL9" s="1">
        <v>0</v>
      </c>
      <c r="IM9" s="1">
        <v>0</v>
      </c>
      <c r="IN9" s="1">
        <v>0</v>
      </c>
      <c r="IO9" s="1">
        <v>0</v>
      </c>
      <c r="IP9" s="1">
        <v>0</v>
      </c>
      <c r="IQ9" s="1">
        <v>0</v>
      </c>
      <c r="IR9" s="1">
        <v>0</v>
      </c>
    </row>
    <row r="10" spans="1:252" x14ac:dyDescent="0.2">
      <c r="A10" s="1" t="str">
        <f>"9157050"</f>
        <v>9157050</v>
      </c>
      <c r="B10" s="1" t="str">
        <f>"حسين باوي"</f>
        <v>حسين باوي</v>
      </c>
      <c r="C10" s="1" t="str">
        <f t="shared" si="0"/>
        <v>توليد توسعه - دارخوين</v>
      </c>
      <c r="D10" s="1">
        <v>0</v>
      </c>
      <c r="E10" s="1">
        <v>13200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2849700</v>
      </c>
      <c r="W10" s="1">
        <v>200000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1100000</v>
      </c>
      <c r="AF10" s="1">
        <v>1012000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960000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10141620</v>
      </c>
      <c r="BI10" s="1">
        <v>0</v>
      </c>
      <c r="BJ10" s="1">
        <v>611952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843750</v>
      </c>
      <c r="BQ10" s="1">
        <v>0</v>
      </c>
      <c r="BR10" s="1">
        <v>178110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650000</v>
      </c>
      <c r="CI10" s="1">
        <v>2410714</v>
      </c>
      <c r="CJ10" s="1">
        <v>361607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13200</v>
      </c>
      <c r="CQ10" s="1">
        <v>15203412</v>
      </c>
      <c r="CR10" s="1">
        <v>16875272</v>
      </c>
      <c r="CS10" s="1">
        <v>1671860</v>
      </c>
    </row>
    <row r="11" spans="1:252" x14ac:dyDescent="0.2">
      <c r="A11" s="1" t="str">
        <f>"9157053"</f>
        <v>9157053</v>
      </c>
      <c r="B11" s="1" t="str">
        <f>"عظيم باوي سويره"</f>
        <v>عظيم باوي سويره</v>
      </c>
      <c r="C11" s="1" t="str">
        <f t="shared" si="0"/>
        <v>توليد توسعه - دارخوين</v>
      </c>
      <c r="D11" s="1">
        <v>0</v>
      </c>
      <c r="E11" s="1">
        <v>13200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712425</v>
      </c>
      <c r="W11" s="1">
        <v>200000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1100000</v>
      </c>
      <c r="AF11" s="1">
        <v>1012000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960000</v>
      </c>
      <c r="BC11" s="1">
        <v>0</v>
      </c>
      <c r="BD11" s="1">
        <v>420358</v>
      </c>
      <c r="BE11" s="1">
        <v>0</v>
      </c>
      <c r="BF11" s="1">
        <v>0</v>
      </c>
      <c r="BG11" s="1">
        <v>0</v>
      </c>
      <c r="BH11" s="1">
        <v>8000250</v>
      </c>
      <c r="BI11" s="1">
        <v>291990</v>
      </c>
      <c r="BJ11" s="1">
        <v>581952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741619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650000</v>
      </c>
      <c r="CI11" s="1">
        <v>2118910</v>
      </c>
      <c r="CJ11" s="1">
        <v>317837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13200</v>
      </c>
      <c r="CQ11" s="1">
        <v>11887356</v>
      </c>
      <c r="CR11" s="1">
        <v>13278975</v>
      </c>
      <c r="CS11" s="1">
        <v>1391619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M11" s="1">
        <v>0</v>
      </c>
      <c r="HN11" s="1">
        <v>0</v>
      </c>
      <c r="HO11" s="1">
        <v>0</v>
      </c>
      <c r="HP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0</v>
      </c>
      <c r="IA11" s="1">
        <v>0</v>
      </c>
      <c r="IB11" s="1">
        <v>0</v>
      </c>
      <c r="IC11" s="1">
        <v>0</v>
      </c>
      <c r="ID11" s="1">
        <v>0</v>
      </c>
      <c r="IE11" s="1">
        <v>0</v>
      </c>
      <c r="IF11" s="1">
        <v>0</v>
      </c>
      <c r="IG11" s="1">
        <v>0</v>
      </c>
      <c r="IH11" s="1">
        <v>0</v>
      </c>
      <c r="II11" s="1">
        <v>0</v>
      </c>
      <c r="IJ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  <c r="IQ11" s="1">
        <v>0</v>
      </c>
      <c r="IR11" s="1">
        <v>0</v>
      </c>
    </row>
    <row r="12" spans="1:252" x14ac:dyDescent="0.2">
      <c r="A12" s="1" t="str">
        <f>"9157054"</f>
        <v>9157054</v>
      </c>
      <c r="B12" s="1" t="str">
        <f>"عارف باوي فرد"</f>
        <v>عارف باوي فرد</v>
      </c>
      <c r="C12" s="1" t="str">
        <f t="shared" si="0"/>
        <v>توليد توسعه - دارخوين</v>
      </c>
      <c r="D12" s="1">
        <v>0</v>
      </c>
      <c r="E12" s="1">
        <v>13200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200000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1100000</v>
      </c>
      <c r="AF12" s="1">
        <v>1012000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960000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8778930</v>
      </c>
      <c r="BI12" s="1">
        <v>389340</v>
      </c>
      <c r="BJ12" s="1">
        <v>593952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774356</v>
      </c>
      <c r="BQ12" s="1">
        <v>0</v>
      </c>
      <c r="BR12" s="1">
        <v>0</v>
      </c>
      <c r="BS12" s="1">
        <v>1388888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650000</v>
      </c>
      <c r="CI12" s="1">
        <v>2212444</v>
      </c>
      <c r="CJ12" s="1">
        <v>331867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13200</v>
      </c>
      <c r="CQ12" s="1">
        <v>10220978</v>
      </c>
      <c r="CR12" s="1">
        <v>13034222</v>
      </c>
      <c r="CS12" s="1">
        <v>2813244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1388888</v>
      </c>
      <c r="GB12" s="1">
        <v>36111088</v>
      </c>
      <c r="GC12" s="1">
        <v>13888912</v>
      </c>
      <c r="GD12" s="1">
        <v>50000000</v>
      </c>
      <c r="GE12" s="1">
        <v>50000000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0</v>
      </c>
      <c r="HP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0</v>
      </c>
      <c r="IC12" s="1">
        <v>0</v>
      </c>
      <c r="ID12" s="1">
        <v>0</v>
      </c>
      <c r="IE12" s="1">
        <v>0</v>
      </c>
      <c r="IF12" s="1">
        <v>0</v>
      </c>
      <c r="IG12" s="1">
        <v>0</v>
      </c>
      <c r="IH12" s="1">
        <v>0</v>
      </c>
      <c r="II12" s="1">
        <v>0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0</v>
      </c>
      <c r="IQ12" s="1">
        <v>0</v>
      </c>
      <c r="IR12" s="1">
        <v>0</v>
      </c>
    </row>
    <row r="13" spans="1:252" x14ac:dyDescent="0.2">
      <c r="A13" s="1" t="str">
        <f>"9157055"</f>
        <v>9157055</v>
      </c>
      <c r="B13" s="1" t="str">
        <f>"نجم باوي فرد"</f>
        <v>نجم باوي فرد</v>
      </c>
      <c r="C13" s="1" t="str">
        <f t="shared" si="0"/>
        <v>توليد توسعه - دارخوين</v>
      </c>
      <c r="D13" s="1">
        <v>0</v>
      </c>
      <c r="E13" s="1">
        <v>13200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712425</v>
      </c>
      <c r="W13" s="1">
        <v>200000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1100000</v>
      </c>
      <c r="AF13" s="1">
        <v>1012000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960000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9168270</v>
      </c>
      <c r="BI13" s="1">
        <v>0</v>
      </c>
      <c r="BJ13" s="1">
        <v>599952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774776</v>
      </c>
      <c r="BQ13" s="1">
        <v>0</v>
      </c>
      <c r="BR13" s="1">
        <v>22964</v>
      </c>
      <c r="BS13" s="1">
        <v>1388888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650000</v>
      </c>
      <c r="CI13" s="1">
        <v>2213644</v>
      </c>
      <c r="CJ13" s="1">
        <v>332047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13200</v>
      </c>
      <c r="CQ13" s="1">
        <v>10916019</v>
      </c>
      <c r="CR13" s="1">
        <v>13752647</v>
      </c>
      <c r="CS13" s="1">
        <v>2836628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1388888</v>
      </c>
      <c r="GB13" s="1">
        <v>34722200</v>
      </c>
      <c r="GC13" s="1">
        <v>15277800</v>
      </c>
      <c r="GD13" s="1">
        <v>50000000</v>
      </c>
      <c r="GE13" s="1">
        <v>50000000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  <c r="IQ13" s="1">
        <v>0</v>
      </c>
      <c r="IR13" s="1">
        <v>0</v>
      </c>
    </row>
    <row r="14" spans="1:252" x14ac:dyDescent="0.2">
      <c r="A14" s="1" t="str">
        <f>"9157056"</f>
        <v>9157056</v>
      </c>
      <c r="B14" s="1" t="str">
        <f>"سعيد بدوي"</f>
        <v>سعيد بدوي</v>
      </c>
      <c r="C14" s="1" t="str">
        <f t="shared" si="0"/>
        <v>توليد توسعه - دارخوين</v>
      </c>
      <c r="D14" s="1">
        <v>0</v>
      </c>
      <c r="E14" s="1">
        <v>13200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1424850</v>
      </c>
      <c r="W14" s="1">
        <v>200000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1100000</v>
      </c>
      <c r="AF14" s="1">
        <v>1012000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960000</v>
      </c>
      <c r="BC14" s="1">
        <v>0</v>
      </c>
      <c r="BD14" s="1">
        <v>243008</v>
      </c>
      <c r="BE14" s="1">
        <v>0</v>
      </c>
      <c r="BF14" s="1">
        <v>0</v>
      </c>
      <c r="BG14" s="1">
        <v>0</v>
      </c>
      <c r="BH14" s="1">
        <v>8778930</v>
      </c>
      <c r="BI14" s="1">
        <v>0</v>
      </c>
      <c r="BJ14" s="1">
        <v>593952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764112</v>
      </c>
      <c r="BQ14" s="1">
        <v>0</v>
      </c>
      <c r="BR14" s="1">
        <v>51120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650000</v>
      </c>
      <c r="CI14" s="1">
        <v>2183178</v>
      </c>
      <c r="CJ14" s="1">
        <v>327477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13200</v>
      </c>
      <c r="CQ14" s="1">
        <v>12847508</v>
      </c>
      <c r="CR14" s="1">
        <v>14312740</v>
      </c>
      <c r="CS14" s="1">
        <v>1465232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  <c r="IP14" s="1">
        <v>0</v>
      </c>
      <c r="IQ14" s="1">
        <v>0</v>
      </c>
      <c r="IR14" s="1">
        <v>0</v>
      </c>
    </row>
    <row r="15" spans="1:252" x14ac:dyDescent="0.2">
      <c r="A15" s="1" t="str">
        <f>"9157057"</f>
        <v>9157057</v>
      </c>
      <c r="B15" s="1" t="str">
        <f>"عباس بدوي"</f>
        <v>عباس بدوي</v>
      </c>
      <c r="C15" s="1" t="str">
        <f t="shared" si="0"/>
        <v>توليد توسعه - دارخوين</v>
      </c>
      <c r="D15" s="1">
        <v>0</v>
      </c>
      <c r="E15" s="1">
        <v>13200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2849700</v>
      </c>
      <c r="W15" s="1">
        <v>200000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1100000</v>
      </c>
      <c r="AF15" s="1">
        <v>1012000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960000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10141620</v>
      </c>
      <c r="BI15" s="1">
        <v>0</v>
      </c>
      <c r="BJ15" s="1">
        <v>611952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843750</v>
      </c>
      <c r="BQ15" s="1">
        <v>0</v>
      </c>
      <c r="BR15" s="1">
        <v>178110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650000</v>
      </c>
      <c r="CI15" s="1">
        <v>2410714</v>
      </c>
      <c r="CJ15" s="1">
        <v>361607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13200</v>
      </c>
      <c r="CQ15" s="1">
        <v>15203412</v>
      </c>
      <c r="CR15" s="1">
        <v>16875272</v>
      </c>
      <c r="CS15" s="1">
        <v>1671860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0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0</v>
      </c>
      <c r="IF15" s="1">
        <v>0</v>
      </c>
      <c r="IG15" s="1">
        <v>0</v>
      </c>
      <c r="IH15" s="1">
        <v>0</v>
      </c>
      <c r="II15" s="1">
        <v>0</v>
      </c>
      <c r="IJ15" s="1">
        <v>0</v>
      </c>
      <c r="IK15" s="1">
        <v>0</v>
      </c>
      <c r="IL15" s="1">
        <v>0</v>
      </c>
      <c r="IM15" s="1">
        <v>0</v>
      </c>
      <c r="IN15" s="1">
        <v>0</v>
      </c>
      <c r="IO15" s="1">
        <v>0</v>
      </c>
      <c r="IP15" s="1">
        <v>0</v>
      </c>
      <c r="IQ15" s="1">
        <v>0</v>
      </c>
      <c r="IR15" s="1">
        <v>0</v>
      </c>
    </row>
    <row r="16" spans="1:252" x14ac:dyDescent="0.2">
      <c r="A16" s="1" t="str">
        <f>"9157058"</f>
        <v>9157058</v>
      </c>
      <c r="B16" s="1" t="str">
        <f>"طاهر پورحزبه"</f>
        <v>طاهر پورحزبه</v>
      </c>
      <c r="C16" s="1" t="str">
        <f t="shared" si="0"/>
        <v>توليد توسعه - دارخوين</v>
      </c>
      <c r="D16" s="1">
        <v>0</v>
      </c>
      <c r="E16" s="1">
        <v>13200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1100000</v>
      </c>
      <c r="AF16" s="1">
        <v>1012000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960000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10141620</v>
      </c>
      <c r="BI16" s="1">
        <v>0</v>
      </c>
      <c r="BJ16" s="1">
        <v>611952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843750</v>
      </c>
      <c r="BQ16" s="1">
        <v>0</v>
      </c>
      <c r="BR16" s="1">
        <v>35625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2410714</v>
      </c>
      <c r="CJ16" s="1">
        <v>361607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13200</v>
      </c>
      <c r="CQ16" s="1">
        <v>13146197</v>
      </c>
      <c r="CR16" s="1">
        <v>14025572</v>
      </c>
      <c r="CS16" s="1">
        <v>879375</v>
      </c>
    </row>
    <row r="17" spans="1:252" x14ac:dyDescent="0.2">
      <c r="A17" s="1" t="str">
        <f>"9157059"</f>
        <v>9157059</v>
      </c>
      <c r="B17" s="1" t="str">
        <f>"رحمه سياحي"</f>
        <v>رحمه سياحي</v>
      </c>
      <c r="C17" s="1" t="str">
        <f t="shared" si="0"/>
        <v>توليد توسعه - دارخوين</v>
      </c>
      <c r="D17" s="1">
        <v>0</v>
      </c>
      <c r="E17" s="1">
        <v>13200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1424850</v>
      </c>
      <c r="W17" s="1">
        <v>200000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1100000</v>
      </c>
      <c r="AF17" s="1">
        <v>1012000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960000</v>
      </c>
      <c r="BC17" s="1">
        <v>0</v>
      </c>
      <c r="BD17" s="1">
        <v>194529</v>
      </c>
      <c r="BE17" s="1">
        <v>0</v>
      </c>
      <c r="BF17" s="1">
        <v>0</v>
      </c>
      <c r="BG17" s="1">
        <v>0</v>
      </c>
      <c r="BH17" s="1">
        <v>8000250</v>
      </c>
      <c r="BI17" s="1">
        <v>291990</v>
      </c>
      <c r="BJ17" s="1">
        <v>581952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725810</v>
      </c>
      <c r="BQ17" s="1">
        <v>0</v>
      </c>
      <c r="BR17" s="1">
        <v>24310</v>
      </c>
      <c r="BS17" s="1">
        <v>1388888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650000</v>
      </c>
      <c r="CI17" s="1">
        <v>2073744</v>
      </c>
      <c r="CJ17" s="1">
        <v>311062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13200</v>
      </c>
      <c r="CQ17" s="1">
        <v>10976563</v>
      </c>
      <c r="CR17" s="1">
        <v>13765571</v>
      </c>
      <c r="CS17" s="1">
        <v>2789008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1388888</v>
      </c>
      <c r="GB17" s="1">
        <v>13888880</v>
      </c>
      <c r="GC17" s="1">
        <v>36111120</v>
      </c>
      <c r="GD17" s="1">
        <v>50000000</v>
      </c>
      <c r="GE17" s="1">
        <v>50000000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0</v>
      </c>
      <c r="IF17" s="1">
        <v>0</v>
      </c>
      <c r="IG17" s="1">
        <v>0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0</v>
      </c>
      <c r="IO17" s="1">
        <v>0</v>
      </c>
      <c r="IP17" s="1">
        <v>0</v>
      </c>
      <c r="IQ17" s="1">
        <v>0</v>
      </c>
      <c r="IR17" s="1">
        <v>0</v>
      </c>
    </row>
    <row r="18" spans="1:252" x14ac:dyDescent="0.2">
      <c r="A18" s="1" t="str">
        <f>"9157060"</f>
        <v>9157060</v>
      </c>
      <c r="B18" s="1" t="str">
        <f>"مرد سياحي"</f>
        <v>مرد سياحي</v>
      </c>
      <c r="C18" s="1" t="str">
        <f t="shared" si="0"/>
        <v>توليد توسعه - دارخوين</v>
      </c>
      <c r="D18" s="1">
        <v>0</v>
      </c>
      <c r="E18" s="1">
        <v>13200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1424850</v>
      </c>
      <c r="W18" s="1">
        <v>200000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1100000</v>
      </c>
      <c r="AF18" s="1">
        <v>1012000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960000</v>
      </c>
      <c r="BC18" s="1">
        <v>0</v>
      </c>
      <c r="BD18" s="1">
        <v>724813</v>
      </c>
      <c r="BE18" s="1">
        <v>0</v>
      </c>
      <c r="BF18" s="1">
        <v>0</v>
      </c>
      <c r="BG18" s="1">
        <v>0</v>
      </c>
      <c r="BH18" s="1">
        <v>8000250</v>
      </c>
      <c r="BI18" s="1">
        <v>0</v>
      </c>
      <c r="BJ18" s="1">
        <v>581952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742491</v>
      </c>
      <c r="BQ18" s="1">
        <v>0</v>
      </c>
      <c r="BR18" s="1">
        <v>35986</v>
      </c>
      <c r="BS18" s="1">
        <v>1388888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650000</v>
      </c>
      <c r="CI18" s="1">
        <v>2121403</v>
      </c>
      <c r="CJ18" s="1">
        <v>318210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13200</v>
      </c>
      <c r="CQ18" s="1">
        <v>11186500</v>
      </c>
      <c r="CR18" s="1">
        <v>14003865</v>
      </c>
      <c r="CS18" s="1">
        <v>2817365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1388888</v>
      </c>
      <c r="GB18" s="1">
        <v>19444464</v>
      </c>
      <c r="GC18" s="1">
        <v>30555536</v>
      </c>
      <c r="GD18" s="1">
        <v>50000000</v>
      </c>
      <c r="GE18" s="1">
        <v>50000000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</row>
    <row r="19" spans="1:252" x14ac:dyDescent="0.2">
      <c r="A19" s="1" t="str">
        <f>"9157065"</f>
        <v>9157065</v>
      </c>
      <c r="B19" s="1" t="str">
        <f>"رحيم عقباوي"</f>
        <v>رحيم عقباوي</v>
      </c>
      <c r="C19" s="1" t="str">
        <f t="shared" si="0"/>
        <v>توليد توسعه - دارخوين</v>
      </c>
      <c r="D19" s="1">
        <v>0</v>
      </c>
      <c r="E19" s="1">
        <v>13200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2137275</v>
      </c>
      <c r="W19" s="1">
        <v>200000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1100000</v>
      </c>
      <c r="AF19" s="1">
        <v>1012000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960000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9168270</v>
      </c>
      <c r="BI19" s="1">
        <v>0</v>
      </c>
      <c r="BJ19" s="1">
        <v>599952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774776</v>
      </c>
      <c r="BQ19" s="1">
        <v>0</v>
      </c>
      <c r="BR19" s="1">
        <v>94207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650000</v>
      </c>
      <c r="CI19" s="1">
        <v>2213644</v>
      </c>
      <c r="CJ19" s="1">
        <v>332047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13200</v>
      </c>
      <c r="CQ19" s="1">
        <v>13658514</v>
      </c>
      <c r="CR19" s="1">
        <v>15177497</v>
      </c>
      <c r="CS19" s="1">
        <v>1518983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v>0</v>
      </c>
      <c r="IR19" s="1">
        <v>0</v>
      </c>
    </row>
    <row r="20" spans="1:252" x14ac:dyDescent="0.2">
      <c r="A20" s="1" t="str">
        <f>"9157066"</f>
        <v>9157066</v>
      </c>
      <c r="B20" s="1" t="str">
        <f>"جمشيد فرحانيان"</f>
        <v>جمشيد فرحانيان</v>
      </c>
      <c r="C20" s="1" t="str">
        <f t="shared" si="0"/>
        <v>توليد توسعه - دارخوين</v>
      </c>
      <c r="D20" s="1">
        <v>0</v>
      </c>
      <c r="E20" s="1">
        <v>13200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2849700</v>
      </c>
      <c r="W20" s="1">
        <v>200000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1100000</v>
      </c>
      <c r="AF20" s="1">
        <v>1012000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2327255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960000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10725600</v>
      </c>
      <c r="BI20" s="1">
        <v>0</v>
      </c>
      <c r="BJ20" s="1">
        <v>605952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884209</v>
      </c>
      <c r="BQ20" s="1">
        <v>0</v>
      </c>
      <c r="BR20" s="1">
        <v>206431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650000</v>
      </c>
      <c r="CI20" s="1">
        <v>2526310</v>
      </c>
      <c r="CJ20" s="1">
        <v>378947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13200</v>
      </c>
      <c r="CQ20" s="1">
        <v>18039867</v>
      </c>
      <c r="CR20" s="1">
        <v>19780507</v>
      </c>
      <c r="CS20" s="1">
        <v>1740640</v>
      </c>
    </row>
    <row r="21" spans="1:252" x14ac:dyDescent="0.2">
      <c r="A21" s="1" t="str">
        <f>"9157068"</f>
        <v>9157068</v>
      </c>
      <c r="B21" s="1" t="str">
        <f>"مجتبي قنواتي زاده"</f>
        <v>مجتبي قنواتي زاده</v>
      </c>
      <c r="C21" s="1" t="str">
        <f t="shared" si="0"/>
        <v>توليد توسعه - دارخوين</v>
      </c>
      <c r="D21" s="1">
        <v>0</v>
      </c>
      <c r="E21" s="1">
        <v>13200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1424850</v>
      </c>
      <c r="W21" s="1">
        <v>200000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1100000</v>
      </c>
      <c r="AF21" s="1">
        <v>1012000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960000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9168270</v>
      </c>
      <c r="BI21" s="1">
        <v>0</v>
      </c>
      <c r="BJ21" s="1">
        <v>599952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774776</v>
      </c>
      <c r="BQ21" s="1">
        <v>0</v>
      </c>
      <c r="BR21" s="1">
        <v>58585</v>
      </c>
      <c r="BS21" s="1">
        <v>1388888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650000</v>
      </c>
      <c r="CI21" s="1">
        <v>2213644</v>
      </c>
      <c r="CJ21" s="1">
        <v>332047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13200</v>
      </c>
      <c r="CQ21" s="1">
        <v>11592823</v>
      </c>
      <c r="CR21" s="1">
        <v>14465072</v>
      </c>
      <c r="CS21" s="1">
        <v>2872249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1388888</v>
      </c>
      <c r="GB21" s="1">
        <v>38888864</v>
      </c>
      <c r="GC21" s="1">
        <v>11111136</v>
      </c>
      <c r="GD21" s="1">
        <v>50000000</v>
      </c>
      <c r="GE21" s="1">
        <v>50000000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0</v>
      </c>
      <c r="HR21" s="1">
        <v>0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0</v>
      </c>
      <c r="IE21" s="1">
        <v>0</v>
      </c>
      <c r="IF21" s="1">
        <v>0</v>
      </c>
      <c r="IG21" s="1">
        <v>0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0</v>
      </c>
      <c r="IN21" s="1">
        <v>0</v>
      </c>
      <c r="IO21" s="1">
        <v>0</v>
      </c>
      <c r="IP21" s="1">
        <v>0</v>
      </c>
      <c r="IQ21" s="1">
        <v>0</v>
      </c>
      <c r="IR21" s="1">
        <v>0</v>
      </c>
    </row>
    <row r="22" spans="1:252" x14ac:dyDescent="0.2">
      <c r="A22" s="1" t="str">
        <f>"9157069"</f>
        <v>9157069</v>
      </c>
      <c r="B22" s="1" t="str">
        <f>"رضا محمدحسيني"</f>
        <v>رضا محمدحسيني</v>
      </c>
      <c r="C22" s="1" t="str">
        <f t="shared" si="0"/>
        <v>توليد توسعه - دارخوين</v>
      </c>
      <c r="D22" s="1">
        <v>0</v>
      </c>
      <c r="E22" s="1">
        <v>13200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712425</v>
      </c>
      <c r="W22" s="1">
        <v>200000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1100000</v>
      </c>
      <c r="AF22" s="1">
        <v>1012000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960000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11893590</v>
      </c>
      <c r="BI22" s="1">
        <v>0</v>
      </c>
      <c r="BJ22" s="1">
        <v>635952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968068</v>
      </c>
      <c r="BQ22" s="1">
        <v>0</v>
      </c>
      <c r="BR22" s="1">
        <v>158268</v>
      </c>
      <c r="BS22" s="1">
        <v>1823920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650000</v>
      </c>
      <c r="CI22" s="1">
        <v>2765908</v>
      </c>
      <c r="CJ22" s="1">
        <v>414886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13200</v>
      </c>
      <c r="CQ22" s="1">
        <v>12913711</v>
      </c>
      <c r="CR22" s="1">
        <v>16513967</v>
      </c>
      <c r="CS22" s="1">
        <v>3600256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1388920</v>
      </c>
      <c r="GB22" s="1">
        <v>48611080</v>
      </c>
      <c r="GC22" s="1">
        <v>1388920</v>
      </c>
      <c r="GD22" s="1">
        <v>50000000</v>
      </c>
      <c r="GE22" s="1">
        <v>50000000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  <c r="ID22" s="1">
        <v>0</v>
      </c>
      <c r="IE22" s="1">
        <v>435000</v>
      </c>
      <c r="IF22" s="1">
        <v>0</v>
      </c>
      <c r="IG22" s="1">
        <v>0</v>
      </c>
      <c r="IH22" s="1">
        <v>0</v>
      </c>
      <c r="II22" s="1">
        <v>0</v>
      </c>
      <c r="IJ22" s="1">
        <v>0</v>
      </c>
      <c r="IK22" s="1">
        <v>0</v>
      </c>
      <c r="IL22" s="1">
        <v>0</v>
      </c>
      <c r="IM22" s="1">
        <v>0</v>
      </c>
      <c r="IN22" s="1">
        <v>0</v>
      </c>
      <c r="IO22" s="1">
        <v>0</v>
      </c>
      <c r="IP22" s="1">
        <v>0</v>
      </c>
      <c r="IQ22" s="1">
        <v>0</v>
      </c>
      <c r="IR22" s="1">
        <v>0</v>
      </c>
    </row>
    <row r="23" spans="1:252" x14ac:dyDescent="0.2">
      <c r="A23" s="1" t="str">
        <f>"9157070"</f>
        <v>9157070</v>
      </c>
      <c r="B23" s="1" t="str">
        <f>"فاضل مقدم"</f>
        <v>فاضل مقدم</v>
      </c>
      <c r="C23" s="1" t="str">
        <f t="shared" si="0"/>
        <v>توليد توسعه - دارخوين</v>
      </c>
      <c r="D23" s="1">
        <v>0</v>
      </c>
      <c r="E23" s="1">
        <v>13200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2137275</v>
      </c>
      <c r="W23" s="1">
        <v>200000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1100000</v>
      </c>
      <c r="AF23" s="1">
        <v>1012000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960000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9654930</v>
      </c>
      <c r="BI23" s="1">
        <v>0</v>
      </c>
      <c r="BJ23" s="1">
        <v>605952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809262</v>
      </c>
      <c r="BQ23" s="1">
        <v>0</v>
      </c>
      <c r="BR23" s="1">
        <v>118346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2312176</v>
      </c>
      <c r="CJ23" s="1">
        <v>346826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13200</v>
      </c>
      <c r="CQ23" s="1">
        <v>14742549</v>
      </c>
      <c r="CR23" s="1">
        <v>15670157</v>
      </c>
      <c r="CS23" s="1">
        <v>927608</v>
      </c>
    </row>
    <row r="24" spans="1:252" x14ac:dyDescent="0.2">
      <c r="A24" s="1" t="str">
        <f>"9157072"</f>
        <v>9157072</v>
      </c>
      <c r="B24" s="1" t="str">
        <f>"محمدامين نادري"</f>
        <v>محمدامين نادري</v>
      </c>
      <c r="C24" s="1" t="str">
        <f t="shared" si="0"/>
        <v>توليد توسعه - دارخوين</v>
      </c>
      <c r="D24" s="1">
        <v>0</v>
      </c>
      <c r="E24" s="1">
        <v>13200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712425</v>
      </c>
      <c r="W24" s="1">
        <v>200000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1100000</v>
      </c>
      <c r="AF24" s="1">
        <v>1012000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960000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8389590</v>
      </c>
      <c r="BI24" s="1">
        <v>0</v>
      </c>
      <c r="BJ24" s="1">
        <v>599952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720268</v>
      </c>
      <c r="BQ24" s="1">
        <v>0</v>
      </c>
      <c r="BR24" s="1">
        <v>-15191</v>
      </c>
      <c r="BS24" s="1">
        <v>1388888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650000</v>
      </c>
      <c r="CI24" s="1">
        <v>2057908</v>
      </c>
      <c r="CJ24" s="1">
        <v>308685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13200</v>
      </c>
      <c r="CQ24" s="1">
        <v>10230002</v>
      </c>
      <c r="CR24" s="1">
        <v>12973967</v>
      </c>
      <c r="CS24" s="1">
        <v>2743965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1388888</v>
      </c>
      <c r="GB24" s="1">
        <v>20833320</v>
      </c>
      <c r="GC24" s="1">
        <v>29166680</v>
      </c>
      <c r="GD24" s="1">
        <v>50000000</v>
      </c>
      <c r="GE24" s="1">
        <v>50000000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  <c r="IF24" s="1">
        <v>0</v>
      </c>
      <c r="IG24" s="1">
        <v>0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  <c r="IQ24" s="1">
        <v>0</v>
      </c>
      <c r="IR24" s="1">
        <v>0</v>
      </c>
    </row>
    <row r="25" spans="1:252" x14ac:dyDescent="0.2">
      <c r="A25" s="1" t="str">
        <f>"9157075"</f>
        <v>9157075</v>
      </c>
      <c r="B25" s="1" t="str">
        <f>"علي پورحزبه"</f>
        <v>علي پورحزبه</v>
      </c>
      <c r="C25" s="1" t="str">
        <f t="shared" si="0"/>
        <v>توليد توسعه - دارخوين</v>
      </c>
      <c r="D25" s="1">
        <v>0</v>
      </c>
      <c r="E25" s="1">
        <v>13200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712425</v>
      </c>
      <c r="W25" s="1">
        <v>200000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1100000</v>
      </c>
      <c r="AF25" s="1">
        <v>1012000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960000</v>
      </c>
      <c r="BC25" s="1">
        <v>0</v>
      </c>
      <c r="BD25" s="1">
        <v>46155</v>
      </c>
      <c r="BE25" s="1">
        <v>0</v>
      </c>
      <c r="BF25" s="1">
        <v>0</v>
      </c>
      <c r="BG25" s="1">
        <v>0</v>
      </c>
      <c r="BH25" s="1">
        <v>9557610</v>
      </c>
      <c r="BI25" s="1">
        <v>0</v>
      </c>
      <c r="BJ25" s="1">
        <v>593952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804839</v>
      </c>
      <c r="BQ25" s="1">
        <v>0</v>
      </c>
      <c r="BR25" s="1">
        <v>44010</v>
      </c>
      <c r="BS25" s="1">
        <v>1388888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650000</v>
      </c>
      <c r="CI25" s="1">
        <v>2299543</v>
      </c>
      <c r="CJ25" s="1">
        <v>344931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13200</v>
      </c>
      <c r="CQ25" s="1">
        <v>11294405</v>
      </c>
      <c r="CR25" s="1">
        <v>14182142</v>
      </c>
      <c r="CS25" s="1">
        <v>2887737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1388888</v>
      </c>
      <c r="GB25" s="1">
        <v>29166648</v>
      </c>
      <c r="GC25" s="1">
        <v>20833352</v>
      </c>
      <c r="GD25" s="1">
        <v>50000000</v>
      </c>
      <c r="GE25" s="1">
        <v>50000000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0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0</v>
      </c>
      <c r="IF25" s="1">
        <v>0</v>
      </c>
      <c r="IG25" s="1">
        <v>0</v>
      </c>
      <c r="IH25" s="1">
        <v>0</v>
      </c>
      <c r="II25" s="1">
        <v>0</v>
      </c>
      <c r="IJ25" s="1">
        <v>0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v>0</v>
      </c>
      <c r="IR25" s="1">
        <v>0</v>
      </c>
    </row>
    <row r="26" spans="1:252" x14ac:dyDescent="0.2">
      <c r="A26" s="1" t="str">
        <f>"9157077"</f>
        <v>9157077</v>
      </c>
      <c r="B26" s="1" t="str">
        <f>"جاسم جامدي باوي"</f>
        <v>جاسم جامدي باوي</v>
      </c>
      <c r="C26" s="1" t="str">
        <f t="shared" si="0"/>
        <v>توليد توسعه - دارخوين</v>
      </c>
      <c r="D26" s="1">
        <v>0</v>
      </c>
      <c r="E26" s="1">
        <v>13200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1424850</v>
      </c>
      <c r="W26" s="1">
        <v>200000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1100000</v>
      </c>
      <c r="AF26" s="1">
        <v>1012000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960000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8778930</v>
      </c>
      <c r="BI26" s="1">
        <v>389340</v>
      </c>
      <c r="BJ26" s="1">
        <v>593952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774356</v>
      </c>
      <c r="BQ26" s="1">
        <v>0</v>
      </c>
      <c r="BR26" s="1">
        <v>58292</v>
      </c>
      <c r="BS26" s="1">
        <v>1388888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650000</v>
      </c>
      <c r="CI26" s="1">
        <v>2212444</v>
      </c>
      <c r="CJ26" s="1">
        <v>331867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13200</v>
      </c>
      <c r="CQ26" s="1">
        <v>11587536</v>
      </c>
      <c r="CR26" s="1">
        <v>14459072</v>
      </c>
      <c r="CS26" s="1">
        <v>2871536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1388888</v>
      </c>
      <c r="GB26" s="1">
        <v>20833320</v>
      </c>
      <c r="GC26" s="1">
        <v>29166680</v>
      </c>
      <c r="GD26" s="1">
        <v>50000000</v>
      </c>
      <c r="GE26" s="1">
        <v>50000000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0</v>
      </c>
      <c r="GT26" s="1">
        <v>0</v>
      </c>
      <c r="GU26" s="1">
        <v>0</v>
      </c>
      <c r="GV26" s="1">
        <v>0</v>
      </c>
      <c r="GW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0</v>
      </c>
      <c r="HO26" s="1">
        <v>0</v>
      </c>
      <c r="HP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V26" s="1">
        <v>0</v>
      </c>
      <c r="HW26" s="1">
        <v>0</v>
      </c>
      <c r="HX26" s="1">
        <v>0</v>
      </c>
      <c r="HY26" s="1">
        <v>0</v>
      </c>
      <c r="HZ26" s="1">
        <v>0</v>
      </c>
      <c r="IA26" s="1">
        <v>0</v>
      </c>
      <c r="IB26" s="1">
        <v>0</v>
      </c>
      <c r="IC26" s="1">
        <v>0</v>
      </c>
      <c r="ID26" s="1">
        <v>0</v>
      </c>
      <c r="IE26" s="1">
        <v>0</v>
      </c>
      <c r="IF26" s="1">
        <v>0</v>
      </c>
      <c r="IG26" s="1">
        <v>0</v>
      </c>
      <c r="IH26" s="1">
        <v>0</v>
      </c>
      <c r="II26" s="1">
        <v>0</v>
      </c>
      <c r="IJ26" s="1">
        <v>0</v>
      </c>
      <c r="IK26" s="1">
        <v>0</v>
      </c>
      <c r="IL26" s="1">
        <v>0</v>
      </c>
      <c r="IM26" s="1">
        <v>0</v>
      </c>
      <c r="IN26" s="1">
        <v>0</v>
      </c>
      <c r="IO26" s="1">
        <v>0</v>
      </c>
      <c r="IP26" s="1">
        <v>0</v>
      </c>
      <c r="IQ26" s="1">
        <v>0</v>
      </c>
      <c r="IR26" s="1">
        <v>0</v>
      </c>
    </row>
    <row r="27" spans="1:252" x14ac:dyDescent="0.2">
      <c r="A27" s="1" t="str">
        <f>"9157079"</f>
        <v>9157079</v>
      </c>
      <c r="B27" s="1" t="str">
        <f>"مزعل جليزي"</f>
        <v>مزعل جليزي</v>
      </c>
      <c r="C27" s="1" t="str">
        <f t="shared" si="0"/>
        <v>توليد توسعه - دارخوين</v>
      </c>
      <c r="D27" s="1">
        <v>0</v>
      </c>
      <c r="E27" s="1">
        <v>13200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2849700</v>
      </c>
      <c r="W27" s="1">
        <v>200000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1100000</v>
      </c>
      <c r="AF27" s="1">
        <v>1012000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960000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10141620</v>
      </c>
      <c r="BI27" s="1">
        <v>0</v>
      </c>
      <c r="BJ27" s="1">
        <v>611952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843750</v>
      </c>
      <c r="BQ27" s="1">
        <v>0</v>
      </c>
      <c r="BR27" s="1">
        <v>178110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650000</v>
      </c>
      <c r="CI27" s="1">
        <v>2410714</v>
      </c>
      <c r="CJ27" s="1">
        <v>361607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13200</v>
      </c>
      <c r="CQ27" s="1">
        <v>15203412</v>
      </c>
      <c r="CR27" s="1">
        <v>16875272</v>
      </c>
      <c r="CS27" s="1">
        <v>1671860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M27" s="1">
        <v>0</v>
      </c>
      <c r="HN27" s="1">
        <v>0</v>
      </c>
      <c r="HO27" s="1">
        <v>0</v>
      </c>
      <c r="HP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0</v>
      </c>
      <c r="IC27" s="1">
        <v>0</v>
      </c>
      <c r="ID27" s="1">
        <v>0</v>
      </c>
      <c r="IE27" s="1">
        <v>0</v>
      </c>
      <c r="IF27" s="1">
        <v>0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0</v>
      </c>
      <c r="IN27" s="1">
        <v>0</v>
      </c>
      <c r="IO27" s="1">
        <v>0</v>
      </c>
      <c r="IP27" s="1">
        <v>0</v>
      </c>
      <c r="IQ27" s="1">
        <v>0</v>
      </c>
      <c r="IR27" s="1">
        <v>0</v>
      </c>
    </row>
    <row r="28" spans="1:252" x14ac:dyDescent="0.2">
      <c r="A28" s="1" t="str">
        <f>"9157081"</f>
        <v>9157081</v>
      </c>
      <c r="B28" s="1" t="str">
        <f>"فهد چاملي"</f>
        <v>فهد چاملي</v>
      </c>
      <c r="C28" s="1" t="str">
        <f t="shared" si="0"/>
        <v>توليد توسعه - دارخوين</v>
      </c>
      <c r="D28" s="1">
        <v>0</v>
      </c>
      <c r="E28" s="1">
        <v>13200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1424850</v>
      </c>
      <c r="W28" s="1">
        <v>200000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1100000</v>
      </c>
      <c r="AF28" s="1">
        <v>1012000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960000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8389590</v>
      </c>
      <c r="BI28" s="1">
        <v>0</v>
      </c>
      <c r="BJ28" s="1">
        <v>599952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720268</v>
      </c>
      <c r="BQ28" s="1">
        <v>0</v>
      </c>
      <c r="BR28" s="1">
        <v>20431</v>
      </c>
      <c r="BS28" s="1">
        <v>435000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2057908</v>
      </c>
      <c r="CJ28" s="1">
        <v>308685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13200</v>
      </c>
      <c r="CQ28" s="1">
        <v>12510693</v>
      </c>
      <c r="CR28" s="1">
        <v>13686392</v>
      </c>
      <c r="CS28" s="1">
        <v>1175699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435000</v>
      </c>
      <c r="IF28" s="1">
        <v>0</v>
      </c>
      <c r="IG28" s="1">
        <v>0</v>
      </c>
      <c r="IH28" s="1">
        <v>0</v>
      </c>
      <c r="II28" s="1">
        <v>0</v>
      </c>
      <c r="IJ28" s="1">
        <v>0</v>
      </c>
      <c r="IK28" s="1">
        <v>0</v>
      </c>
      <c r="IL28" s="1">
        <v>0</v>
      </c>
      <c r="IM28" s="1">
        <v>0</v>
      </c>
      <c r="IN28" s="1">
        <v>0</v>
      </c>
      <c r="IO28" s="1">
        <v>0</v>
      </c>
      <c r="IP28" s="1">
        <v>0</v>
      </c>
      <c r="IQ28" s="1">
        <v>0</v>
      </c>
      <c r="IR28" s="1">
        <v>0</v>
      </c>
    </row>
    <row r="29" spans="1:252" x14ac:dyDescent="0.2">
      <c r="A29" s="1" t="str">
        <f>"9157084"</f>
        <v>9157084</v>
      </c>
      <c r="B29" s="1" t="str">
        <f>"ايوب حويزاوي"</f>
        <v>ايوب حويزاوي</v>
      </c>
      <c r="C29" s="1" t="str">
        <f t="shared" si="0"/>
        <v>توليد توسعه - دارخوين</v>
      </c>
      <c r="D29" s="1">
        <v>0</v>
      </c>
      <c r="E29" s="1">
        <v>13200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1424850</v>
      </c>
      <c r="W29" s="1">
        <v>200000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1100000</v>
      </c>
      <c r="AF29" s="1">
        <v>1012000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960000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9168270</v>
      </c>
      <c r="BI29" s="1">
        <v>0</v>
      </c>
      <c r="BJ29" s="1">
        <v>585315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773751</v>
      </c>
      <c r="BQ29" s="1">
        <v>0</v>
      </c>
      <c r="BR29" s="1">
        <v>57868</v>
      </c>
      <c r="BS29" s="1">
        <v>833333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650000</v>
      </c>
      <c r="CI29" s="1">
        <v>2210717</v>
      </c>
      <c r="CJ29" s="1">
        <v>331608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13200</v>
      </c>
      <c r="CQ29" s="1">
        <v>12135483</v>
      </c>
      <c r="CR29" s="1">
        <v>14450435</v>
      </c>
      <c r="CS29" s="1">
        <v>2314952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833333</v>
      </c>
      <c r="GB29" s="1">
        <v>28333322</v>
      </c>
      <c r="GC29" s="1">
        <v>1666678</v>
      </c>
      <c r="GD29" s="1">
        <v>30000000</v>
      </c>
      <c r="GE29" s="1">
        <v>30000000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0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v>0</v>
      </c>
      <c r="IR29" s="1">
        <v>0</v>
      </c>
    </row>
    <row r="30" spans="1:252" x14ac:dyDescent="0.2">
      <c r="A30" s="1" t="str">
        <f>"9157089"</f>
        <v>9157089</v>
      </c>
      <c r="B30" s="1" t="str">
        <f>"منصور خنفري راد"</f>
        <v>منصور خنفري راد</v>
      </c>
      <c r="C30" s="1" t="str">
        <f t="shared" si="0"/>
        <v>توليد توسعه - دارخوين</v>
      </c>
      <c r="D30" s="1">
        <v>0</v>
      </c>
      <c r="E30" s="1">
        <v>13200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1424850</v>
      </c>
      <c r="W30" s="1">
        <v>200000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1100000</v>
      </c>
      <c r="AF30" s="1">
        <v>1012000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960000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10725600</v>
      </c>
      <c r="BI30" s="1">
        <v>0</v>
      </c>
      <c r="BJ30" s="1">
        <v>617952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885049</v>
      </c>
      <c r="BQ30" s="1">
        <v>0</v>
      </c>
      <c r="BR30" s="1">
        <v>135776</v>
      </c>
      <c r="BS30" s="1">
        <v>2693888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650000</v>
      </c>
      <c r="CI30" s="1">
        <v>2528710</v>
      </c>
      <c r="CJ30" s="1">
        <v>379307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13200</v>
      </c>
      <c r="CQ30" s="1">
        <v>11675689</v>
      </c>
      <c r="CR30" s="1">
        <v>16040402</v>
      </c>
      <c r="CS30" s="1">
        <v>4364713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1388888</v>
      </c>
      <c r="GB30" s="1">
        <v>13888880</v>
      </c>
      <c r="GC30" s="1">
        <v>36111120</v>
      </c>
      <c r="GD30" s="1">
        <v>50000000</v>
      </c>
      <c r="GE30" s="1">
        <v>50000000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0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1305000</v>
      </c>
      <c r="IF30" s="1">
        <v>0</v>
      </c>
      <c r="IG30" s="1">
        <v>0</v>
      </c>
      <c r="IH30" s="1">
        <v>0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0</v>
      </c>
      <c r="IO30" s="1">
        <v>0</v>
      </c>
      <c r="IP30" s="1">
        <v>0</v>
      </c>
      <c r="IQ30" s="1">
        <v>0</v>
      </c>
      <c r="IR30" s="1">
        <v>0</v>
      </c>
    </row>
    <row r="31" spans="1:252" x14ac:dyDescent="0.2">
      <c r="A31" s="1" t="str">
        <f>"9157090"</f>
        <v>9157090</v>
      </c>
      <c r="B31" s="1" t="str">
        <f>"جميل زرگاني"</f>
        <v>جميل زرگاني</v>
      </c>
      <c r="C31" s="1" t="str">
        <f t="shared" si="0"/>
        <v>توليد توسعه - دارخوين</v>
      </c>
      <c r="D31" s="1">
        <v>0</v>
      </c>
      <c r="E31" s="1">
        <v>13200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1424850</v>
      </c>
      <c r="W31" s="1">
        <v>200000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1100000</v>
      </c>
      <c r="AF31" s="1">
        <v>1012000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960000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10725600</v>
      </c>
      <c r="BI31" s="1">
        <v>0</v>
      </c>
      <c r="BJ31" s="1">
        <v>617952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885049</v>
      </c>
      <c r="BQ31" s="1">
        <v>0</v>
      </c>
      <c r="BR31" s="1">
        <v>135776</v>
      </c>
      <c r="BS31" s="1">
        <v>2693920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650000</v>
      </c>
      <c r="CI31" s="1">
        <v>2528710</v>
      </c>
      <c r="CJ31" s="1">
        <v>379307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13200</v>
      </c>
      <c r="CQ31" s="1">
        <v>11675657</v>
      </c>
      <c r="CR31" s="1">
        <v>16040402</v>
      </c>
      <c r="CS31" s="1">
        <v>4364745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1388920</v>
      </c>
      <c r="GB31" s="1">
        <v>48611080</v>
      </c>
      <c r="GC31" s="1">
        <v>1388920</v>
      </c>
      <c r="GD31" s="1">
        <v>50000000</v>
      </c>
      <c r="GE31" s="1">
        <v>50000000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1305000</v>
      </c>
      <c r="IF31" s="1">
        <v>0</v>
      </c>
      <c r="IG31" s="1">
        <v>0</v>
      </c>
      <c r="IH31" s="1">
        <v>0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  <c r="IQ31" s="1">
        <v>0</v>
      </c>
      <c r="IR31" s="1">
        <v>0</v>
      </c>
    </row>
    <row r="32" spans="1:252" x14ac:dyDescent="0.2">
      <c r="A32" s="1" t="str">
        <f>"9157091"</f>
        <v>9157091</v>
      </c>
      <c r="B32" s="1" t="str">
        <f>"علي ساري"</f>
        <v>علي ساري</v>
      </c>
      <c r="C32" s="1" t="str">
        <f t="shared" si="0"/>
        <v>توليد توسعه - دارخوين</v>
      </c>
      <c r="D32" s="1">
        <v>0</v>
      </c>
      <c r="E32" s="1">
        <v>13200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712425</v>
      </c>
      <c r="W32" s="1">
        <v>200000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1100000</v>
      </c>
      <c r="AF32" s="1">
        <v>1012000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960000</v>
      </c>
      <c r="BC32" s="1">
        <v>0</v>
      </c>
      <c r="BD32" s="1">
        <v>16448</v>
      </c>
      <c r="BE32" s="1">
        <v>0</v>
      </c>
      <c r="BF32" s="1">
        <v>0</v>
      </c>
      <c r="BG32" s="1">
        <v>0</v>
      </c>
      <c r="BH32" s="1">
        <v>8778930</v>
      </c>
      <c r="BI32" s="1">
        <v>0</v>
      </c>
      <c r="BJ32" s="1">
        <v>593952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748253</v>
      </c>
      <c r="BQ32" s="1">
        <v>0</v>
      </c>
      <c r="BR32" s="1">
        <v>4399</v>
      </c>
      <c r="BS32" s="1">
        <v>1388888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650000</v>
      </c>
      <c r="CI32" s="1">
        <v>2137866</v>
      </c>
      <c r="CJ32" s="1">
        <v>320680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13200</v>
      </c>
      <c r="CQ32" s="1">
        <v>10582215</v>
      </c>
      <c r="CR32" s="1">
        <v>13373755</v>
      </c>
      <c r="CS32" s="1">
        <v>2791540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1388888</v>
      </c>
      <c r="GB32" s="1">
        <v>29166648</v>
      </c>
      <c r="GC32" s="1">
        <v>20833352</v>
      </c>
      <c r="GD32" s="1">
        <v>50000000</v>
      </c>
      <c r="GE32" s="1">
        <v>50000000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0</v>
      </c>
      <c r="HF32" s="1">
        <v>0</v>
      </c>
      <c r="HG32" s="1">
        <v>0</v>
      </c>
      <c r="HH32" s="1">
        <v>0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0</v>
      </c>
      <c r="IF32" s="1">
        <v>0</v>
      </c>
      <c r="IG32" s="1">
        <v>0</v>
      </c>
      <c r="IH32" s="1">
        <v>0</v>
      </c>
      <c r="II32" s="1">
        <v>0</v>
      </c>
      <c r="IJ32" s="1">
        <v>0</v>
      </c>
      <c r="IK32" s="1">
        <v>0</v>
      </c>
      <c r="IL32" s="1">
        <v>0</v>
      </c>
      <c r="IM32" s="1">
        <v>0</v>
      </c>
      <c r="IN32" s="1">
        <v>0</v>
      </c>
      <c r="IO32" s="1">
        <v>0</v>
      </c>
      <c r="IP32" s="1">
        <v>0</v>
      </c>
      <c r="IQ32" s="1">
        <v>0</v>
      </c>
      <c r="IR32" s="1">
        <v>0</v>
      </c>
    </row>
    <row r="33" spans="4:252" x14ac:dyDescent="0.2">
      <c r="D33" s="3">
        <f>SUM(D2:D32)</f>
        <v>0</v>
      </c>
      <c r="E33" s="3">
        <f t="shared" ref="E33:BP33" si="1">SUM(E2:E32)</f>
        <v>409200</v>
      </c>
      <c r="F33" s="3">
        <f t="shared" si="1"/>
        <v>0</v>
      </c>
      <c r="G33" s="3">
        <f t="shared" si="1"/>
        <v>0</v>
      </c>
      <c r="H33" s="3">
        <f t="shared" si="1"/>
        <v>0</v>
      </c>
      <c r="I33" s="3">
        <f t="shared" si="1"/>
        <v>0</v>
      </c>
      <c r="J33" s="3">
        <f t="shared" si="1"/>
        <v>0</v>
      </c>
      <c r="K33" s="3">
        <f t="shared" si="1"/>
        <v>0</v>
      </c>
      <c r="L33" s="3">
        <f t="shared" si="1"/>
        <v>0</v>
      </c>
      <c r="M33" s="3">
        <f t="shared" si="1"/>
        <v>0</v>
      </c>
      <c r="N33" s="3">
        <f t="shared" si="1"/>
        <v>0</v>
      </c>
      <c r="O33" s="3">
        <f t="shared" si="1"/>
        <v>0</v>
      </c>
      <c r="P33" s="3">
        <f t="shared" si="1"/>
        <v>0</v>
      </c>
      <c r="Q33" s="3">
        <f t="shared" si="1"/>
        <v>0</v>
      </c>
      <c r="R33" s="3">
        <f t="shared" si="1"/>
        <v>0</v>
      </c>
      <c r="S33" s="3">
        <f t="shared" si="1"/>
        <v>0</v>
      </c>
      <c r="T33" s="3">
        <f t="shared" si="1"/>
        <v>0</v>
      </c>
      <c r="U33" s="3">
        <f t="shared" si="1"/>
        <v>0</v>
      </c>
      <c r="V33" s="3">
        <f t="shared" si="1"/>
        <v>42033075</v>
      </c>
      <c r="W33" s="3">
        <f t="shared" si="1"/>
        <v>6200000</v>
      </c>
      <c r="X33" s="3">
        <f t="shared" si="1"/>
        <v>0</v>
      </c>
      <c r="Y33" s="3">
        <f t="shared" si="1"/>
        <v>0</v>
      </c>
      <c r="Z33" s="3">
        <f t="shared" si="1"/>
        <v>0</v>
      </c>
      <c r="AA33" s="3">
        <f t="shared" si="1"/>
        <v>0</v>
      </c>
      <c r="AB33" s="3">
        <f t="shared" si="1"/>
        <v>0</v>
      </c>
      <c r="AC33" s="3">
        <f t="shared" si="1"/>
        <v>0</v>
      </c>
      <c r="AD33" s="3">
        <f t="shared" si="1"/>
        <v>0</v>
      </c>
      <c r="AE33" s="3">
        <f t="shared" si="1"/>
        <v>34100000</v>
      </c>
      <c r="AF33" s="3">
        <f t="shared" si="1"/>
        <v>31372000</v>
      </c>
      <c r="AG33" s="3">
        <f t="shared" si="1"/>
        <v>0</v>
      </c>
      <c r="AH33" s="3">
        <f t="shared" si="1"/>
        <v>0</v>
      </c>
      <c r="AI33" s="3">
        <f t="shared" si="1"/>
        <v>0</v>
      </c>
      <c r="AJ33" s="3">
        <f t="shared" si="1"/>
        <v>0</v>
      </c>
      <c r="AK33" s="3">
        <f t="shared" si="1"/>
        <v>0</v>
      </c>
      <c r="AL33" s="3">
        <f t="shared" si="1"/>
        <v>0</v>
      </c>
      <c r="AM33" s="3">
        <f t="shared" si="1"/>
        <v>0</v>
      </c>
      <c r="AN33" s="3">
        <f t="shared" si="1"/>
        <v>0</v>
      </c>
      <c r="AO33" s="3">
        <f t="shared" si="1"/>
        <v>0</v>
      </c>
      <c r="AP33" s="3">
        <f t="shared" si="1"/>
        <v>0</v>
      </c>
      <c r="AQ33" s="3">
        <f t="shared" si="1"/>
        <v>0</v>
      </c>
      <c r="AR33" s="3">
        <f t="shared" si="1"/>
        <v>0</v>
      </c>
      <c r="AS33" s="3">
        <f t="shared" si="1"/>
        <v>2327255</v>
      </c>
      <c r="AT33" s="3">
        <f t="shared" si="1"/>
        <v>0</v>
      </c>
      <c r="AU33" s="3">
        <f t="shared" si="1"/>
        <v>0</v>
      </c>
      <c r="AV33" s="3">
        <f t="shared" si="1"/>
        <v>0</v>
      </c>
      <c r="AW33" s="3">
        <f t="shared" si="1"/>
        <v>0</v>
      </c>
      <c r="AX33" s="3">
        <f t="shared" si="1"/>
        <v>0</v>
      </c>
      <c r="AY33" s="3">
        <f t="shared" si="1"/>
        <v>0</v>
      </c>
      <c r="AZ33" s="3">
        <f t="shared" si="1"/>
        <v>0</v>
      </c>
      <c r="BA33" s="3">
        <f t="shared" si="1"/>
        <v>0</v>
      </c>
      <c r="BB33" s="3">
        <f t="shared" si="1"/>
        <v>29760000</v>
      </c>
      <c r="BC33" s="3">
        <f t="shared" si="1"/>
        <v>0</v>
      </c>
      <c r="BD33" s="3">
        <f t="shared" si="1"/>
        <v>1807306</v>
      </c>
      <c r="BE33" s="3">
        <f t="shared" si="1"/>
        <v>0</v>
      </c>
      <c r="BF33" s="3">
        <f t="shared" si="1"/>
        <v>0</v>
      </c>
      <c r="BG33" s="3">
        <f t="shared" si="1"/>
        <v>0</v>
      </c>
      <c r="BH33" s="3">
        <f t="shared" si="1"/>
        <v>297550890</v>
      </c>
      <c r="BI33" s="3">
        <f t="shared" si="1"/>
        <v>1362660</v>
      </c>
      <c r="BJ33" s="3">
        <f t="shared" si="1"/>
        <v>18739875</v>
      </c>
      <c r="BK33" s="3">
        <f t="shared" si="1"/>
        <v>1051200</v>
      </c>
      <c r="BL33" s="3">
        <f t="shared" si="1"/>
        <v>0</v>
      </c>
      <c r="BM33" s="3">
        <f t="shared" si="1"/>
        <v>0</v>
      </c>
      <c r="BN33" s="3">
        <f t="shared" si="1"/>
        <v>0</v>
      </c>
      <c r="BO33" s="3">
        <f t="shared" si="1"/>
        <v>0</v>
      </c>
      <c r="BP33" s="3">
        <f t="shared" si="1"/>
        <v>25256840</v>
      </c>
      <c r="BQ33" s="3">
        <f t="shared" ref="BQ33:EB33" si="2">SUM(BQ2:BQ32)</f>
        <v>0</v>
      </c>
      <c r="BR33" s="3">
        <f t="shared" si="2"/>
        <v>2633096</v>
      </c>
      <c r="BS33" s="3">
        <f t="shared" si="2"/>
        <v>29600049</v>
      </c>
      <c r="BT33" s="3">
        <f t="shared" si="2"/>
        <v>0</v>
      </c>
      <c r="BU33" s="3">
        <f t="shared" si="2"/>
        <v>0</v>
      </c>
      <c r="BV33" s="3">
        <f t="shared" si="2"/>
        <v>0</v>
      </c>
      <c r="BW33" s="3">
        <f t="shared" si="2"/>
        <v>0</v>
      </c>
      <c r="BX33" s="3">
        <f t="shared" si="2"/>
        <v>0</v>
      </c>
      <c r="BY33" s="3">
        <f t="shared" si="2"/>
        <v>0</v>
      </c>
      <c r="BZ33" s="3">
        <f t="shared" si="2"/>
        <v>0</v>
      </c>
      <c r="CA33" s="3">
        <f t="shared" si="2"/>
        <v>0</v>
      </c>
      <c r="CB33" s="3">
        <f t="shared" si="2"/>
        <v>0</v>
      </c>
      <c r="CC33" s="3">
        <f t="shared" si="2"/>
        <v>0</v>
      </c>
      <c r="CD33" s="3">
        <f t="shared" si="2"/>
        <v>0</v>
      </c>
      <c r="CE33" s="3">
        <f t="shared" si="2"/>
        <v>0</v>
      </c>
      <c r="CF33" s="3">
        <f t="shared" si="2"/>
        <v>0</v>
      </c>
      <c r="CG33" s="3">
        <f t="shared" si="2"/>
        <v>0</v>
      </c>
      <c r="CH33" s="3">
        <f t="shared" si="2"/>
        <v>17550000</v>
      </c>
      <c r="CI33" s="3">
        <f t="shared" si="2"/>
        <v>72162376</v>
      </c>
      <c r="CJ33" s="3">
        <f t="shared" si="2"/>
        <v>10824358</v>
      </c>
      <c r="CK33" s="3">
        <f t="shared" si="2"/>
        <v>0</v>
      </c>
      <c r="CL33" s="3">
        <f t="shared" si="2"/>
        <v>0</v>
      </c>
      <c r="CM33" s="3">
        <f t="shared" si="2"/>
        <v>0</v>
      </c>
      <c r="CN33" s="3">
        <f t="shared" si="2"/>
        <v>0</v>
      </c>
      <c r="CO33" s="3">
        <f t="shared" si="2"/>
        <v>0</v>
      </c>
      <c r="CP33" s="3">
        <f t="shared" si="2"/>
        <v>409200</v>
      </c>
      <c r="CQ33" s="3">
        <f t="shared" si="2"/>
        <v>391264276</v>
      </c>
      <c r="CR33" s="3">
        <f t="shared" si="2"/>
        <v>466304261</v>
      </c>
      <c r="CS33" s="3">
        <f t="shared" si="2"/>
        <v>75039985</v>
      </c>
      <c r="CT33" s="3">
        <f t="shared" si="2"/>
        <v>0</v>
      </c>
      <c r="CU33" s="3">
        <f t="shared" si="2"/>
        <v>0</v>
      </c>
      <c r="CV33" s="3">
        <f t="shared" si="2"/>
        <v>0</v>
      </c>
      <c r="CW33" s="3">
        <f t="shared" si="2"/>
        <v>0</v>
      </c>
      <c r="CX33" s="3">
        <f t="shared" si="2"/>
        <v>0</v>
      </c>
      <c r="CY33" s="3">
        <f t="shared" si="2"/>
        <v>0</v>
      </c>
      <c r="CZ33" s="3">
        <f t="shared" si="2"/>
        <v>0</v>
      </c>
      <c r="DA33" s="3">
        <f t="shared" si="2"/>
        <v>0</v>
      </c>
      <c r="DB33" s="3">
        <f t="shared" si="2"/>
        <v>0</v>
      </c>
      <c r="DC33" s="3">
        <f t="shared" si="2"/>
        <v>0</v>
      </c>
      <c r="DD33" s="3">
        <f t="shared" si="2"/>
        <v>0</v>
      </c>
      <c r="DE33" s="3">
        <f t="shared" si="2"/>
        <v>0</v>
      </c>
      <c r="DF33" s="3">
        <f t="shared" si="2"/>
        <v>0</v>
      </c>
      <c r="DG33" s="3">
        <f t="shared" si="2"/>
        <v>0</v>
      </c>
      <c r="DH33" s="3">
        <f t="shared" si="2"/>
        <v>0</v>
      </c>
      <c r="DI33" s="3">
        <f t="shared" si="2"/>
        <v>0</v>
      </c>
      <c r="DJ33" s="3">
        <f t="shared" si="2"/>
        <v>0</v>
      </c>
      <c r="DK33" s="3">
        <f t="shared" si="2"/>
        <v>0</v>
      </c>
      <c r="DL33" s="3">
        <f t="shared" si="2"/>
        <v>0</v>
      </c>
      <c r="DM33" s="3">
        <f t="shared" si="2"/>
        <v>0</v>
      </c>
      <c r="DN33" s="3">
        <f t="shared" si="2"/>
        <v>0</v>
      </c>
      <c r="DO33" s="3">
        <f t="shared" si="2"/>
        <v>0</v>
      </c>
      <c r="DP33" s="3">
        <f t="shared" si="2"/>
        <v>0</v>
      </c>
      <c r="DQ33" s="3">
        <f t="shared" si="2"/>
        <v>0</v>
      </c>
      <c r="DR33" s="3">
        <f t="shared" si="2"/>
        <v>0</v>
      </c>
      <c r="DS33" s="3">
        <f t="shared" si="2"/>
        <v>0</v>
      </c>
      <c r="DT33" s="3">
        <f t="shared" si="2"/>
        <v>0</v>
      </c>
      <c r="DU33" s="3">
        <f t="shared" si="2"/>
        <v>0</v>
      </c>
      <c r="DV33" s="3">
        <f t="shared" si="2"/>
        <v>0</v>
      </c>
      <c r="DW33" s="3">
        <f t="shared" si="2"/>
        <v>0</v>
      </c>
      <c r="DX33" s="3">
        <f t="shared" si="2"/>
        <v>0</v>
      </c>
      <c r="DY33" s="3">
        <f t="shared" si="2"/>
        <v>0</v>
      </c>
      <c r="DZ33" s="3">
        <f t="shared" si="2"/>
        <v>0</v>
      </c>
      <c r="EA33" s="3">
        <f t="shared" si="2"/>
        <v>0</v>
      </c>
      <c r="EB33" s="3">
        <f t="shared" si="2"/>
        <v>0</v>
      </c>
      <c r="EC33" s="3">
        <f t="shared" ref="EC33:GN33" si="3">SUM(EC2:EC32)</f>
        <v>0</v>
      </c>
      <c r="ED33" s="3">
        <f t="shared" si="3"/>
        <v>0</v>
      </c>
      <c r="EE33" s="3">
        <f t="shared" si="3"/>
        <v>0</v>
      </c>
      <c r="EF33" s="3">
        <f t="shared" si="3"/>
        <v>0</v>
      </c>
      <c r="EG33" s="3">
        <f t="shared" si="3"/>
        <v>0</v>
      </c>
      <c r="EH33" s="3">
        <f t="shared" si="3"/>
        <v>0</v>
      </c>
      <c r="EI33" s="3">
        <f t="shared" si="3"/>
        <v>0</v>
      </c>
      <c r="EJ33" s="3">
        <f t="shared" si="3"/>
        <v>0</v>
      </c>
      <c r="EK33" s="3">
        <f t="shared" si="3"/>
        <v>0</v>
      </c>
      <c r="EL33" s="3">
        <f t="shared" si="3"/>
        <v>0</v>
      </c>
      <c r="EM33" s="3">
        <f t="shared" si="3"/>
        <v>0</v>
      </c>
      <c r="EN33" s="3">
        <f t="shared" si="3"/>
        <v>0</v>
      </c>
      <c r="EO33" s="3">
        <f t="shared" si="3"/>
        <v>0</v>
      </c>
      <c r="EP33" s="3">
        <f t="shared" si="3"/>
        <v>0</v>
      </c>
      <c r="EQ33" s="3">
        <f t="shared" si="3"/>
        <v>0</v>
      </c>
      <c r="ER33" s="3">
        <f t="shared" si="3"/>
        <v>0</v>
      </c>
      <c r="ES33" s="3">
        <f t="shared" si="3"/>
        <v>0</v>
      </c>
      <c r="ET33" s="3">
        <f t="shared" si="3"/>
        <v>0</v>
      </c>
      <c r="EU33" s="3">
        <f t="shared" si="3"/>
        <v>0</v>
      </c>
      <c r="EV33" s="3">
        <f t="shared" si="3"/>
        <v>0</v>
      </c>
      <c r="EW33" s="3">
        <f t="shared" si="3"/>
        <v>0</v>
      </c>
      <c r="EX33" s="3">
        <f t="shared" si="3"/>
        <v>0</v>
      </c>
      <c r="EY33" s="3">
        <f t="shared" si="3"/>
        <v>0</v>
      </c>
      <c r="EZ33" s="3">
        <f t="shared" si="3"/>
        <v>0</v>
      </c>
      <c r="FA33" s="3">
        <f t="shared" si="3"/>
        <v>0</v>
      </c>
      <c r="FB33" s="3">
        <f t="shared" si="3"/>
        <v>0</v>
      </c>
      <c r="FC33" s="3">
        <f t="shared" si="3"/>
        <v>0</v>
      </c>
      <c r="FD33" s="3">
        <f t="shared" si="3"/>
        <v>0</v>
      </c>
      <c r="FE33" s="3">
        <f t="shared" si="3"/>
        <v>0</v>
      </c>
      <c r="FF33" s="3">
        <f t="shared" si="3"/>
        <v>0</v>
      </c>
      <c r="FG33" s="3">
        <f t="shared" si="3"/>
        <v>0</v>
      </c>
      <c r="FH33" s="3">
        <f t="shared" si="3"/>
        <v>0</v>
      </c>
      <c r="FI33" s="3">
        <f t="shared" si="3"/>
        <v>0</v>
      </c>
      <c r="FJ33" s="3">
        <f t="shared" si="3"/>
        <v>0</v>
      </c>
      <c r="FK33" s="3">
        <f t="shared" si="3"/>
        <v>0</v>
      </c>
      <c r="FL33" s="3">
        <f t="shared" si="3"/>
        <v>0</v>
      </c>
      <c r="FM33" s="3">
        <f t="shared" si="3"/>
        <v>0</v>
      </c>
      <c r="FN33" s="3">
        <f t="shared" si="3"/>
        <v>0</v>
      </c>
      <c r="FO33" s="3">
        <f t="shared" si="3"/>
        <v>0</v>
      </c>
      <c r="FP33" s="3">
        <f t="shared" si="3"/>
        <v>0</v>
      </c>
      <c r="FQ33" s="3">
        <f t="shared" si="3"/>
        <v>0</v>
      </c>
      <c r="FR33" s="3">
        <f t="shared" si="3"/>
        <v>0</v>
      </c>
      <c r="FS33" s="3">
        <f t="shared" si="3"/>
        <v>0</v>
      </c>
      <c r="FT33" s="3">
        <f t="shared" si="3"/>
        <v>0</v>
      </c>
      <c r="FU33" s="3">
        <f t="shared" si="3"/>
        <v>0</v>
      </c>
      <c r="FV33" s="3">
        <f t="shared" si="3"/>
        <v>0</v>
      </c>
      <c r="FW33" s="3">
        <f t="shared" si="3"/>
        <v>0</v>
      </c>
      <c r="FX33" s="3">
        <f t="shared" si="3"/>
        <v>0</v>
      </c>
      <c r="FY33" s="3">
        <f t="shared" si="3"/>
        <v>0</v>
      </c>
      <c r="FZ33" s="3">
        <f t="shared" si="3"/>
        <v>0</v>
      </c>
      <c r="GA33" s="3">
        <f t="shared" si="3"/>
        <v>25250049</v>
      </c>
      <c r="GB33" s="3">
        <f t="shared" si="3"/>
        <v>560555250</v>
      </c>
      <c r="GC33" s="3">
        <f t="shared" si="3"/>
        <v>348444750</v>
      </c>
      <c r="GD33" s="3">
        <f t="shared" si="3"/>
        <v>909000000</v>
      </c>
      <c r="GE33" s="3">
        <f t="shared" si="3"/>
        <v>909000000</v>
      </c>
      <c r="GF33" s="3">
        <f t="shared" si="3"/>
        <v>0</v>
      </c>
      <c r="GG33" s="3">
        <f t="shared" si="3"/>
        <v>0</v>
      </c>
      <c r="GH33" s="3">
        <f t="shared" si="3"/>
        <v>0</v>
      </c>
      <c r="GI33" s="3">
        <f t="shared" si="3"/>
        <v>0</v>
      </c>
      <c r="GJ33" s="3">
        <f t="shared" si="3"/>
        <v>0</v>
      </c>
      <c r="GK33" s="3">
        <f t="shared" si="3"/>
        <v>0</v>
      </c>
      <c r="GL33" s="3">
        <f t="shared" si="3"/>
        <v>0</v>
      </c>
      <c r="GM33" s="3">
        <f t="shared" si="3"/>
        <v>0</v>
      </c>
      <c r="GN33" s="3">
        <f t="shared" si="3"/>
        <v>0</v>
      </c>
      <c r="GO33" s="3">
        <f t="shared" ref="GO33:IR33" si="4">SUM(GO2:GO32)</f>
        <v>0</v>
      </c>
      <c r="GP33" s="3">
        <f t="shared" si="4"/>
        <v>0</v>
      </c>
      <c r="GQ33" s="3">
        <f t="shared" si="4"/>
        <v>0</v>
      </c>
      <c r="GR33" s="3">
        <f t="shared" si="4"/>
        <v>0</v>
      </c>
      <c r="GS33" s="3">
        <f t="shared" si="4"/>
        <v>0</v>
      </c>
      <c r="GT33" s="3">
        <f t="shared" si="4"/>
        <v>0</v>
      </c>
      <c r="GU33" s="3">
        <f t="shared" si="4"/>
        <v>0</v>
      </c>
      <c r="GV33" s="3">
        <f t="shared" si="4"/>
        <v>0</v>
      </c>
      <c r="GW33" s="3">
        <f t="shared" si="4"/>
        <v>0</v>
      </c>
      <c r="GX33" s="3">
        <f t="shared" si="4"/>
        <v>0</v>
      </c>
      <c r="GY33" s="3">
        <f t="shared" si="4"/>
        <v>0</v>
      </c>
      <c r="GZ33" s="3">
        <f t="shared" si="4"/>
        <v>0</v>
      </c>
      <c r="HA33" s="3">
        <f t="shared" si="4"/>
        <v>0</v>
      </c>
      <c r="HB33" s="3">
        <f t="shared" si="4"/>
        <v>0</v>
      </c>
      <c r="HC33" s="3">
        <f t="shared" si="4"/>
        <v>0</v>
      </c>
      <c r="HD33" s="3">
        <f t="shared" si="4"/>
        <v>0</v>
      </c>
      <c r="HE33" s="3">
        <f t="shared" si="4"/>
        <v>0</v>
      </c>
      <c r="HF33" s="3">
        <f t="shared" si="4"/>
        <v>0</v>
      </c>
      <c r="HG33" s="3">
        <f t="shared" si="4"/>
        <v>0</v>
      </c>
      <c r="HH33" s="3">
        <f t="shared" si="4"/>
        <v>0</v>
      </c>
      <c r="HI33" s="3">
        <f t="shared" si="4"/>
        <v>0</v>
      </c>
      <c r="HJ33" s="3">
        <f t="shared" si="4"/>
        <v>0</v>
      </c>
      <c r="HK33" s="3">
        <f t="shared" si="4"/>
        <v>0</v>
      </c>
      <c r="HL33" s="3">
        <f t="shared" si="4"/>
        <v>0</v>
      </c>
      <c r="HM33" s="3">
        <f t="shared" si="4"/>
        <v>0</v>
      </c>
      <c r="HN33" s="3">
        <f t="shared" si="4"/>
        <v>0</v>
      </c>
      <c r="HO33" s="3">
        <f t="shared" si="4"/>
        <v>0</v>
      </c>
      <c r="HP33" s="3">
        <f t="shared" si="4"/>
        <v>0</v>
      </c>
      <c r="HQ33" s="3">
        <f t="shared" si="4"/>
        <v>0</v>
      </c>
      <c r="HR33" s="3">
        <f t="shared" si="4"/>
        <v>0</v>
      </c>
      <c r="HS33" s="3">
        <f t="shared" si="4"/>
        <v>0</v>
      </c>
      <c r="HT33" s="3">
        <f t="shared" si="4"/>
        <v>0</v>
      </c>
      <c r="HU33" s="3">
        <f t="shared" si="4"/>
        <v>0</v>
      </c>
      <c r="HV33" s="3">
        <f t="shared" si="4"/>
        <v>0</v>
      </c>
      <c r="HW33" s="3">
        <f t="shared" si="4"/>
        <v>0</v>
      </c>
      <c r="HX33" s="3">
        <f t="shared" si="4"/>
        <v>0</v>
      </c>
      <c r="HY33" s="3">
        <f t="shared" si="4"/>
        <v>0</v>
      </c>
      <c r="HZ33" s="3">
        <f t="shared" si="4"/>
        <v>0</v>
      </c>
      <c r="IA33" s="3">
        <f t="shared" si="4"/>
        <v>0</v>
      </c>
      <c r="IB33" s="3">
        <f t="shared" si="4"/>
        <v>0</v>
      </c>
      <c r="IC33" s="3">
        <f t="shared" si="4"/>
        <v>0</v>
      </c>
      <c r="ID33" s="3">
        <f t="shared" si="4"/>
        <v>0</v>
      </c>
      <c r="IE33" s="3">
        <f t="shared" si="4"/>
        <v>4350000</v>
      </c>
      <c r="IF33" s="3">
        <f t="shared" si="4"/>
        <v>0</v>
      </c>
      <c r="IG33" s="3">
        <f t="shared" si="4"/>
        <v>0</v>
      </c>
      <c r="IH33" s="3">
        <f t="shared" si="4"/>
        <v>0</v>
      </c>
      <c r="II33" s="3">
        <f t="shared" si="4"/>
        <v>0</v>
      </c>
      <c r="IJ33" s="3">
        <f t="shared" si="4"/>
        <v>0</v>
      </c>
      <c r="IK33" s="3">
        <f t="shared" si="4"/>
        <v>0</v>
      </c>
      <c r="IL33" s="3">
        <f t="shared" si="4"/>
        <v>0</v>
      </c>
      <c r="IM33" s="3">
        <f t="shared" si="4"/>
        <v>0</v>
      </c>
      <c r="IN33" s="3">
        <f t="shared" si="4"/>
        <v>0</v>
      </c>
      <c r="IO33" s="3">
        <f t="shared" si="4"/>
        <v>0</v>
      </c>
      <c r="IP33" s="3">
        <f t="shared" si="4"/>
        <v>0</v>
      </c>
      <c r="IQ33" s="3">
        <f t="shared" si="4"/>
        <v>0</v>
      </c>
      <c r="IR33" s="3">
        <f t="shared" si="4"/>
        <v>0</v>
      </c>
    </row>
    <row r="35" spans="4:252" s="3" customFormat="1" x14ac:dyDescent="0.2">
      <c r="D35" s="3">
        <v>0</v>
      </c>
      <c r="E35" s="3">
        <v>409200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42033075</v>
      </c>
      <c r="W35" s="3">
        <v>6200000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34100000</v>
      </c>
      <c r="AF35" s="3">
        <v>31372000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2327255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29760000</v>
      </c>
      <c r="BC35" s="3">
        <v>0</v>
      </c>
      <c r="BD35" s="3">
        <v>1807306</v>
      </c>
      <c r="BE35" s="3">
        <v>0</v>
      </c>
      <c r="BF35" s="3">
        <v>0</v>
      </c>
      <c r="BG35" s="3">
        <v>0</v>
      </c>
      <c r="BH35" s="3">
        <v>297550890</v>
      </c>
      <c r="BI35" s="3">
        <v>1362660</v>
      </c>
      <c r="BJ35" s="3">
        <v>18739875</v>
      </c>
      <c r="BK35" s="3">
        <v>1051200</v>
      </c>
      <c r="BL35" s="3">
        <v>0</v>
      </c>
      <c r="BM35" s="3">
        <v>0</v>
      </c>
      <c r="BN35" s="3">
        <v>0</v>
      </c>
      <c r="BO35" s="3">
        <v>0</v>
      </c>
      <c r="BP35" s="3">
        <v>25256840</v>
      </c>
      <c r="BQ35" s="3">
        <v>0</v>
      </c>
      <c r="BR35" s="3">
        <v>2633096</v>
      </c>
      <c r="BS35" s="3">
        <v>29600049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17550000</v>
      </c>
      <c r="CI35" s="3">
        <v>72162376</v>
      </c>
      <c r="CJ35" s="3">
        <v>10824358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409200</v>
      </c>
      <c r="CQ35" s="3">
        <v>391264276</v>
      </c>
      <c r="CR35" s="3">
        <v>466304261</v>
      </c>
      <c r="CS35" s="3">
        <v>75039985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3">
        <v>0</v>
      </c>
      <c r="FH35" s="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  <c r="FU35" s="3">
        <v>0</v>
      </c>
      <c r="FV35" s="3">
        <v>0</v>
      </c>
      <c r="FW35" s="3">
        <v>0</v>
      </c>
      <c r="FX35" s="3">
        <v>0</v>
      </c>
      <c r="FY35" s="3">
        <v>0</v>
      </c>
      <c r="FZ35" s="3">
        <v>0</v>
      </c>
      <c r="GA35" s="3">
        <v>25250049</v>
      </c>
      <c r="GB35" s="3">
        <v>560555250</v>
      </c>
      <c r="GC35" s="3">
        <v>348444750</v>
      </c>
      <c r="GD35" s="3">
        <v>909000000</v>
      </c>
      <c r="GE35" s="3">
        <v>909000000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0</v>
      </c>
      <c r="GQ35" s="3">
        <v>0</v>
      </c>
      <c r="GR35" s="3">
        <v>0</v>
      </c>
      <c r="GS35" s="3">
        <v>0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>
        <v>0</v>
      </c>
      <c r="HB35" s="3">
        <v>0</v>
      </c>
      <c r="HC35" s="3">
        <v>0</v>
      </c>
      <c r="HD35" s="3">
        <v>0</v>
      </c>
      <c r="HE35" s="3">
        <v>0</v>
      </c>
      <c r="HF35" s="3">
        <v>0</v>
      </c>
      <c r="HG35" s="3">
        <v>0</v>
      </c>
      <c r="HH35" s="3">
        <v>0</v>
      </c>
      <c r="HI35" s="3">
        <v>0</v>
      </c>
      <c r="HJ35" s="3">
        <v>0</v>
      </c>
      <c r="HK35" s="3">
        <v>0</v>
      </c>
      <c r="HL35" s="3">
        <v>0</v>
      </c>
      <c r="HM35" s="3">
        <v>0</v>
      </c>
      <c r="HN35" s="3">
        <v>0</v>
      </c>
      <c r="HO35" s="3">
        <v>0</v>
      </c>
      <c r="HP35" s="3">
        <v>0</v>
      </c>
      <c r="HQ35" s="3">
        <v>0</v>
      </c>
      <c r="HR35" s="3">
        <v>0</v>
      </c>
      <c r="HS35" s="3">
        <v>0</v>
      </c>
      <c r="HT35" s="3">
        <v>0</v>
      </c>
      <c r="HU35" s="3">
        <v>0</v>
      </c>
      <c r="HV35" s="3">
        <v>0</v>
      </c>
      <c r="HW35" s="3">
        <v>0</v>
      </c>
      <c r="HX35" s="3">
        <v>0</v>
      </c>
      <c r="HY35" s="3">
        <v>0</v>
      </c>
      <c r="HZ35" s="3">
        <v>0</v>
      </c>
      <c r="IA35" s="3">
        <v>0</v>
      </c>
      <c r="IB35" s="3">
        <v>0</v>
      </c>
      <c r="IC35" s="3">
        <v>0</v>
      </c>
      <c r="ID35" s="3">
        <v>0</v>
      </c>
      <c r="IE35" s="3">
        <v>4350000</v>
      </c>
      <c r="IF35" s="3">
        <v>0</v>
      </c>
      <c r="IG35" s="3">
        <v>0</v>
      </c>
      <c r="IH35" s="3">
        <v>0</v>
      </c>
      <c r="II35" s="3">
        <v>0</v>
      </c>
      <c r="IJ35" s="3">
        <v>0</v>
      </c>
      <c r="IK35" s="3">
        <v>0</v>
      </c>
      <c r="IL35" s="3">
        <v>0</v>
      </c>
      <c r="IM35" s="3">
        <v>0</v>
      </c>
      <c r="IN35" s="3">
        <v>0</v>
      </c>
      <c r="IO35" s="3">
        <v>0</v>
      </c>
      <c r="IP35" s="3">
        <v>0</v>
      </c>
      <c r="IQ35" s="3">
        <v>0</v>
      </c>
      <c r="IR35" s="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5"/>
  <sheetViews>
    <sheetView rightToLeft="1" topLeftCell="A19" workbookViewId="0">
      <selection activeCell="C38" sqref="C38"/>
    </sheetView>
  </sheetViews>
  <sheetFormatPr defaultRowHeight="14.25" x14ac:dyDescent="0.2"/>
  <cols>
    <col min="1" max="1" width="11" bestFit="1" customWidth="1"/>
    <col min="2" max="2" width="17" bestFit="1" customWidth="1"/>
    <col min="3" max="3" width="18.375" bestFit="1" customWidth="1"/>
    <col min="4" max="4" width="22.25" bestFit="1" customWidth="1"/>
    <col min="5" max="5" width="20.625" bestFit="1" customWidth="1"/>
    <col min="6" max="6" width="23" bestFit="1" customWidth="1"/>
    <col min="7" max="7" width="21.25" bestFit="1" customWidth="1"/>
    <col min="8" max="8" width="20.125" bestFit="1" customWidth="1"/>
    <col min="9" max="9" width="25.125" bestFit="1" customWidth="1"/>
    <col min="10" max="10" width="21.25" bestFit="1" customWidth="1"/>
    <col min="11" max="11" width="22.75" bestFit="1" customWidth="1"/>
    <col min="12" max="12" width="24.5" bestFit="1" customWidth="1"/>
    <col min="13" max="13" width="11.375" bestFit="1" customWidth="1"/>
    <col min="14" max="15" width="15.25" bestFit="1" customWidth="1"/>
  </cols>
  <sheetData>
    <row r="3" spans="1:19" s="1" customFormat="1" x14ac:dyDescent="0.2">
      <c r="A3" s="2" t="s">
        <v>0</v>
      </c>
      <c r="B3" s="2" t="s">
        <v>1</v>
      </c>
      <c r="C3" s="2" t="s">
        <v>2</v>
      </c>
      <c r="D3" s="2" t="s">
        <v>266</v>
      </c>
      <c r="E3" s="2" t="s">
        <v>267</v>
      </c>
      <c r="F3" s="2" t="s">
        <v>268</v>
      </c>
      <c r="G3" s="2" t="s">
        <v>269</v>
      </c>
      <c r="H3" s="2" t="s">
        <v>270</v>
      </c>
      <c r="I3" s="2" t="s">
        <v>277</v>
      </c>
      <c r="J3" s="2" t="s">
        <v>271</v>
      </c>
      <c r="K3" s="2" t="s">
        <v>272</v>
      </c>
      <c r="L3" s="2" t="s">
        <v>273</v>
      </c>
      <c r="M3" s="2" t="s">
        <v>278</v>
      </c>
      <c r="N3" s="46" t="s">
        <v>257</v>
      </c>
      <c r="O3" s="46" t="s">
        <v>274</v>
      </c>
      <c r="P3" s="2"/>
      <c r="Q3" s="2"/>
      <c r="R3" s="2"/>
      <c r="S3" s="2"/>
    </row>
    <row r="4" spans="1:19" s="1" customFormat="1" x14ac:dyDescent="0.2">
      <c r="A4" s="1" t="str">
        <f>"9157041"</f>
        <v>9157041</v>
      </c>
      <c r="B4" s="1" t="str">
        <f>"عيد آسماني"</f>
        <v>عيد آسماني</v>
      </c>
      <c r="C4" s="1" t="str">
        <f t="shared" ref="C4:C34" si="0">"توليد توسعه - دارخوين"</f>
        <v>توليد توسعه - دارخوين</v>
      </c>
      <c r="D4" s="1">
        <v>1100000</v>
      </c>
      <c r="E4" s="1">
        <v>0</v>
      </c>
      <c r="F4" s="1">
        <v>200000</v>
      </c>
      <c r="G4" s="1">
        <v>8389590</v>
      </c>
      <c r="H4" s="1">
        <v>0</v>
      </c>
      <c r="I4" s="1">
        <v>0</v>
      </c>
      <c r="J4" s="1">
        <v>0</v>
      </c>
      <c r="K4" s="1">
        <v>587952</v>
      </c>
      <c r="L4" s="1">
        <v>161995</v>
      </c>
      <c r="M4" s="47">
        <f>SUM(D4:L4)</f>
        <v>10439537</v>
      </c>
      <c r="N4" s="47">
        <f t="shared" ref="N4:N34" si="1">M4/12</f>
        <v>869961.41666666663</v>
      </c>
      <c r="O4" s="47">
        <f t="shared" ref="O4:O34" si="2">IF(M4*2&gt;=21372750,21372750,M4*2)/12</f>
        <v>1739922.8333333333</v>
      </c>
    </row>
    <row r="5" spans="1:19" s="1" customFormat="1" x14ac:dyDescent="0.2">
      <c r="A5" s="1" t="str">
        <f>"9157042"</f>
        <v>9157042</v>
      </c>
      <c r="B5" s="1" t="str">
        <f>"كاظم آل بالدي"</f>
        <v>كاظم آل بالدي</v>
      </c>
      <c r="C5" s="1" t="str">
        <f t="shared" si="0"/>
        <v>توليد توسعه - دارخوين</v>
      </c>
      <c r="D5" s="1">
        <v>1100000</v>
      </c>
      <c r="E5" s="1">
        <v>2849700</v>
      </c>
      <c r="F5" s="1">
        <v>200000</v>
      </c>
      <c r="G5" s="1">
        <v>9654930</v>
      </c>
      <c r="H5" s="1">
        <v>0</v>
      </c>
      <c r="I5" s="1">
        <v>0</v>
      </c>
      <c r="J5" s="1">
        <v>0</v>
      </c>
      <c r="K5" s="1">
        <v>611952</v>
      </c>
      <c r="L5" s="1">
        <v>0</v>
      </c>
      <c r="M5" s="47">
        <f t="shared" ref="M5:M34" si="3">SUM(D5:L5)</f>
        <v>14416582</v>
      </c>
      <c r="N5" s="47">
        <f t="shared" si="1"/>
        <v>1201381.8333333333</v>
      </c>
      <c r="O5" s="47">
        <f t="shared" si="2"/>
        <v>1781062.5</v>
      </c>
    </row>
    <row r="6" spans="1:19" s="1" customFormat="1" x14ac:dyDescent="0.2">
      <c r="A6" s="1" t="str">
        <f>"9157043"</f>
        <v>9157043</v>
      </c>
      <c r="B6" s="1" t="str">
        <f>"عبداله البوبالد"</f>
        <v>عبداله البوبالد</v>
      </c>
      <c r="C6" s="1" t="str">
        <f t="shared" si="0"/>
        <v>توليد توسعه - دارخوين</v>
      </c>
      <c r="D6" s="1">
        <v>1100000</v>
      </c>
      <c r="E6" s="1">
        <v>712425</v>
      </c>
      <c r="F6" s="1">
        <v>200000</v>
      </c>
      <c r="G6" s="1">
        <v>10725600</v>
      </c>
      <c r="H6" s="1">
        <v>0</v>
      </c>
      <c r="I6" s="1">
        <v>0</v>
      </c>
      <c r="J6" s="1">
        <v>0</v>
      </c>
      <c r="K6" s="1">
        <v>617952</v>
      </c>
      <c r="L6" s="1">
        <v>0</v>
      </c>
      <c r="M6" s="47">
        <f t="shared" si="3"/>
        <v>13355977</v>
      </c>
      <c r="N6" s="47">
        <f t="shared" si="1"/>
        <v>1112998.0833333333</v>
      </c>
      <c r="O6" s="47">
        <f t="shared" si="2"/>
        <v>1781062.5</v>
      </c>
    </row>
    <row r="7" spans="1:19" s="1" customFormat="1" x14ac:dyDescent="0.2">
      <c r="A7" s="1" t="str">
        <f>"9157044"</f>
        <v>9157044</v>
      </c>
      <c r="B7" s="1" t="str">
        <f>"سعيد ال بوبالدي"</f>
        <v>سعيد ال بوبالدي</v>
      </c>
      <c r="C7" s="1" t="str">
        <f t="shared" si="0"/>
        <v>توليد توسعه - دارخوين</v>
      </c>
      <c r="D7" s="1">
        <v>1100000</v>
      </c>
      <c r="E7" s="1">
        <v>2849700</v>
      </c>
      <c r="F7" s="1">
        <v>200000</v>
      </c>
      <c r="G7" s="1">
        <v>9168270</v>
      </c>
      <c r="H7" s="1">
        <v>0</v>
      </c>
      <c r="I7" s="1">
        <v>0</v>
      </c>
      <c r="J7" s="1">
        <v>0</v>
      </c>
      <c r="K7" s="1">
        <v>599952</v>
      </c>
      <c r="L7" s="1">
        <v>0</v>
      </c>
      <c r="M7" s="47">
        <f t="shared" si="3"/>
        <v>13917922</v>
      </c>
      <c r="N7" s="47">
        <f t="shared" si="1"/>
        <v>1159826.8333333333</v>
      </c>
      <c r="O7" s="47">
        <f t="shared" si="2"/>
        <v>1781062.5</v>
      </c>
    </row>
    <row r="8" spans="1:19" s="1" customFormat="1" x14ac:dyDescent="0.2">
      <c r="A8" s="1" t="str">
        <f>"9157045"</f>
        <v>9157045</v>
      </c>
      <c r="B8" s="1" t="str">
        <f>"شريف آلبوبالدي"</f>
        <v>شريف آلبوبالدي</v>
      </c>
      <c r="C8" s="1" t="str">
        <f t="shared" si="0"/>
        <v>توليد توسعه - دارخوين</v>
      </c>
      <c r="D8" s="1">
        <v>1100000</v>
      </c>
      <c r="E8" s="1">
        <v>712425</v>
      </c>
      <c r="F8" s="1">
        <v>200000</v>
      </c>
      <c r="G8" s="1">
        <v>9168270</v>
      </c>
      <c r="H8" s="1">
        <v>0</v>
      </c>
      <c r="I8" s="1">
        <v>0</v>
      </c>
      <c r="J8" s="1">
        <v>0</v>
      </c>
      <c r="K8" s="1">
        <v>599952</v>
      </c>
      <c r="L8" s="1">
        <v>0</v>
      </c>
      <c r="M8" s="47">
        <f t="shared" si="3"/>
        <v>11780647</v>
      </c>
      <c r="N8" s="47">
        <f t="shared" si="1"/>
        <v>981720.58333333337</v>
      </c>
      <c r="O8" s="47">
        <f t="shared" si="2"/>
        <v>1781062.5</v>
      </c>
    </row>
    <row r="9" spans="1:19" s="1" customFormat="1" x14ac:dyDescent="0.2">
      <c r="A9" s="1" t="str">
        <f>"9157046"</f>
        <v>9157046</v>
      </c>
      <c r="B9" s="1" t="str">
        <f>"يعقوب آلبوبالدي"</f>
        <v>يعقوب آلبوبالدي</v>
      </c>
      <c r="C9" s="1" t="str">
        <f t="shared" si="0"/>
        <v>توليد توسعه - دارخوين</v>
      </c>
      <c r="D9" s="1">
        <v>1100000</v>
      </c>
      <c r="E9" s="1">
        <v>2137275</v>
      </c>
      <c r="F9" s="1">
        <v>200000</v>
      </c>
      <c r="G9" s="1">
        <v>11893590</v>
      </c>
      <c r="H9" s="1">
        <v>0</v>
      </c>
      <c r="I9" s="1">
        <v>0</v>
      </c>
      <c r="J9" s="1">
        <v>0</v>
      </c>
      <c r="K9" s="1">
        <v>635952</v>
      </c>
      <c r="L9" s="1">
        <v>0</v>
      </c>
      <c r="M9" s="47">
        <f t="shared" si="3"/>
        <v>15966817</v>
      </c>
      <c r="N9" s="47">
        <f t="shared" si="1"/>
        <v>1330568.0833333333</v>
      </c>
      <c r="O9" s="47">
        <f t="shared" si="2"/>
        <v>1781062.5</v>
      </c>
    </row>
    <row r="10" spans="1:19" s="1" customFormat="1" x14ac:dyDescent="0.2">
      <c r="A10" s="1" t="str">
        <f>"9157047"</f>
        <v>9157047</v>
      </c>
      <c r="B10" s="1" t="str">
        <f>"محمد البوغبيش"</f>
        <v>محمد البوغبيش</v>
      </c>
      <c r="C10" s="1" t="str">
        <f t="shared" si="0"/>
        <v>توليد توسعه - دارخوين</v>
      </c>
      <c r="D10" s="1">
        <v>1100000</v>
      </c>
      <c r="E10" s="1">
        <v>0</v>
      </c>
      <c r="F10" s="1">
        <v>200000</v>
      </c>
      <c r="G10" s="1">
        <v>11893590</v>
      </c>
      <c r="H10" s="1">
        <v>0</v>
      </c>
      <c r="I10" s="1">
        <v>0</v>
      </c>
      <c r="J10" s="1">
        <v>0</v>
      </c>
      <c r="K10" s="1">
        <v>635952</v>
      </c>
      <c r="L10" s="1">
        <v>0</v>
      </c>
      <c r="M10" s="47">
        <f t="shared" si="3"/>
        <v>13829542</v>
      </c>
      <c r="N10" s="47">
        <f t="shared" si="1"/>
        <v>1152461.8333333333</v>
      </c>
      <c r="O10" s="47">
        <f t="shared" si="2"/>
        <v>1781062.5</v>
      </c>
    </row>
    <row r="11" spans="1:19" s="1" customFormat="1" x14ac:dyDescent="0.2">
      <c r="A11" s="1" t="str">
        <f>"9157049"</f>
        <v>9157049</v>
      </c>
      <c r="B11" s="1" t="str">
        <f>"عبدالامام بالدي"</f>
        <v>عبدالامام بالدي</v>
      </c>
      <c r="C11" s="1" t="str">
        <f t="shared" si="0"/>
        <v>توليد توسعه - دارخوين</v>
      </c>
      <c r="D11" s="1">
        <v>1100000</v>
      </c>
      <c r="E11" s="1">
        <v>0</v>
      </c>
      <c r="F11" s="1">
        <v>200000</v>
      </c>
      <c r="G11" s="1">
        <v>10725600</v>
      </c>
      <c r="H11" s="1">
        <v>0</v>
      </c>
      <c r="I11" s="1">
        <v>0</v>
      </c>
      <c r="J11" s="1">
        <v>1051200</v>
      </c>
      <c r="K11" s="1">
        <v>617952</v>
      </c>
      <c r="L11" s="1">
        <v>0</v>
      </c>
      <c r="M11" s="47">
        <f t="shared" si="3"/>
        <v>13694752</v>
      </c>
      <c r="N11" s="47">
        <f t="shared" si="1"/>
        <v>1141229.3333333333</v>
      </c>
      <c r="O11" s="47">
        <f t="shared" si="2"/>
        <v>1781062.5</v>
      </c>
    </row>
    <row r="12" spans="1:19" s="1" customFormat="1" x14ac:dyDescent="0.2">
      <c r="A12" s="1" t="str">
        <f>"9157050"</f>
        <v>9157050</v>
      </c>
      <c r="B12" s="1" t="str">
        <f>"حسين باوي"</f>
        <v>حسين باوي</v>
      </c>
      <c r="C12" s="1" t="str">
        <f t="shared" si="0"/>
        <v>توليد توسعه - دارخوين</v>
      </c>
      <c r="D12" s="1">
        <v>1100000</v>
      </c>
      <c r="E12" s="1">
        <v>2849700</v>
      </c>
      <c r="F12" s="1">
        <v>200000</v>
      </c>
      <c r="G12" s="1">
        <v>10141620</v>
      </c>
      <c r="H12" s="1">
        <v>0</v>
      </c>
      <c r="I12" s="1">
        <v>0</v>
      </c>
      <c r="J12" s="1">
        <v>0</v>
      </c>
      <c r="K12" s="1">
        <v>611952</v>
      </c>
      <c r="L12" s="1">
        <v>0</v>
      </c>
      <c r="M12" s="47">
        <f t="shared" si="3"/>
        <v>14903272</v>
      </c>
      <c r="N12" s="47">
        <f t="shared" si="1"/>
        <v>1241939.3333333333</v>
      </c>
      <c r="O12" s="47">
        <f t="shared" si="2"/>
        <v>1781062.5</v>
      </c>
    </row>
    <row r="13" spans="1:19" s="1" customFormat="1" x14ac:dyDescent="0.2">
      <c r="A13" s="1" t="str">
        <f>"9157053"</f>
        <v>9157053</v>
      </c>
      <c r="B13" s="1" t="str">
        <f>"عظيم باوي سويره"</f>
        <v>عظيم باوي سويره</v>
      </c>
      <c r="C13" s="1" t="str">
        <f t="shared" si="0"/>
        <v>توليد توسعه - دارخوين</v>
      </c>
      <c r="D13" s="1">
        <v>1100000</v>
      </c>
      <c r="E13" s="1">
        <v>712425</v>
      </c>
      <c r="F13" s="1">
        <v>200000</v>
      </c>
      <c r="G13" s="1">
        <v>8000250</v>
      </c>
      <c r="H13" s="1">
        <v>291990</v>
      </c>
      <c r="I13" s="1">
        <v>0</v>
      </c>
      <c r="J13" s="1">
        <v>0</v>
      </c>
      <c r="K13" s="1">
        <v>581952</v>
      </c>
      <c r="L13" s="1">
        <v>420358</v>
      </c>
      <c r="M13" s="47">
        <f t="shared" si="3"/>
        <v>11306975</v>
      </c>
      <c r="N13" s="47">
        <f t="shared" si="1"/>
        <v>942247.91666666663</v>
      </c>
      <c r="O13" s="47">
        <f t="shared" si="2"/>
        <v>1781062.5</v>
      </c>
    </row>
    <row r="14" spans="1:19" s="1" customFormat="1" x14ac:dyDescent="0.2">
      <c r="A14" s="1" t="str">
        <f>"9157054"</f>
        <v>9157054</v>
      </c>
      <c r="B14" s="1" t="str">
        <f>"عارف باوي فرد"</f>
        <v>عارف باوي فرد</v>
      </c>
      <c r="C14" s="1" t="str">
        <f t="shared" si="0"/>
        <v>توليد توسعه - دارخوين</v>
      </c>
      <c r="D14" s="1">
        <v>1100000</v>
      </c>
      <c r="E14" s="1">
        <v>0</v>
      </c>
      <c r="F14" s="1">
        <v>200000</v>
      </c>
      <c r="G14" s="1">
        <v>8778930</v>
      </c>
      <c r="H14" s="1">
        <v>389340</v>
      </c>
      <c r="I14" s="1">
        <v>0</v>
      </c>
      <c r="J14" s="1">
        <v>0</v>
      </c>
      <c r="K14" s="1">
        <v>593952</v>
      </c>
      <c r="L14" s="1">
        <v>0</v>
      </c>
      <c r="M14" s="47">
        <f t="shared" si="3"/>
        <v>11062222</v>
      </c>
      <c r="N14" s="47">
        <f t="shared" si="1"/>
        <v>921851.83333333337</v>
      </c>
      <c r="O14" s="47">
        <f t="shared" si="2"/>
        <v>1781062.5</v>
      </c>
    </row>
    <row r="15" spans="1:19" s="1" customFormat="1" x14ac:dyDescent="0.2">
      <c r="A15" s="1" t="str">
        <f>"9157055"</f>
        <v>9157055</v>
      </c>
      <c r="B15" s="1" t="str">
        <f>"نجم باوي فرد"</f>
        <v>نجم باوي فرد</v>
      </c>
      <c r="C15" s="1" t="str">
        <f t="shared" si="0"/>
        <v>توليد توسعه - دارخوين</v>
      </c>
      <c r="D15" s="1">
        <v>1100000</v>
      </c>
      <c r="E15" s="1">
        <v>712425</v>
      </c>
      <c r="F15" s="1">
        <v>200000</v>
      </c>
      <c r="G15" s="1">
        <v>9168270</v>
      </c>
      <c r="H15" s="1">
        <v>0</v>
      </c>
      <c r="I15" s="1">
        <v>0</v>
      </c>
      <c r="J15" s="1">
        <v>0</v>
      </c>
      <c r="K15" s="1">
        <v>599952</v>
      </c>
      <c r="L15" s="1">
        <v>0</v>
      </c>
      <c r="M15" s="47">
        <f t="shared" si="3"/>
        <v>11780647</v>
      </c>
      <c r="N15" s="47">
        <f t="shared" si="1"/>
        <v>981720.58333333337</v>
      </c>
      <c r="O15" s="47">
        <f t="shared" si="2"/>
        <v>1781062.5</v>
      </c>
    </row>
    <row r="16" spans="1:19" s="1" customFormat="1" x14ac:dyDescent="0.2">
      <c r="A16" s="1" t="str">
        <f>"9157056"</f>
        <v>9157056</v>
      </c>
      <c r="B16" s="1" t="str">
        <f>"سعيد بدوي"</f>
        <v>سعيد بدوي</v>
      </c>
      <c r="C16" s="1" t="str">
        <f t="shared" si="0"/>
        <v>توليد توسعه - دارخوين</v>
      </c>
      <c r="D16" s="1">
        <v>1100000</v>
      </c>
      <c r="E16" s="1">
        <v>1424850</v>
      </c>
      <c r="F16" s="1">
        <v>200000</v>
      </c>
      <c r="G16" s="1">
        <v>8778930</v>
      </c>
      <c r="H16" s="1">
        <v>0</v>
      </c>
      <c r="I16" s="1">
        <v>0</v>
      </c>
      <c r="J16" s="1">
        <v>0</v>
      </c>
      <c r="K16" s="1">
        <v>593952</v>
      </c>
      <c r="L16" s="1">
        <v>243008</v>
      </c>
      <c r="M16" s="47">
        <f t="shared" si="3"/>
        <v>12340740</v>
      </c>
      <c r="N16" s="47">
        <f t="shared" si="1"/>
        <v>1028395</v>
      </c>
      <c r="O16" s="47">
        <f t="shared" si="2"/>
        <v>1781062.5</v>
      </c>
    </row>
    <row r="17" spans="1:15" s="1" customFormat="1" x14ac:dyDescent="0.2">
      <c r="A17" s="1" t="str">
        <f>"9157057"</f>
        <v>9157057</v>
      </c>
      <c r="B17" s="1" t="str">
        <f>"عباس بدوي"</f>
        <v>عباس بدوي</v>
      </c>
      <c r="C17" s="1" t="str">
        <f t="shared" si="0"/>
        <v>توليد توسعه - دارخوين</v>
      </c>
      <c r="D17" s="1">
        <v>1100000</v>
      </c>
      <c r="E17" s="1">
        <v>2849700</v>
      </c>
      <c r="F17" s="1">
        <v>200000</v>
      </c>
      <c r="G17" s="1">
        <v>10141620</v>
      </c>
      <c r="H17" s="1">
        <v>0</v>
      </c>
      <c r="I17" s="1">
        <v>0</v>
      </c>
      <c r="J17" s="1">
        <v>0</v>
      </c>
      <c r="K17" s="1">
        <v>611952</v>
      </c>
      <c r="L17" s="1">
        <v>0</v>
      </c>
      <c r="M17" s="47">
        <f t="shared" si="3"/>
        <v>14903272</v>
      </c>
      <c r="N17" s="47">
        <f t="shared" si="1"/>
        <v>1241939.3333333333</v>
      </c>
      <c r="O17" s="47">
        <f t="shared" si="2"/>
        <v>1781062.5</v>
      </c>
    </row>
    <row r="18" spans="1:15" s="1" customFormat="1" x14ac:dyDescent="0.2">
      <c r="A18" s="1" t="str">
        <f>"9157058"</f>
        <v>9157058</v>
      </c>
      <c r="B18" s="1" t="str">
        <f>"طاهر پورحزبه"</f>
        <v>طاهر پورحزبه</v>
      </c>
      <c r="C18" s="1" t="str">
        <f t="shared" si="0"/>
        <v>توليد توسعه - دارخوين</v>
      </c>
      <c r="D18" s="1">
        <v>1100000</v>
      </c>
      <c r="E18" s="1">
        <v>0</v>
      </c>
      <c r="F18" s="1">
        <v>200000</v>
      </c>
      <c r="G18" s="1">
        <v>10141620</v>
      </c>
      <c r="H18" s="1">
        <v>0</v>
      </c>
      <c r="I18" s="1">
        <v>0</v>
      </c>
      <c r="J18" s="1">
        <v>0</v>
      </c>
      <c r="K18" s="1">
        <v>611952</v>
      </c>
      <c r="L18" s="1">
        <v>0</v>
      </c>
      <c r="M18" s="47">
        <f t="shared" si="3"/>
        <v>12053572</v>
      </c>
      <c r="N18" s="47">
        <f t="shared" si="1"/>
        <v>1004464.3333333334</v>
      </c>
      <c r="O18" s="47">
        <f t="shared" si="2"/>
        <v>1781062.5</v>
      </c>
    </row>
    <row r="19" spans="1:15" s="1" customFormat="1" x14ac:dyDescent="0.2">
      <c r="A19" s="1" t="str">
        <f>"9157059"</f>
        <v>9157059</v>
      </c>
      <c r="B19" s="1" t="str">
        <f>"رحمه سياحي"</f>
        <v>رحمه سياحي</v>
      </c>
      <c r="C19" s="1" t="str">
        <f t="shared" si="0"/>
        <v>توليد توسعه - دارخوين</v>
      </c>
      <c r="D19" s="1">
        <v>1100000</v>
      </c>
      <c r="E19" s="1">
        <v>1424850</v>
      </c>
      <c r="F19" s="1">
        <v>200000</v>
      </c>
      <c r="G19" s="1">
        <v>8000250</v>
      </c>
      <c r="H19" s="1">
        <v>291990</v>
      </c>
      <c r="I19" s="1">
        <v>0</v>
      </c>
      <c r="J19" s="1">
        <v>0</v>
      </c>
      <c r="K19" s="1">
        <v>581952</v>
      </c>
      <c r="L19" s="1">
        <v>194529</v>
      </c>
      <c r="M19" s="47">
        <f t="shared" si="3"/>
        <v>11793571</v>
      </c>
      <c r="N19" s="47">
        <f t="shared" si="1"/>
        <v>982797.58333333337</v>
      </c>
      <c r="O19" s="47">
        <f t="shared" si="2"/>
        <v>1781062.5</v>
      </c>
    </row>
    <row r="20" spans="1:15" s="1" customFormat="1" x14ac:dyDescent="0.2">
      <c r="A20" s="1" t="str">
        <f>"9157060"</f>
        <v>9157060</v>
      </c>
      <c r="B20" s="1" t="str">
        <f>"مرد سياحي"</f>
        <v>مرد سياحي</v>
      </c>
      <c r="C20" s="1" t="str">
        <f t="shared" si="0"/>
        <v>توليد توسعه - دارخوين</v>
      </c>
      <c r="D20" s="1">
        <v>1100000</v>
      </c>
      <c r="E20" s="1">
        <v>1424850</v>
      </c>
      <c r="F20" s="1">
        <v>200000</v>
      </c>
      <c r="G20" s="1">
        <v>8000250</v>
      </c>
      <c r="H20" s="1">
        <v>0</v>
      </c>
      <c r="I20" s="1">
        <v>0</v>
      </c>
      <c r="J20" s="1">
        <v>0</v>
      </c>
      <c r="K20" s="1">
        <v>581952</v>
      </c>
      <c r="L20" s="1">
        <v>724813</v>
      </c>
      <c r="M20" s="47">
        <f t="shared" si="3"/>
        <v>12031865</v>
      </c>
      <c r="N20" s="47">
        <f t="shared" si="1"/>
        <v>1002655.4166666666</v>
      </c>
      <c r="O20" s="47">
        <f t="shared" si="2"/>
        <v>1781062.5</v>
      </c>
    </row>
    <row r="21" spans="1:15" s="1" customFormat="1" x14ac:dyDescent="0.2">
      <c r="A21" s="1" t="str">
        <f>"9157065"</f>
        <v>9157065</v>
      </c>
      <c r="B21" s="1" t="str">
        <f>"رحيم عقباوي"</f>
        <v>رحيم عقباوي</v>
      </c>
      <c r="C21" s="1" t="str">
        <f t="shared" si="0"/>
        <v>توليد توسعه - دارخوين</v>
      </c>
      <c r="D21" s="1">
        <v>1100000</v>
      </c>
      <c r="E21" s="1">
        <v>2137275</v>
      </c>
      <c r="F21" s="1">
        <v>200000</v>
      </c>
      <c r="G21" s="1">
        <v>9168270</v>
      </c>
      <c r="H21" s="1">
        <v>0</v>
      </c>
      <c r="I21" s="1">
        <v>0</v>
      </c>
      <c r="J21" s="1">
        <v>0</v>
      </c>
      <c r="K21" s="1">
        <v>599952</v>
      </c>
      <c r="L21" s="1">
        <v>0</v>
      </c>
      <c r="M21" s="47">
        <f t="shared" si="3"/>
        <v>13205497</v>
      </c>
      <c r="N21" s="47">
        <f t="shared" si="1"/>
        <v>1100458.0833333333</v>
      </c>
      <c r="O21" s="47">
        <f t="shared" si="2"/>
        <v>1781062.5</v>
      </c>
    </row>
    <row r="22" spans="1:15" s="1" customFormat="1" x14ac:dyDescent="0.2">
      <c r="A22" s="1" t="str">
        <f>"9157066"</f>
        <v>9157066</v>
      </c>
      <c r="B22" s="1" t="str">
        <f>"جمشيد فرحانيان"</f>
        <v>جمشيد فرحانيان</v>
      </c>
      <c r="C22" s="1" t="str">
        <f t="shared" si="0"/>
        <v>توليد توسعه - دارخوين</v>
      </c>
      <c r="D22" s="1">
        <v>1100000</v>
      </c>
      <c r="E22" s="1">
        <v>2849700</v>
      </c>
      <c r="F22" s="1">
        <v>200000</v>
      </c>
      <c r="G22" s="1">
        <v>10725600</v>
      </c>
      <c r="H22" s="1">
        <v>0</v>
      </c>
      <c r="I22" s="1">
        <v>0</v>
      </c>
      <c r="J22" s="1">
        <v>0</v>
      </c>
      <c r="K22" s="1">
        <v>605952</v>
      </c>
      <c r="L22" s="1">
        <v>0</v>
      </c>
      <c r="M22" s="47">
        <f t="shared" si="3"/>
        <v>15481252</v>
      </c>
      <c r="N22" s="47">
        <f t="shared" si="1"/>
        <v>1290104.3333333333</v>
      </c>
      <c r="O22" s="47">
        <f t="shared" si="2"/>
        <v>1781062.5</v>
      </c>
    </row>
    <row r="23" spans="1:15" s="1" customFormat="1" x14ac:dyDescent="0.2">
      <c r="A23" s="1" t="str">
        <f>"9157068"</f>
        <v>9157068</v>
      </c>
      <c r="B23" s="1" t="str">
        <f>"مجتبي قنواتي زاده"</f>
        <v>مجتبي قنواتي زاده</v>
      </c>
      <c r="C23" s="1" t="str">
        <f t="shared" si="0"/>
        <v>توليد توسعه - دارخوين</v>
      </c>
      <c r="D23" s="1">
        <v>1100000</v>
      </c>
      <c r="E23" s="1">
        <v>1424850</v>
      </c>
      <c r="F23" s="1">
        <v>200000</v>
      </c>
      <c r="G23" s="1">
        <v>9168270</v>
      </c>
      <c r="H23" s="1">
        <v>0</v>
      </c>
      <c r="I23" s="1">
        <v>0</v>
      </c>
      <c r="J23" s="1">
        <v>0</v>
      </c>
      <c r="K23" s="1">
        <v>599952</v>
      </c>
      <c r="L23" s="1">
        <v>0</v>
      </c>
      <c r="M23" s="47">
        <f t="shared" si="3"/>
        <v>12493072</v>
      </c>
      <c r="N23" s="47">
        <f t="shared" si="1"/>
        <v>1041089.3333333334</v>
      </c>
      <c r="O23" s="47">
        <f t="shared" si="2"/>
        <v>1781062.5</v>
      </c>
    </row>
    <row r="24" spans="1:15" s="1" customFormat="1" x14ac:dyDescent="0.2">
      <c r="A24" s="1" t="str">
        <f>"9157069"</f>
        <v>9157069</v>
      </c>
      <c r="B24" s="1" t="str">
        <f>"رضا محمدحسيني"</f>
        <v>رضا محمدحسيني</v>
      </c>
      <c r="C24" s="1" t="str">
        <f t="shared" si="0"/>
        <v>توليد توسعه - دارخوين</v>
      </c>
      <c r="D24" s="1">
        <v>1100000</v>
      </c>
      <c r="E24" s="1">
        <v>712425</v>
      </c>
      <c r="F24" s="1">
        <v>200000</v>
      </c>
      <c r="G24" s="1">
        <v>11893590</v>
      </c>
      <c r="H24" s="1">
        <v>0</v>
      </c>
      <c r="I24" s="1">
        <v>0</v>
      </c>
      <c r="J24" s="1">
        <v>0</v>
      </c>
      <c r="K24" s="1">
        <v>635952</v>
      </c>
      <c r="L24" s="1">
        <v>0</v>
      </c>
      <c r="M24" s="47">
        <f t="shared" si="3"/>
        <v>14541967</v>
      </c>
      <c r="N24" s="47">
        <f t="shared" si="1"/>
        <v>1211830.5833333333</v>
      </c>
      <c r="O24" s="47">
        <f t="shared" si="2"/>
        <v>1781062.5</v>
      </c>
    </row>
    <row r="25" spans="1:15" s="1" customFormat="1" x14ac:dyDescent="0.2">
      <c r="A25" s="1" t="str">
        <f>"9157070"</f>
        <v>9157070</v>
      </c>
      <c r="B25" s="1" t="str">
        <f>"فاضل مقدم"</f>
        <v>فاضل مقدم</v>
      </c>
      <c r="C25" s="1" t="str">
        <f t="shared" si="0"/>
        <v>توليد توسعه - دارخوين</v>
      </c>
      <c r="D25" s="1">
        <v>1100000</v>
      </c>
      <c r="E25" s="1">
        <v>2137275</v>
      </c>
      <c r="F25" s="1">
        <v>200000</v>
      </c>
      <c r="G25" s="1">
        <v>9654930</v>
      </c>
      <c r="H25" s="1">
        <v>0</v>
      </c>
      <c r="I25" s="1">
        <v>0</v>
      </c>
      <c r="J25" s="1">
        <v>0</v>
      </c>
      <c r="K25" s="1">
        <v>605952</v>
      </c>
      <c r="L25" s="1">
        <v>0</v>
      </c>
      <c r="M25" s="47">
        <f t="shared" si="3"/>
        <v>13698157</v>
      </c>
      <c r="N25" s="47">
        <f t="shared" si="1"/>
        <v>1141513.0833333333</v>
      </c>
      <c r="O25" s="47">
        <f t="shared" si="2"/>
        <v>1781062.5</v>
      </c>
    </row>
    <row r="26" spans="1:15" s="1" customFormat="1" x14ac:dyDescent="0.2">
      <c r="A26" s="1" t="str">
        <f>"9157072"</f>
        <v>9157072</v>
      </c>
      <c r="B26" s="1" t="str">
        <f>"محمدامين نادري"</f>
        <v>محمدامين نادري</v>
      </c>
      <c r="C26" s="1" t="str">
        <f t="shared" si="0"/>
        <v>توليد توسعه - دارخوين</v>
      </c>
      <c r="D26" s="1">
        <v>1100000</v>
      </c>
      <c r="E26" s="1">
        <v>712425</v>
      </c>
      <c r="F26" s="1">
        <v>200000</v>
      </c>
      <c r="G26" s="1">
        <v>8778930</v>
      </c>
      <c r="H26" s="1">
        <v>0</v>
      </c>
      <c r="I26" s="1">
        <v>0</v>
      </c>
      <c r="J26" s="1">
        <v>0</v>
      </c>
      <c r="K26" s="1">
        <v>599952</v>
      </c>
      <c r="L26" s="1">
        <v>0</v>
      </c>
      <c r="M26" s="47">
        <f t="shared" si="3"/>
        <v>11391307</v>
      </c>
      <c r="N26" s="47">
        <f t="shared" si="1"/>
        <v>949275.58333333337</v>
      </c>
      <c r="O26" s="47">
        <f t="shared" si="2"/>
        <v>1781062.5</v>
      </c>
    </row>
    <row r="27" spans="1:15" s="1" customFormat="1" x14ac:dyDescent="0.2">
      <c r="A27" s="1" t="str">
        <f>"9157075"</f>
        <v>9157075</v>
      </c>
      <c r="B27" s="1" t="str">
        <f>"علي پورحزبه"</f>
        <v>علي پورحزبه</v>
      </c>
      <c r="C27" s="1" t="str">
        <f t="shared" si="0"/>
        <v>توليد توسعه - دارخوين</v>
      </c>
      <c r="D27" s="1">
        <v>1100000</v>
      </c>
      <c r="E27" s="1">
        <v>712425</v>
      </c>
      <c r="F27" s="1">
        <v>200000</v>
      </c>
      <c r="G27" s="1">
        <v>9168270</v>
      </c>
      <c r="H27" s="1">
        <v>0</v>
      </c>
      <c r="I27" s="1">
        <v>0</v>
      </c>
      <c r="J27" s="1">
        <v>0</v>
      </c>
      <c r="K27" s="1">
        <v>593952</v>
      </c>
      <c r="L27" s="1">
        <v>46155</v>
      </c>
      <c r="M27" s="47">
        <f t="shared" si="3"/>
        <v>11820802</v>
      </c>
      <c r="N27" s="47">
        <f t="shared" si="1"/>
        <v>985066.83333333337</v>
      </c>
      <c r="O27" s="47">
        <f t="shared" si="2"/>
        <v>1781062.5</v>
      </c>
    </row>
    <row r="28" spans="1:15" s="1" customFormat="1" x14ac:dyDescent="0.2">
      <c r="A28" s="1" t="str">
        <f>"9157077"</f>
        <v>9157077</v>
      </c>
      <c r="B28" s="1" t="str">
        <f>"جاسم جامدي باوي"</f>
        <v>جاسم جامدي باوي</v>
      </c>
      <c r="C28" s="1" t="str">
        <f t="shared" si="0"/>
        <v>توليد توسعه - دارخوين</v>
      </c>
      <c r="D28" s="1">
        <v>1100000</v>
      </c>
      <c r="E28" s="1">
        <v>1424850</v>
      </c>
      <c r="F28" s="1">
        <v>200000</v>
      </c>
      <c r="G28" s="1">
        <v>8778930</v>
      </c>
      <c r="H28" s="1">
        <v>389340</v>
      </c>
      <c r="I28" s="1">
        <v>0</v>
      </c>
      <c r="J28" s="1">
        <v>0</v>
      </c>
      <c r="K28" s="1">
        <v>593952</v>
      </c>
      <c r="L28" s="1">
        <v>0</v>
      </c>
      <c r="M28" s="47">
        <f t="shared" si="3"/>
        <v>12487072</v>
      </c>
      <c r="N28" s="47">
        <f t="shared" si="1"/>
        <v>1040589.3333333334</v>
      </c>
      <c r="O28" s="47">
        <f t="shared" si="2"/>
        <v>1781062.5</v>
      </c>
    </row>
    <row r="29" spans="1:15" s="1" customFormat="1" x14ac:dyDescent="0.2">
      <c r="A29" s="1" t="str">
        <f>"9157079"</f>
        <v>9157079</v>
      </c>
      <c r="B29" s="1" t="str">
        <f>"مزعل جليزي"</f>
        <v>مزعل جليزي</v>
      </c>
      <c r="C29" s="1" t="str">
        <f t="shared" si="0"/>
        <v>توليد توسعه - دارخوين</v>
      </c>
      <c r="D29" s="1">
        <v>1100000</v>
      </c>
      <c r="E29" s="1">
        <v>2849700</v>
      </c>
      <c r="F29" s="1">
        <v>200000</v>
      </c>
      <c r="G29" s="1">
        <v>10141620</v>
      </c>
      <c r="H29" s="1">
        <v>0</v>
      </c>
      <c r="I29" s="1">
        <v>0</v>
      </c>
      <c r="J29" s="1">
        <v>0</v>
      </c>
      <c r="K29" s="1">
        <v>611952</v>
      </c>
      <c r="L29" s="1">
        <v>0</v>
      </c>
      <c r="M29" s="47">
        <f t="shared" si="3"/>
        <v>14903272</v>
      </c>
      <c r="N29" s="47">
        <f t="shared" si="1"/>
        <v>1241939.3333333333</v>
      </c>
      <c r="O29" s="47">
        <f t="shared" si="2"/>
        <v>1781062.5</v>
      </c>
    </row>
    <row r="30" spans="1:15" s="1" customFormat="1" x14ac:dyDescent="0.2">
      <c r="A30" s="1" t="str">
        <f>"9157081"</f>
        <v>9157081</v>
      </c>
      <c r="B30" s="1" t="str">
        <f>"فهد چاملي"</f>
        <v>فهد چاملي</v>
      </c>
      <c r="C30" s="1" t="str">
        <f t="shared" si="0"/>
        <v>توليد توسعه - دارخوين</v>
      </c>
      <c r="D30" s="1">
        <v>1100000</v>
      </c>
      <c r="E30" s="1">
        <v>1424850</v>
      </c>
      <c r="F30" s="1">
        <v>200000</v>
      </c>
      <c r="G30" s="1">
        <v>8778930</v>
      </c>
      <c r="H30" s="1">
        <v>0</v>
      </c>
      <c r="I30" s="1">
        <v>0</v>
      </c>
      <c r="J30" s="1">
        <v>0</v>
      </c>
      <c r="K30" s="1">
        <v>599952</v>
      </c>
      <c r="L30" s="1">
        <v>0</v>
      </c>
      <c r="M30" s="47">
        <f t="shared" si="3"/>
        <v>12103732</v>
      </c>
      <c r="N30" s="47">
        <f t="shared" si="1"/>
        <v>1008644.3333333334</v>
      </c>
      <c r="O30" s="47">
        <f t="shared" si="2"/>
        <v>1781062.5</v>
      </c>
    </row>
    <row r="31" spans="1:15" s="1" customFormat="1" x14ac:dyDescent="0.2">
      <c r="A31" s="1" t="str">
        <f>"9157084"</f>
        <v>9157084</v>
      </c>
      <c r="B31" s="1" t="str">
        <f>"ايوب حويزاوي"</f>
        <v>ايوب حويزاوي</v>
      </c>
      <c r="C31" s="1" t="str">
        <f t="shared" si="0"/>
        <v>توليد توسعه - دارخوين</v>
      </c>
      <c r="D31" s="1">
        <v>1100000</v>
      </c>
      <c r="E31" s="1">
        <v>1424850</v>
      </c>
      <c r="F31" s="1">
        <v>200000</v>
      </c>
      <c r="G31" s="1">
        <v>9168270</v>
      </c>
      <c r="H31" s="1">
        <v>0</v>
      </c>
      <c r="I31" s="1">
        <v>0</v>
      </c>
      <c r="J31" s="1">
        <v>0</v>
      </c>
      <c r="K31" s="1">
        <v>585315</v>
      </c>
      <c r="L31" s="1">
        <v>0</v>
      </c>
      <c r="M31" s="47">
        <f t="shared" si="3"/>
        <v>12478435</v>
      </c>
      <c r="N31" s="47">
        <f t="shared" si="1"/>
        <v>1039869.5833333334</v>
      </c>
      <c r="O31" s="47">
        <f t="shared" si="2"/>
        <v>1781062.5</v>
      </c>
    </row>
    <row r="32" spans="1:15" s="1" customFormat="1" x14ac:dyDescent="0.2">
      <c r="A32" s="1" t="str">
        <f>"9157089"</f>
        <v>9157089</v>
      </c>
      <c r="B32" s="1" t="str">
        <f>"منصور خنفري راد"</f>
        <v>منصور خنفري راد</v>
      </c>
      <c r="C32" s="1" t="str">
        <f t="shared" si="0"/>
        <v>توليد توسعه - دارخوين</v>
      </c>
      <c r="D32" s="1">
        <v>1100000</v>
      </c>
      <c r="E32" s="1">
        <v>1424850</v>
      </c>
      <c r="F32" s="1">
        <v>200000</v>
      </c>
      <c r="G32" s="1">
        <v>10725600</v>
      </c>
      <c r="H32" s="1">
        <v>0</v>
      </c>
      <c r="I32" s="1">
        <v>0</v>
      </c>
      <c r="J32" s="1">
        <v>0</v>
      </c>
      <c r="K32" s="1">
        <v>617952</v>
      </c>
      <c r="L32" s="1">
        <v>0</v>
      </c>
      <c r="M32" s="47">
        <f t="shared" si="3"/>
        <v>14068402</v>
      </c>
      <c r="N32" s="47">
        <f t="shared" si="1"/>
        <v>1172366.8333333333</v>
      </c>
      <c r="O32" s="47">
        <f t="shared" si="2"/>
        <v>1781062.5</v>
      </c>
    </row>
    <row r="33" spans="1:15" s="1" customFormat="1" x14ac:dyDescent="0.2">
      <c r="A33" s="1" t="str">
        <f>"9157090"</f>
        <v>9157090</v>
      </c>
      <c r="B33" s="1" t="str">
        <f>"جميل زرگاني"</f>
        <v>جميل زرگاني</v>
      </c>
      <c r="C33" s="1" t="str">
        <f t="shared" si="0"/>
        <v>توليد توسعه - دارخوين</v>
      </c>
      <c r="D33" s="1">
        <v>1100000</v>
      </c>
      <c r="E33" s="1">
        <v>1424850</v>
      </c>
      <c r="F33" s="1">
        <v>200000</v>
      </c>
      <c r="G33" s="1">
        <v>10725600</v>
      </c>
      <c r="H33" s="1">
        <v>0</v>
      </c>
      <c r="I33" s="1">
        <v>0</v>
      </c>
      <c r="J33" s="1">
        <v>0</v>
      </c>
      <c r="K33" s="1">
        <v>617952</v>
      </c>
      <c r="L33" s="1">
        <v>0</v>
      </c>
      <c r="M33" s="47">
        <f t="shared" si="3"/>
        <v>14068402</v>
      </c>
      <c r="N33" s="47">
        <f t="shared" si="1"/>
        <v>1172366.8333333333</v>
      </c>
      <c r="O33" s="47">
        <f t="shared" si="2"/>
        <v>1781062.5</v>
      </c>
    </row>
    <row r="34" spans="1:15" s="1" customFormat="1" x14ac:dyDescent="0.2">
      <c r="A34" s="1" t="str">
        <f>"9157091"</f>
        <v>9157091</v>
      </c>
      <c r="B34" s="1" t="str">
        <f>"علي ساري"</f>
        <v>علي ساري</v>
      </c>
      <c r="C34" s="1" t="str">
        <f t="shared" si="0"/>
        <v>توليد توسعه - دارخوين</v>
      </c>
      <c r="D34" s="1">
        <v>1100000</v>
      </c>
      <c r="E34" s="1">
        <v>712425</v>
      </c>
      <c r="F34" s="1">
        <v>200000</v>
      </c>
      <c r="G34" s="1">
        <v>8778930</v>
      </c>
      <c r="H34" s="1">
        <v>0</v>
      </c>
      <c r="I34" s="1">
        <v>0</v>
      </c>
      <c r="J34" s="1">
        <v>0</v>
      </c>
      <c r="K34" s="1">
        <v>593952</v>
      </c>
      <c r="L34" s="1">
        <v>16448</v>
      </c>
      <c r="M34" s="47">
        <f t="shared" si="3"/>
        <v>11401755</v>
      </c>
      <c r="N34" s="47">
        <f t="shared" si="1"/>
        <v>950146.25</v>
      </c>
      <c r="O34" s="47">
        <f t="shared" si="2"/>
        <v>1781062.5</v>
      </c>
    </row>
    <row r="35" spans="1:15" ht="15.75" x14ac:dyDescent="0.25">
      <c r="N35" s="48">
        <f t="shared" ref="N35:O35" si="4">SUM(N4:N34)</f>
        <v>33643419.666666657</v>
      </c>
      <c r="O35" s="48">
        <f t="shared" si="4"/>
        <v>55171797.833333328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rightToLeft="1" view="pageBreakPreview" zoomScale="60" zoomScaleNormal="55" workbookViewId="0">
      <selection activeCell="E9" sqref="E9"/>
    </sheetView>
  </sheetViews>
  <sheetFormatPr defaultRowHeight="14.25" x14ac:dyDescent="0.2"/>
  <cols>
    <col min="1" max="1" width="5.625" customWidth="1"/>
    <col min="2" max="2" width="12" customWidth="1"/>
    <col min="3" max="3" width="17.75" customWidth="1"/>
    <col min="4" max="4" width="17.625" customWidth="1"/>
    <col min="5" max="5" width="25.25" customWidth="1"/>
    <col min="6" max="6" width="21.25" customWidth="1"/>
    <col min="7" max="7" width="18.375" customWidth="1"/>
    <col min="8" max="8" width="22.5" customWidth="1"/>
    <col min="9" max="9" width="19.25" customWidth="1"/>
    <col min="10" max="10" width="23.75" customWidth="1"/>
    <col min="11" max="11" width="5.625" customWidth="1"/>
    <col min="15" max="15" width="14.125" bestFit="1" customWidth="1"/>
  </cols>
  <sheetData>
    <row r="1" spans="1:19" ht="56.25" customHeight="1" x14ac:dyDescent="0.2">
      <c r="A1" s="4"/>
      <c r="B1" s="55" t="s">
        <v>276</v>
      </c>
      <c r="C1" s="55"/>
      <c r="D1" s="55"/>
      <c r="E1" s="55"/>
      <c r="F1" s="55"/>
      <c r="G1" s="55"/>
      <c r="H1" s="55"/>
      <c r="I1" s="55"/>
      <c r="J1" s="55"/>
      <c r="K1" s="4"/>
      <c r="L1" s="5"/>
      <c r="M1" s="5"/>
      <c r="N1" s="4"/>
      <c r="O1" s="4"/>
      <c r="P1" s="4"/>
      <c r="Q1" s="4"/>
      <c r="R1" s="4"/>
      <c r="S1" s="4"/>
    </row>
    <row r="2" spans="1:19" ht="26.25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4"/>
      <c r="L2" s="5"/>
      <c r="M2" s="5"/>
      <c r="N2" s="4"/>
      <c r="O2" s="4"/>
      <c r="P2" s="4"/>
      <c r="Q2" s="4"/>
      <c r="R2" s="4"/>
      <c r="S2" s="4"/>
    </row>
    <row r="3" spans="1:19" ht="25.5" thickBot="1" x14ac:dyDescent="0.25">
      <c r="A3" s="4"/>
      <c r="B3" s="7"/>
      <c r="C3" s="7"/>
      <c r="D3" s="7"/>
      <c r="E3" s="8"/>
      <c r="F3" s="8"/>
      <c r="G3" s="8"/>
      <c r="H3" s="8"/>
      <c r="I3" s="8"/>
      <c r="J3" s="8"/>
      <c r="K3" s="4"/>
      <c r="L3" s="5"/>
      <c r="M3" s="5"/>
      <c r="N3" s="4"/>
      <c r="O3" s="4"/>
      <c r="P3" s="4"/>
      <c r="Q3" s="4"/>
      <c r="R3" s="9"/>
      <c r="S3" s="9"/>
    </row>
    <row r="4" spans="1:19" ht="91.5" customHeight="1" x14ac:dyDescent="0.2">
      <c r="A4" s="10"/>
      <c r="B4" s="11" t="s">
        <v>252</v>
      </c>
      <c r="C4" s="12" t="s">
        <v>253</v>
      </c>
      <c r="D4" s="12" t="s">
        <v>254</v>
      </c>
      <c r="E4" s="13" t="s">
        <v>255</v>
      </c>
      <c r="F4" s="14" t="s">
        <v>256</v>
      </c>
      <c r="G4" s="14" t="s">
        <v>257</v>
      </c>
      <c r="H4" s="14" t="s">
        <v>258</v>
      </c>
      <c r="I4" s="13" t="s">
        <v>259</v>
      </c>
      <c r="J4" s="15" t="s">
        <v>260</v>
      </c>
      <c r="K4" s="9"/>
      <c r="L4" s="16"/>
      <c r="M4" s="16"/>
      <c r="N4" s="9"/>
      <c r="O4" s="9"/>
      <c r="P4" s="9"/>
      <c r="Q4" s="9"/>
      <c r="R4" s="4"/>
      <c r="S4" s="4"/>
    </row>
    <row r="5" spans="1:19" ht="62.25" customHeight="1" x14ac:dyDescent="0.2">
      <c r="A5" s="17"/>
      <c r="B5" s="18">
        <v>1</v>
      </c>
      <c r="C5" s="19" t="s">
        <v>275</v>
      </c>
      <c r="D5" s="19">
        <v>31</v>
      </c>
      <c r="E5" s="20">
        <f>'آبان توليد توسعه دارخوين'!CR33</f>
        <v>466304261</v>
      </c>
      <c r="F5" s="20">
        <f>'آبان توليد توسعه دارخوين'!CI33+'آبان توليد توسعه دارخوين'!CJ33</f>
        <v>82986734</v>
      </c>
      <c r="G5" s="20">
        <f>'سنوات '!N35</f>
        <v>33643419.666666657</v>
      </c>
      <c r="H5" s="20">
        <f>'سنوات '!O35</f>
        <v>55171797.833333328</v>
      </c>
      <c r="I5" s="20">
        <f>SUM(E5:H5)*3%</f>
        <v>19143186.375</v>
      </c>
      <c r="J5" s="21">
        <f>SUM(E5:I5)</f>
        <v>657249398.875</v>
      </c>
      <c r="K5" s="22"/>
      <c r="L5" s="23"/>
      <c r="M5" s="23"/>
      <c r="N5" s="22"/>
      <c r="O5" s="22"/>
      <c r="P5" s="22"/>
      <c r="Q5" s="22"/>
      <c r="R5" s="22"/>
      <c r="S5" s="22"/>
    </row>
    <row r="6" spans="1:19" ht="62.25" customHeight="1" thickBot="1" x14ac:dyDescent="0.25">
      <c r="A6" s="24"/>
      <c r="B6" s="25"/>
      <c r="C6" s="26"/>
      <c r="D6" s="27" t="s">
        <v>260</v>
      </c>
      <c r="E6" s="28">
        <f t="shared" ref="E6:J6" si="0">E5</f>
        <v>466304261</v>
      </c>
      <c r="F6" s="28">
        <f t="shared" si="0"/>
        <v>82986734</v>
      </c>
      <c r="G6" s="28">
        <f t="shared" si="0"/>
        <v>33643419.666666657</v>
      </c>
      <c r="H6" s="49">
        <f t="shared" si="0"/>
        <v>55171797.833333328</v>
      </c>
      <c r="I6" s="49">
        <f t="shared" si="0"/>
        <v>19143186.375</v>
      </c>
      <c r="J6" s="50">
        <f t="shared" si="0"/>
        <v>657249398.875</v>
      </c>
      <c r="K6" s="6"/>
      <c r="L6" s="29"/>
      <c r="M6" s="29"/>
      <c r="N6" s="30"/>
      <c r="O6" s="51"/>
      <c r="P6" s="30"/>
      <c r="Q6" s="30"/>
      <c r="R6" s="31"/>
      <c r="S6" s="31"/>
    </row>
    <row r="7" spans="1:19" ht="62.25" customHeight="1" x14ac:dyDescent="0.2">
      <c r="A7" s="30"/>
      <c r="B7" s="24"/>
      <c r="C7" s="32"/>
      <c r="D7" s="33"/>
      <c r="E7" s="33"/>
      <c r="F7" s="33"/>
      <c r="G7" s="33"/>
      <c r="H7" s="62" t="s">
        <v>261</v>
      </c>
      <c r="I7" s="63"/>
      <c r="J7" s="52">
        <f>J6</f>
        <v>657249398.875</v>
      </c>
      <c r="K7" s="6"/>
      <c r="L7" s="34"/>
      <c r="M7" s="34"/>
      <c r="N7" s="30"/>
      <c r="O7" s="30"/>
      <c r="P7" s="30"/>
      <c r="Q7" s="30"/>
      <c r="R7" s="31"/>
      <c r="S7" s="31"/>
    </row>
    <row r="8" spans="1:19" ht="62.25" customHeight="1" x14ac:dyDescent="0.2">
      <c r="A8" s="30"/>
      <c r="B8" s="24"/>
      <c r="C8" s="32"/>
      <c r="D8" s="33"/>
      <c r="E8" s="33"/>
      <c r="F8" s="33"/>
      <c r="G8" s="33"/>
      <c r="H8" s="64" t="s">
        <v>262</v>
      </c>
      <c r="I8" s="65"/>
      <c r="J8" s="53">
        <f>J7*9%</f>
        <v>59152445.89875</v>
      </c>
      <c r="K8" s="6"/>
      <c r="L8" s="34"/>
      <c r="M8" s="34"/>
      <c r="N8" s="30"/>
      <c r="O8" s="30"/>
      <c r="P8" s="30"/>
      <c r="Q8" s="30"/>
      <c r="R8" s="31"/>
      <c r="S8" s="31"/>
    </row>
    <row r="9" spans="1:19" ht="62.25" customHeight="1" thickBot="1" x14ac:dyDescent="0.25">
      <c r="A9" s="35"/>
      <c r="B9" s="36"/>
      <c r="C9" s="36"/>
      <c r="D9" s="36"/>
      <c r="E9" s="37"/>
      <c r="F9" s="36"/>
      <c r="G9" s="37"/>
      <c r="H9" s="66" t="s">
        <v>260</v>
      </c>
      <c r="I9" s="67"/>
      <c r="J9" s="54">
        <f>J8+J7</f>
        <v>716401844.77374995</v>
      </c>
      <c r="K9" s="37"/>
      <c r="L9" s="38"/>
      <c r="M9" s="38"/>
      <c r="N9" s="36"/>
      <c r="O9" s="36"/>
      <c r="P9" s="36"/>
      <c r="Q9" s="36"/>
      <c r="R9" s="36"/>
      <c r="S9" s="36"/>
    </row>
    <row r="10" spans="1:19" ht="24" x14ac:dyDescent="0.2">
      <c r="D10" s="39"/>
      <c r="E10" s="39"/>
      <c r="I10" s="40"/>
      <c r="J10" s="41"/>
    </row>
    <row r="12" spans="1:19" ht="15" thickBot="1" x14ac:dyDescent="0.25"/>
    <row r="13" spans="1:19" ht="129.94999999999999" customHeight="1" thickBot="1" x14ac:dyDescent="0.25">
      <c r="A13" s="42"/>
      <c r="B13" s="56" t="s">
        <v>263</v>
      </c>
      <c r="C13" s="57"/>
      <c r="D13" s="58"/>
      <c r="E13" s="56" t="s">
        <v>264</v>
      </c>
      <c r="F13" s="57"/>
      <c r="G13" s="58"/>
      <c r="H13" s="59" t="s">
        <v>265</v>
      </c>
      <c r="I13" s="60"/>
      <c r="J13" s="61"/>
      <c r="K13" s="43"/>
      <c r="L13" s="43"/>
      <c r="M13" s="44"/>
      <c r="N13" s="44"/>
      <c r="O13" s="44"/>
      <c r="P13" s="44"/>
      <c r="Q13" s="44"/>
      <c r="R13" s="44"/>
      <c r="S13" s="45"/>
    </row>
  </sheetData>
  <mergeCells count="7">
    <mergeCell ref="B1:J1"/>
    <mergeCell ref="B13:D13"/>
    <mergeCell ref="E13:G13"/>
    <mergeCell ref="H13:J13"/>
    <mergeCell ref="H7:I7"/>
    <mergeCell ref="H8:I8"/>
    <mergeCell ref="H9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آبان توليد توسعه دارخوين</vt:lpstr>
      <vt:lpstr>سنوات </vt:lpstr>
      <vt:lpstr>جدول  </vt:lpstr>
      <vt:lpstr>'جدول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2015-12-13T14:06:17Z</cp:lastPrinted>
  <dcterms:created xsi:type="dcterms:W3CDTF">2015-11-23T07:44:39Z</dcterms:created>
  <dcterms:modified xsi:type="dcterms:W3CDTF">2015-12-13T14:06:24Z</dcterms:modified>
</cp:coreProperties>
</file>