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10050"/>
  </bookViews>
  <sheets>
    <sheet name="9806" sheetId="1" r:id="rId1"/>
  </sheets>
  <calcPr calcId="145621"/>
</workbook>
</file>

<file path=xl/calcChain.xml><?xml version="1.0" encoding="utf-8"?>
<calcChain xmlns="http://schemas.openxmlformats.org/spreadsheetml/2006/main">
  <c r="AT1143" i="1" l="1"/>
  <c r="AT3" i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T506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0" i="1"/>
  <c r="AT521" i="1"/>
  <c r="AT522" i="1"/>
  <c r="AT523" i="1"/>
  <c r="AT524" i="1"/>
  <c r="AT525" i="1"/>
  <c r="AT526" i="1"/>
  <c r="AT527" i="1"/>
  <c r="AT528" i="1"/>
  <c r="AT529" i="1"/>
  <c r="AT530" i="1"/>
  <c r="AT531" i="1"/>
  <c r="AT532" i="1"/>
  <c r="AT533" i="1"/>
  <c r="AT534" i="1"/>
  <c r="AT535" i="1"/>
  <c r="AT536" i="1"/>
  <c r="AT537" i="1"/>
  <c r="AT538" i="1"/>
  <c r="AT539" i="1"/>
  <c r="AT540" i="1"/>
  <c r="AT541" i="1"/>
  <c r="AT542" i="1"/>
  <c r="AT543" i="1"/>
  <c r="AT544" i="1"/>
  <c r="AT545" i="1"/>
  <c r="AT546" i="1"/>
  <c r="AT547" i="1"/>
  <c r="AT548" i="1"/>
  <c r="AT549" i="1"/>
  <c r="AT550" i="1"/>
  <c r="AT551" i="1"/>
  <c r="AT552" i="1"/>
  <c r="AT553" i="1"/>
  <c r="AT554" i="1"/>
  <c r="AT555" i="1"/>
  <c r="AT556" i="1"/>
  <c r="AT557" i="1"/>
  <c r="AT558" i="1"/>
  <c r="AT559" i="1"/>
  <c r="AT560" i="1"/>
  <c r="AT561" i="1"/>
  <c r="AT562" i="1"/>
  <c r="AT563" i="1"/>
  <c r="AT564" i="1"/>
  <c r="AT565" i="1"/>
  <c r="AT566" i="1"/>
  <c r="AT567" i="1"/>
  <c r="AT568" i="1"/>
  <c r="AT569" i="1"/>
  <c r="AT570" i="1"/>
  <c r="AT571" i="1"/>
  <c r="AT572" i="1"/>
  <c r="AT573" i="1"/>
  <c r="AT574" i="1"/>
  <c r="AT575" i="1"/>
  <c r="AT576" i="1"/>
  <c r="AT577" i="1"/>
  <c r="AT578" i="1"/>
  <c r="AT579" i="1"/>
  <c r="AT580" i="1"/>
  <c r="AT581" i="1"/>
  <c r="AT582" i="1"/>
  <c r="AT583" i="1"/>
  <c r="AT584" i="1"/>
  <c r="AT585" i="1"/>
  <c r="AT586" i="1"/>
  <c r="AT587" i="1"/>
  <c r="AT588" i="1"/>
  <c r="AT589" i="1"/>
  <c r="AT590" i="1"/>
  <c r="AT591" i="1"/>
  <c r="AT592" i="1"/>
  <c r="AT593" i="1"/>
  <c r="AT594" i="1"/>
  <c r="AT595" i="1"/>
  <c r="AT596" i="1"/>
  <c r="AT597" i="1"/>
  <c r="AT598" i="1"/>
  <c r="AT599" i="1"/>
  <c r="AT600" i="1"/>
  <c r="AT601" i="1"/>
  <c r="AT602" i="1"/>
  <c r="AT603" i="1"/>
  <c r="AT604" i="1"/>
  <c r="AT605" i="1"/>
  <c r="AT606" i="1"/>
  <c r="AT607" i="1"/>
  <c r="AT608" i="1"/>
  <c r="AT609" i="1"/>
  <c r="AT610" i="1"/>
  <c r="AT611" i="1"/>
  <c r="AT612" i="1"/>
  <c r="AT613" i="1"/>
  <c r="AT614" i="1"/>
  <c r="AT615" i="1"/>
  <c r="AT616" i="1"/>
  <c r="AT617" i="1"/>
  <c r="AT618" i="1"/>
  <c r="AT619" i="1"/>
  <c r="AT620" i="1"/>
  <c r="AT621" i="1"/>
  <c r="AT622" i="1"/>
  <c r="AT623" i="1"/>
  <c r="AT624" i="1"/>
  <c r="AT625" i="1"/>
  <c r="AT626" i="1"/>
  <c r="AT627" i="1"/>
  <c r="AT628" i="1"/>
  <c r="AT629" i="1"/>
  <c r="AT630" i="1"/>
  <c r="AT631" i="1"/>
  <c r="AT632" i="1"/>
  <c r="AT633" i="1"/>
  <c r="AT634" i="1"/>
  <c r="AT635" i="1"/>
  <c r="AT636" i="1"/>
  <c r="AT637" i="1"/>
  <c r="AT638" i="1"/>
  <c r="AT639" i="1"/>
  <c r="AT640" i="1"/>
  <c r="AT641" i="1"/>
  <c r="AT642" i="1"/>
  <c r="AT643" i="1"/>
  <c r="AT644" i="1"/>
  <c r="AT645" i="1"/>
  <c r="AT646" i="1"/>
  <c r="AT647" i="1"/>
  <c r="AT648" i="1"/>
  <c r="AT649" i="1"/>
  <c r="AT650" i="1"/>
  <c r="AT651" i="1"/>
  <c r="AT652" i="1"/>
  <c r="AT653" i="1"/>
  <c r="AT654" i="1"/>
  <c r="AT655" i="1"/>
  <c r="AT656" i="1"/>
  <c r="AT657" i="1"/>
  <c r="AT658" i="1"/>
  <c r="AT659" i="1"/>
  <c r="AT660" i="1"/>
  <c r="AT661" i="1"/>
  <c r="AT662" i="1"/>
  <c r="AT663" i="1"/>
  <c r="AT664" i="1"/>
  <c r="AT665" i="1"/>
  <c r="AT666" i="1"/>
  <c r="AT667" i="1"/>
  <c r="AT668" i="1"/>
  <c r="AT669" i="1"/>
  <c r="AT670" i="1"/>
  <c r="AT671" i="1"/>
  <c r="AT672" i="1"/>
  <c r="AT673" i="1"/>
  <c r="AT674" i="1"/>
  <c r="AT675" i="1"/>
  <c r="AT676" i="1"/>
  <c r="AT677" i="1"/>
  <c r="AT678" i="1"/>
  <c r="AT679" i="1"/>
  <c r="AT680" i="1"/>
  <c r="AT681" i="1"/>
  <c r="AT682" i="1"/>
  <c r="AT683" i="1"/>
  <c r="AT684" i="1"/>
  <c r="AT685" i="1"/>
  <c r="AT686" i="1"/>
  <c r="AT687" i="1"/>
  <c r="AT688" i="1"/>
  <c r="AT689" i="1"/>
  <c r="AT690" i="1"/>
  <c r="AT691" i="1"/>
  <c r="AT692" i="1"/>
  <c r="AT693" i="1"/>
  <c r="AT694" i="1"/>
  <c r="AT695" i="1"/>
  <c r="AT696" i="1"/>
  <c r="AT697" i="1"/>
  <c r="AT698" i="1"/>
  <c r="AT699" i="1"/>
  <c r="AT700" i="1"/>
  <c r="AT701" i="1"/>
  <c r="AT702" i="1"/>
  <c r="AT703" i="1"/>
  <c r="AT704" i="1"/>
  <c r="AT705" i="1"/>
  <c r="AT706" i="1"/>
  <c r="AT707" i="1"/>
  <c r="AT708" i="1"/>
  <c r="AT709" i="1"/>
  <c r="AT710" i="1"/>
  <c r="AT711" i="1"/>
  <c r="AT712" i="1"/>
  <c r="AT713" i="1"/>
  <c r="AT714" i="1"/>
  <c r="AT715" i="1"/>
  <c r="AT716" i="1"/>
  <c r="AT717" i="1"/>
  <c r="AT718" i="1"/>
  <c r="AT719" i="1"/>
  <c r="AT720" i="1"/>
  <c r="AT721" i="1"/>
  <c r="AT722" i="1"/>
  <c r="AT723" i="1"/>
  <c r="AT724" i="1"/>
  <c r="AT725" i="1"/>
  <c r="AT726" i="1"/>
  <c r="AT727" i="1"/>
  <c r="AT728" i="1"/>
  <c r="AT729" i="1"/>
  <c r="AT730" i="1"/>
  <c r="AT731" i="1"/>
  <c r="AT732" i="1"/>
  <c r="AT733" i="1"/>
  <c r="AT734" i="1"/>
  <c r="AT735" i="1"/>
  <c r="AT736" i="1"/>
  <c r="AT737" i="1"/>
  <c r="AT738" i="1"/>
  <c r="AT739" i="1"/>
  <c r="AT740" i="1"/>
  <c r="AT741" i="1"/>
  <c r="AT742" i="1"/>
  <c r="AT743" i="1"/>
  <c r="AT744" i="1"/>
  <c r="AT745" i="1"/>
  <c r="AT746" i="1"/>
  <c r="AT747" i="1"/>
  <c r="AT748" i="1"/>
  <c r="AT749" i="1"/>
  <c r="AT750" i="1"/>
  <c r="AT751" i="1"/>
  <c r="AT752" i="1"/>
  <c r="AT753" i="1"/>
  <c r="AT754" i="1"/>
  <c r="AT755" i="1"/>
  <c r="AT756" i="1"/>
  <c r="AT757" i="1"/>
  <c r="AT758" i="1"/>
  <c r="AT759" i="1"/>
  <c r="AT760" i="1"/>
  <c r="AT761" i="1"/>
  <c r="AT762" i="1"/>
  <c r="AT763" i="1"/>
  <c r="AT764" i="1"/>
  <c r="AT765" i="1"/>
  <c r="AT766" i="1"/>
  <c r="AT767" i="1"/>
  <c r="AT768" i="1"/>
  <c r="AT769" i="1"/>
  <c r="AT770" i="1"/>
  <c r="AT771" i="1"/>
  <c r="AT772" i="1"/>
  <c r="AT773" i="1"/>
  <c r="AT774" i="1"/>
  <c r="AT775" i="1"/>
  <c r="AT776" i="1"/>
  <c r="AT777" i="1"/>
  <c r="AT778" i="1"/>
  <c r="AT779" i="1"/>
  <c r="AT780" i="1"/>
  <c r="AT781" i="1"/>
  <c r="AT782" i="1"/>
  <c r="AT783" i="1"/>
  <c r="AT784" i="1"/>
  <c r="AT785" i="1"/>
  <c r="AT786" i="1"/>
  <c r="AT787" i="1"/>
  <c r="AT788" i="1"/>
  <c r="AT789" i="1"/>
  <c r="AT790" i="1"/>
  <c r="AT791" i="1"/>
  <c r="AT792" i="1"/>
  <c r="AT793" i="1"/>
  <c r="AT794" i="1"/>
  <c r="AT795" i="1"/>
  <c r="AT796" i="1"/>
  <c r="AT797" i="1"/>
  <c r="AT798" i="1"/>
  <c r="AT799" i="1"/>
  <c r="AT800" i="1"/>
  <c r="AT801" i="1"/>
  <c r="AT802" i="1"/>
  <c r="AT803" i="1"/>
  <c r="AT804" i="1"/>
  <c r="AT805" i="1"/>
  <c r="AT806" i="1"/>
  <c r="AT807" i="1"/>
  <c r="AT808" i="1"/>
  <c r="AT809" i="1"/>
  <c r="AT810" i="1"/>
  <c r="AT811" i="1"/>
  <c r="AT812" i="1"/>
  <c r="AT813" i="1"/>
  <c r="AT814" i="1"/>
  <c r="AT815" i="1"/>
  <c r="AT816" i="1"/>
  <c r="AT817" i="1"/>
  <c r="AT818" i="1"/>
  <c r="AT819" i="1"/>
  <c r="AT820" i="1"/>
  <c r="AT821" i="1"/>
  <c r="AT822" i="1"/>
  <c r="AT823" i="1"/>
  <c r="AT824" i="1"/>
  <c r="AT825" i="1"/>
  <c r="AT826" i="1"/>
  <c r="AT827" i="1"/>
  <c r="AT828" i="1"/>
  <c r="AT829" i="1"/>
  <c r="AT830" i="1"/>
  <c r="AT831" i="1"/>
  <c r="AT832" i="1"/>
  <c r="AT833" i="1"/>
  <c r="AT834" i="1"/>
  <c r="AT835" i="1"/>
  <c r="AT836" i="1"/>
  <c r="AT837" i="1"/>
  <c r="AT838" i="1"/>
  <c r="AT839" i="1"/>
  <c r="AT840" i="1"/>
  <c r="AT841" i="1"/>
  <c r="AT842" i="1"/>
  <c r="AT843" i="1"/>
  <c r="AT844" i="1"/>
  <c r="AT845" i="1"/>
  <c r="AT846" i="1"/>
  <c r="AT847" i="1"/>
  <c r="AT848" i="1"/>
  <c r="AT849" i="1"/>
  <c r="AT850" i="1"/>
  <c r="AT851" i="1"/>
  <c r="AT852" i="1"/>
  <c r="AT853" i="1"/>
  <c r="AT854" i="1"/>
  <c r="AT855" i="1"/>
  <c r="AT856" i="1"/>
  <c r="AT857" i="1"/>
  <c r="AT858" i="1"/>
  <c r="AT859" i="1"/>
  <c r="AT860" i="1"/>
  <c r="AT861" i="1"/>
  <c r="AT862" i="1"/>
  <c r="AT863" i="1"/>
  <c r="AT864" i="1"/>
  <c r="AT865" i="1"/>
  <c r="AT866" i="1"/>
  <c r="AT867" i="1"/>
  <c r="AT868" i="1"/>
  <c r="AT869" i="1"/>
  <c r="AT870" i="1"/>
  <c r="AT871" i="1"/>
  <c r="AT872" i="1"/>
  <c r="AT873" i="1"/>
  <c r="AT874" i="1"/>
  <c r="AT875" i="1"/>
  <c r="AT876" i="1"/>
  <c r="AT877" i="1"/>
  <c r="AT878" i="1"/>
  <c r="AT879" i="1"/>
  <c r="AT880" i="1"/>
  <c r="AT881" i="1"/>
  <c r="AT882" i="1"/>
  <c r="AT883" i="1"/>
  <c r="AT884" i="1"/>
  <c r="AT885" i="1"/>
  <c r="AT886" i="1"/>
  <c r="AT887" i="1"/>
  <c r="AT888" i="1"/>
  <c r="AT889" i="1"/>
  <c r="AT890" i="1"/>
  <c r="AT891" i="1"/>
  <c r="AT892" i="1"/>
  <c r="AT893" i="1"/>
  <c r="AT894" i="1"/>
  <c r="AT895" i="1"/>
  <c r="AT896" i="1"/>
  <c r="AT897" i="1"/>
  <c r="AT898" i="1"/>
  <c r="AT899" i="1"/>
  <c r="AT900" i="1"/>
  <c r="AT901" i="1"/>
  <c r="AT902" i="1"/>
  <c r="AT903" i="1"/>
  <c r="AT904" i="1"/>
  <c r="AT905" i="1"/>
  <c r="AT906" i="1"/>
  <c r="AT907" i="1"/>
  <c r="AT908" i="1"/>
  <c r="AT909" i="1"/>
  <c r="AT910" i="1"/>
  <c r="AT911" i="1"/>
  <c r="AT912" i="1"/>
  <c r="AT913" i="1"/>
  <c r="AT914" i="1"/>
  <c r="AT915" i="1"/>
  <c r="AT916" i="1"/>
  <c r="AT917" i="1"/>
  <c r="AT918" i="1"/>
  <c r="AT919" i="1"/>
  <c r="AT920" i="1"/>
  <c r="AT921" i="1"/>
  <c r="AT922" i="1"/>
  <c r="AT923" i="1"/>
  <c r="AT924" i="1"/>
  <c r="AT925" i="1"/>
  <c r="AT926" i="1"/>
  <c r="AT927" i="1"/>
  <c r="AT928" i="1"/>
  <c r="AT929" i="1"/>
  <c r="AT930" i="1"/>
  <c r="AT931" i="1"/>
  <c r="AT932" i="1"/>
  <c r="AT933" i="1"/>
  <c r="AT934" i="1"/>
  <c r="AT935" i="1"/>
  <c r="AT936" i="1"/>
  <c r="AT937" i="1"/>
  <c r="AT938" i="1"/>
  <c r="AT939" i="1"/>
  <c r="AT940" i="1"/>
  <c r="AT941" i="1"/>
  <c r="AT942" i="1"/>
  <c r="AT943" i="1"/>
  <c r="AT944" i="1"/>
  <c r="AT945" i="1"/>
  <c r="AT946" i="1"/>
  <c r="AT947" i="1"/>
  <c r="AT948" i="1"/>
  <c r="AT949" i="1"/>
  <c r="AT950" i="1"/>
  <c r="AT951" i="1"/>
  <c r="AT952" i="1"/>
  <c r="AT953" i="1"/>
  <c r="AT954" i="1"/>
  <c r="AT955" i="1"/>
  <c r="AT956" i="1"/>
  <c r="AT957" i="1"/>
  <c r="AT958" i="1"/>
  <c r="AT959" i="1"/>
  <c r="AT960" i="1"/>
  <c r="AT961" i="1"/>
  <c r="AT962" i="1"/>
  <c r="AT963" i="1"/>
  <c r="AT964" i="1"/>
  <c r="AT965" i="1"/>
  <c r="AT966" i="1"/>
  <c r="AT967" i="1"/>
  <c r="AT968" i="1"/>
  <c r="AT969" i="1"/>
  <c r="AT970" i="1"/>
  <c r="AT971" i="1"/>
  <c r="AT972" i="1"/>
  <c r="AT973" i="1"/>
  <c r="AT974" i="1"/>
  <c r="AT975" i="1"/>
  <c r="AT976" i="1"/>
  <c r="AT977" i="1"/>
  <c r="AT978" i="1"/>
  <c r="AT979" i="1"/>
  <c r="AT980" i="1"/>
  <c r="AT981" i="1"/>
  <c r="AT982" i="1"/>
  <c r="AT983" i="1"/>
  <c r="AT984" i="1"/>
  <c r="AT985" i="1"/>
  <c r="AT986" i="1"/>
  <c r="AT987" i="1"/>
  <c r="AT988" i="1"/>
  <c r="AT989" i="1"/>
  <c r="AT990" i="1"/>
  <c r="AT991" i="1"/>
  <c r="AT992" i="1"/>
  <c r="AT993" i="1"/>
  <c r="AT994" i="1"/>
  <c r="AT995" i="1"/>
  <c r="AT996" i="1"/>
  <c r="AT997" i="1"/>
  <c r="AT998" i="1"/>
  <c r="AT999" i="1"/>
  <c r="AT1000" i="1"/>
  <c r="AT1001" i="1"/>
  <c r="AT1002" i="1"/>
  <c r="AT1003" i="1"/>
  <c r="AT1004" i="1"/>
  <c r="AT1005" i="1"/>
  <c r="AT1006" i="1"/>
  <c r="AT1007" i="1"/>
  <c r="AT1008" i="1"/>
  <c r="AT1009" i="1"/>
  <c r="AT1010" i="1"/>
  <c r="AT1011" i="1"/>
  <c r="AT1012" i="1"/>
  <c r="AT1013" i="1"/>
  <c r="AT1014" i="1"/>
  <c r="AT1015" i="1"/>
  <c r="AT1016" i="1"/>
  <c r="AT1017" i="1"/>
  <c r="AT1018" i="1"/>
  <c r="AT1019" i="1"/>
  <c r="AT1020" i="1"/>
  <c r="AT1021" i="1"/>
  <c r="AT1022" i="1"/>
  <c r="AT1023" i="1"/>
  <c r="AT1024" i="1"/>
  <c r="AT1025" i="1"/>
  <c r="AT1026" i="1"/>
  <c r="AT1027" i="1"/>
  <c r="AT1028" i="1"/>
  <c r="AT1029" i="1"/>
  <c r="AT1030" i="1"/>
  <c r="AT1031" i="1"/>
  <c r="AT1032" i="1"/>
  <c r="AT1033" i="1"/>
  <c r="AT1034" i="1"/>
  <c r="AT1035" i="1"/>
  <c r="AT1036" i="1"/>
  <c r="AT1037" i="1"/>
  <c r="AT1038" i="1"/>
  <c r="AT1039" i="1"/>
  <c r="AT1040" i="1"/>
  <c r="AT1041" i="1"/>
  <c r="AT1042" i="1"/>
  <c r="AT1043" i="1"/>
  <c r="AT1044" i="1"/>
  <c r="AT1045" i="1"/>
  <c r="AT1046" i="1"/>
  <c r="AT1047" i="1"/>
  <c r="AT1048" i="1"/>
  <c r="AT1049" i="1"/>
  <c r="AT1050" i="1"/>
  <c r="AT1051" i="1"/>
  <c r="AT1052" i="1"/>
  <c r="AT1053" i="1"/>
  <c r="AT1054" i="1"/>
  <c r="AT1055" i="1"/>
  <c r="AT1056" i="1"/>
  <c r="AT1057" i="1"/>
  <c r="AT1058" i="1"/>
  <c r="AT1059" i="1"/>
  <c r="AT1060" i="1"/>
  <c r="AT1061" i="1"/>
  <c r="AT1062" i="1"/>
  <c r="AT1063" i="1"/>
  <c r="AT1064" i="1"/>
  <c r="AT1065" i="1"/>
  <c r="AT1066" i="1"/>
  <c r="AT1067" i="1"/>
  <c r="AT1068" i="1"/>
  <c r="AT1069" i="1"/>
  <c r="AT1070" i="1"/>
  <c r="AT1071" i="1"/>
  <c r="AT1072" i="1"/>
  <c r="AT1073" i="1"/>
  <c r="AT1074" i="1"/>
  <c r="AT1075" i="1"/>
  <c r="AT1076" i="1"/>
  <c r="AT1077" i="1"/>
  <c r="AT1078" i="1"/>
  <c r="AT1079" i="1"/>
  <c r="AT1080" i="1"/>
  <c r="AT1081" i="1"/>
  <c r="AT1082" i="1"/>
  <c r="AT1083" i="1"/>
  <c r="AT1084" i="1"/>
  <c r="AT1085" i="1"/>
  <c r="AT1086" i="1"/>
  <c r="AT1087" i="1"/>
  <c r="AT1088" i="1"/>
  <c r="AT1089" i="1"/>
  <c r="AT1090" i="1"/>
  <c r="AT1091" i="1"/>
  <c r="AT1092" i="1"/>
  <c r="AT1093" i="1"/>
  <c r="AT1094" i="1"/>
  <c r="AT1095" i="1"/>
  <c r="AT1096" i="1"/>
  <c r="AT1097" i="1"/>
  <c r="AT1098" i="1"/>
  <c r="AT1099" i="1"/>
  <c r="AT1100" i="1"/>
  <c r="AT1101" i="1"/>
  <c r="AT1102" i="1"/>
  <c r="AT1103" i="1"/>
  <c r="AT1104" i="1"/>
  <c r="AT1105" i="1"/>
  <c r="AT1106" i="1"/>
  <c r="AT1107" i="1"/>
  <c r="AT1108" i="1"/>
  <c r="AT1109" i="1"/>
  <c r="AT1110" i="1"/>
  <c r="AT1111" i="1"/>
  <c r="AT1112" i="1"/>
  <c r="AT1113" i="1"/>
  <c r="AT1114" i="1"/>
  <c r="AT1115" i="1"/>
  <c r="AT1116" i="1"/>
  <c r="AT1117" i="1"/>
  <c r="AT1118" i="1"/>
  <c r="AT1119" i="1"/>
  <c r="AT1120" i="1"/>
  <c r="AT1121" i="1"/>
  <c r="AT1122" i="1"/>
  <c r="AT1123" i="1"/>
  <c r="AT1124" i="1"/>
  <c r="AT1125" i="1"/>
  <c r="AT1126" i="1"/>
  <c r="AT1127" i="1"/>
  <c r="AT1128" i="1"/>
  <c r="AT1129" i="1"/>
  <c r="AT1130" i="1"/>
  <c r="AT1131" i="1"/>
  <c r="AT1132" i="1"/>
  <c r="AT1133" i="1"/>
  <c r="AT1134" i="1"/>
  <c r="AT1135" i="1"/>
  <c r="AT1136" i="1"/>
  <c r="AT1137" i="1"/>
  <c r="AT1138" i="1"/>
  <c r="AT1139" i="1"/>
  <c r="AT1140" i="1"/>
  <c r="AT1141" i="1"/>
  <c r="AT1142" i="1"/>
  <c r="AT2" i="1"/>
  <c r="A1139" i="1" l="1"/>
  <c r="B1139" i="1"/>
  <c r="C1139" i="1"/>
  <c r="D1139" i="1"/>
  <c r="E1139" i="1"/>
  <c r="A378" i="1"/>
  <c r="B378" i="1"/>
  <c r="C378" i="1"/>
  <c r="D378" i="1"/>
  <c r="E378" i="1"/>
  <c r="A363" i="1"/>
  <c r="B363" i="1"/>
  <c r="C363" i="1"/>
  <c r="D363" i="1"/>
  <c r="E363" i="1"/>
  <c r="A364" i="1"/>
  <c r="B364" i="1"/>
  <c r="C364" i="1"/>
  <c r="D364" i="1"/>
  <c r="E364" i="1"/>
  <c r="A498" i="1"/>
  <c r="B498" i="1"/>
  <c r="C498" i="1"/>
  <c r="D498" i="1"/>
  <c r="E498" i="1"/>
  <c r="A504" i="1"/>
  <c r="B504" i="1"/>
  <c r="C504" i="1"/>
  <c r="D504" i="1"/>
  <c r="E504" i="1"/>
  <c r="A507" i="1"/>
  <c r="B507" i="1"/>
  <c r="C507" i="1"/>
  <c r="D507" i="1"/>
  <c r="E507" i="1"/>
  <c r="A518" i="1"/>
  <c r="B518" i="1"/>
  <c r="C518" i="1"/>
  <c r="D518" i="1"/>
  <c r="E518" i="1"/>
  <c r="A645" i="1"/>
  <c r="B645" i="1"/>
  <c r="C645" i="1"/>
  <c r="D645" i="1"/>
  <c r="E645" i="1"/>
  <c r="A647" i="1"/>
  <c r="B647" i="1"/>
  <c r="C647" i="1"/>
  <c r="D647" i="1"/>
  <c r="E647" i="1"/>
  <c r="A756" i="1"/>
  <c r="B756" i="1"/>
  <c r="C756" i="1"/>
  <c r="D756" i="1"/>
  <c r="E756" i="1"/>
  <c r="A747" i="1"/>
  <c r="B747" i="1"/>
  <c r="C747" i="1"/>
  <c r="D747" i="1"/>
  <c r="E747" i="1"/>
  <c r="A401" i="1"/>
  <c r="B401" i="1"/>
  <c r="C401" i="1"/>
  <c r="D401" i="1"/>
  <c r="E401" i="1"/>
  <c r="A404" i="1"/>
  <c r="B404" i="1"/>
  <c r="C404" i="1"/>
  <c r="D404" i="1"/>
  <c r="E404" i="1"/>
  <c r="A423" i="1"/>
  <c r="B423" i="1"/>
  <c r="C423" i="1"/>
  <c r="D423" i="1"/>
  <c r="E423" i="1"/>
  <c r="A451" i="1"/>
  <c r="B451" i="1"/>
  <c r="C451" i="1"/>
  <c r="D451" i="1"/>
  <c r="E451" i="1"/>
  <c r="A386" i="1"/>
  <c r="B386" i="1"/>
  <c r="C386" i="1"/>
  <c r="D386" i="1"/>
  <c r="E386" i="1"/>
  <c r="A374" i="1"/>
  <c r="B374" i="1"/>
  <c r="C374" i="1"/>
  <c r="D374" i="1"/>
  <c r="E374" i="1"/>
  <c r="A375" i="1"/>
  <c r="B375" i="1"/>
  <c r="C375" i="1"/>
  <c r="D375" i="1"/>
  <c r="E375" i="1"/>
  <c r="A376" i="1"/>
  <c r="B376" i="1"/>
  <c r="C376" i="1"/>
  <c r="D376" i="1"/>
  <c r="E376" i="1"/>
  <c r="A377" i="1"/>
  <c r="B377" i="1"/>
  <c r="C377" i="1"/>
  <c r="D377" i="1"/>
  <c r="E377" i="1"/>
  <c r="A24" i="1"/>
  <c r="B24" i="1"/>
  <c r="C24" i="1"/>
  <c r="D24" i="1"/>
  <c r="E24" i="1"/>
  <c r="A494" i="1"/>
  <c r="B494" i="1"/>
  <c r="C494" i="1"/>
  <c r="D494" i="1"/>
  <c r="E494" i="1"/>
  <c r="A550" i="1"/>
  <c r="B550" i="1"/>
  <c r="C550" i="1"/>
  <c r="D550" i="1"/>
  <c r="E550" i="1"/>
  <c r="A771" i="1"/>
  <c r="B771" i="1"/>
  <c r="C771" i="1"/>
  <c r="D771" i="1"/>
  <c r="E771" i="1"/>
  <c r="A759" i="1"/>
  <c r="B759" i="1"/>
  <c r="C759" i="1"/>
  <c r="D759" i="1"/>
  <c r="E759" i="1"/>
  <c r="A937" i="1"/>
  <c r="B937" i="1"/>
  <c r="C937" i="1"/>
  <c r="D937" i="1"/>
  <c r="E937" i="1"/>
  <c r="A1134" i="1"/>
  <c r="B1134" i="1"/>
  <c r="C1134" i="1"/>
  <c r="D1134" i="1"/>
  <c r="E1134" i="1"/>
  <c r="A1135" i="1"/>
  <c r="B1135" i="1"/>
  <c r="C1135" i="1"/>
  <c r="D1135" i="1"/>
  <c r="E1135" i="1"/>
  <c r="A1131" i="1"/>
  <c r="B1131" i="1"/>
  <c r="C1131" i="1"/>
  <c r="D1131" i="1"/>
  <c r="E1131" i="1"/>
  <c r="A1132" i="1"/>
  <c r="B1132" i="1"/>
  <c r="C1132" i="1"/>
  <c r="D1132" i="1"/>
  <c r="E1132" i="1"/>
  <c r="A779" i="1"/>
  <c r="B779" i="1"/>
  <c r="C779" i="1"/>
  <c r="D779" i="1"/>
  <c r="E779" i="1"/>
  <c r="A780" i="1"/>
  <c r="B780" i="1"/>
  <c r="C780" i="1"/>
  <c r="D780" i="1"/>
  <c r="E780" i="1"/>
  <c r="A940" i="1"/>
  <c r="B940" i="1"/>
  <c r="C940" i="1"/>
  <c r="D940" i="1"/>
  <c r="E940" i="1"/>
  <c r="A501" i="1"/>
  <c r="B501" i="1"/>
  <c r="C501" i="1"/>
  <c r="D501" i="1"/>
  <c r="E501" i="1"/>
  <c r="A503" i="1"/>
  <c r="B503" i="1"/>
  <c r="C503" i="1"/>
  <c r="D503" i="1"/>
  <c r="E503" i="1"/>
  <c r="A515" i="1"/>
  <c r="B515" i="1"/>
  <c r="C515" i="1"/>
  <c r="D515" i="1"/>
  <c r="E515" i="1"/>
  <c r="A455" i="1"/>
  <c r="B455" i="1"/>
  <c r="C455" i="1"/>
  <c r="D455" i="1"/>
  <c r="E455" i="1"/>
  <c r="A51" i="1"/>
  <c r="B51" i="1"/>
  <c r="C51" i="1"/>
  <c r="D51" i="1"/>
  <c r="E51" i="1"/>
  <c r="A2" i="1"/>
  <c r="B2" i="1"/>
  <c r="C2" i="1"/>
  <c r="D2" i="1"/>
  <c r="E2" i="1"/>
  <c r="A48" i="1"/>
  <c r="B48" i="1"/>
  <c r="C48" i="1"/>
  <c r="D48" i="1"/>
  <c r="E48" i="1"/>
  <c r="A1042" i="1"/>
  <c r="B1042" i="1"/>
  <c r="C1042" i="1"/>
  <c r="D1042" i="1"/>
  <c r="E1042" i="1"/>
  <c r="A1018" i="1"/>
  <c r="B1018" i="1"/>
  <c r="C1018" i="1"/>
  <c r="D1018" i="1"/>
  <c r="E1018" i="1"/>
  <c r="A1094" i="1"/>
  <c r="B1094" i="1"/>
  <c r="C1094" i="1"/>
  <c r="D1094" i="1"/>
  <c r="E1094" i="1"/>
  <c r="A1096" i="1"/>
  <c r="B1096" i="1"/>
  <c r="C1096" i="1"/>
  <c r="D1096" i="1"/>
  <c r="E1096" i="1"/>
  <c r="A1128" i="1"/>
  <c r="B1128" i="1"/>
  <c r="C1128" i="1"/>
  <c r="D1128" i="1"/>
  <c r="E1128" i="1"/>
  <c r="A878" i="1"/>
  <c r="B878" i="1"/>
  <c r="C878" i="1"/>
  <c r="D878" i="1"/>
  <c r="E878" i="1"/>
  <c r="A734" i="1"/>
  <c r="B734" i="1"/>
  <c r="C734" i="1"/>
  <c r="D734" i="1"/>
  <c r="E734" i="1"/>
  <c r="A733" i="1"/>
  <c r="B733" i="1"/>
  <c r="C733" i="1"/>
  <c r="D733" i="1"/>
  <c r="E733" i="1"/>
  <c r="A731" i="1"/>
  <c r="B731" i="1"/>
  <c r="C731" i="1"/>
  <c r="D731" i="1"/>
  <c r="E731" i="1"/>
  <c r="A916" i="1"/>
  <c r="B916" i="1"/>
  <c r="C916" i="1"/>
  <c r="D916" i="1"/>
  <c r="E916" i="1"/>
  <c r="A495" i="1"/>
  <c r="B495" i="1"/>
  <c r="C495" i="1"/>
  <c r="D495" i="1"/>
  <c r="E495" i="1"/>
  <c r="A512" i="1"/>
  <c r="B512" i="1"/>
  <c r="C512" i="1"/>
  <c r="D512" i="1"/>
  <c r="E512" i="1"/>
  <c r="A330" i="1"/>
  <c r="B330" i="1"/>
  <c r="C330" i="1"/>
  <c r="D330" i="1"/>
  <c r="E330" i="1"/>
  <c r="A500" i="1"/>
  <c r="B500" i="1"/>
  <c r="C500" i="1"/>
  <c r="D500" i="1"/>
  <c r="E500" i="1"/>
  <c r="A596" i="1"/>
  <c r="B596" i="1"/>
  <c r="C596" i="1"/>
  <c r="D596" i="1"/>
  <c r="E596" i="1"/>
  <c r="A609" i="1"/>
  <c r="B609" i="1"/>
  <c r="C609" i="1"/>
  <c r="D609" i="1"/>
  <c r="E609" i="1"/>
  <c r="A570" i="1"/>
  <c r="B570" i="1"/>
  <c r="C570" i="1"/>
  <c r="D570" i="1"/>
  <c r="E570" i="1"/>
  <c r="A571" i="1"/>
  <c r="B571" i="1"/>
  <c r="C571" i="1"/>
  <c r="D571" i="1"/>
  <c r="E571" i="1"/>
  <c r="A549" i="1"/>
  <c r="B549" i="1"/>
  <c r="C549" i="1"/>
  <c r="D549" i="1"/>
  <c r="E549" i="1"/>
  <c r="A1059" i="1"/>
  <c r="B1059" i="1"/>
  <c r="C1059" i="1"/>
  <c r="D1059" i="1"/>
  <c r="E1059" i="1"/>
  <c r="A724" i="1"/>
  <c r="B724" i="1"/>
  <c r="C724" i="1"/>
  <c r="D724" i="1"/>
  <c r="E724" i="1"/>
  <c r="A732" i="1"/>
  <c r="B732" i="1"/>
  <c r="C732" i="1"/>
  <c r="D732" i="1"/>
  <c r="E732" i="1"/>
  <c r="A736" i="1"/>
  <c r="B736" i="1"/>
  <c r="C736" i="1"/>
  <c r="D736" i="1"/>
  <c r="E736" i="1"/>
  <c r="A716" i="1"/>
  <c r="B716" i="1"/>
  <c r="C716" i="1"/>
  <c r="D716" i="1"/>
  <c r="E716" i="1"/>
  <c r="A777" i="1"/>
  <c r="B777" i="1"/>
  <c r="C777" i="1"/>
  <c r="D777" i="1"/>
  <c r="E777" i="1"/>
  <c r="A778" i="1"/>
  <c r="B778" i="1"/>
  <c r="C778" i="1"/>
  <c r="D778" i="1"/>
  <c r="E778" i="1"/>
  <c r="A989" i="1"/>
  <c r="B989" i="1"/>
  <c r="C989" i="1"/>
  <c r="D989" i="1"/>
  <c r="E989" i="1"/>
  <c r="A990" i="1"/>
  <c r="B990" i="1"/>
  <c r="C990" i="1"/>
  <c r="D990" i="1"/>
  <c r="E990" i="1"/>
  <c r="A600" i="1"/>
  <c r="B600" i="1"/>
  <c r="C600" i="1"/>
  <c r="D600" i="1"/>
  <c r="E600" i="1"/>
  <c r="A575" i="1"/>
  <c r="B575" i="1"/>
  <c r="C575" i="1"/>
  <c r="D575" i="1"/>
  <c r="E575" i="1"/>
  <c r="A776" i="1"/>
  <c r="B776" i="1"/>
  <c r="C776" i="1"/>
  <c r="D776" i="1"/>
  <c r="E776" i="1"/>
  <c r="A715" i="1"/>
  <c r="B715" i="1"/>
  <c r="C715" i="1"/>
  <c r="D715" i="1"/>
  <c r="E715" i="1"/>
  <c r="A725" i="1"/>
  <c r="B725" i="1"/>
  <c r="C725" i="1"/>
  <c r="D725" i="1"/>
  <c r="E725" i="1"/>
  <c r="A726" i="1"/>
  <c r="B726" i="1"/>
  <c r="C726" i="1"/>
  <c r="D726" i="1"/>
  <c r="E726" i="1"/>
  <c r="A668" i="1"/>
  <c r="B668" i="1"/>
  <c r="C668" i="1"/>
  <c r="D668" i="1"/>
  <c r="E668" i="1"/>
  <c r="A652" i="1"/>
  <c r="B652" i="1"/>
  <c r="C652" i="1"/>
  <c r="D652" i="1"/>
  <c r="E652" i="1"/>
  <c r="A650" i="1"/>
  <c r="B650" i="1"/>
  <c r="C650" i="1"/>
  <c r="D650" i="1"/>
  <c r="E650" i="1"/>
  <c r="A671" i="1"/>
  <c r="B671" i="1"/>
  <c r="C671" i="1"/>
  <c r="D671" i="1"/>
  <c r="E671" i="1"/>
  <c r="A626" i="1"/>
  <c r="B626" i="1"/>
  <c r="C626" i="1"/>
  <c r="D626" i="1"/>
  <c r="E626" i="1"/>
  <c r="A727" i="1"/>
  <c r="B727" i="1"/>
  <c r="C727" i="1"/>
  <c r="D727" i="1"/>
  <c r="E727" i="1"/>
  <c r="A869" i="1"/>
  <c r="B869" i="1"/>
  <c r="C869" i="1"/>
  <c r="D869" i="1"/>
  <c r="E869" i="1"/>
  <c r="A775" i="1"/>
  <c r="B775" i="1"/>
  <c r="C775" i="1"/>
  <c r="D775" i="1"/>
  <c r="E775" i="1"/>
  <c r="A574" i="1"/>
  <c r="B574" i="1"/>
  <c r="C574" i="1"/>
  <c r="D574" i="1"/>
  <c r="E574" i="1"/>
  <c r="A308" i="1"/>
  <c r="B308" i="1"/>
  <c r="C308" i="1"/>
  <c r="D308" i="1"/>
  <c r="E308" i="1"/>
  <c r="A309" i="1"/>
  <c r="B309" i="1"/>
  <c r="C309" i="1"/>
  <c r="D309" i="1"/>
  <c r="E309" i="1"/>
  <c r="A310" i="1"/>
  <c r="B310" i="1"/>
  <c r="C310" i="1"/>
  <c r="D310" i="1"/>
  <c r="E310" i="1"/>
  <c r="A311" i="1"/>
  <c r="B311" i="1"/>
  <c r="C311" i="1"/>
  <c r="D311" i="1"/>
  <c r="E311" i="1"/>
  <c r="A312" i="1"/>
  <c r="B312" i="1"/>
  <c r="C312" i="1"/>
  <c r="D312" i="1"/>
  <c r="E312" i="1"/>
  <c r="A45" i="1"/>
  <c r="B45" i="1"/>
  <c r="C45" i="1"/>
  <c r="D45" i="1"/>
  <c r="E45" i="1"/>
  <c r="A23" i="1"/>
  <c r="B23" i="1"/>
  <c r="C23" i="1"/>
  <c r="D23" i="1"/>
  <c r="E23" i="1"/>
  <c r="A517" i="1"/>
  <c r="B517" i="1"/>
  <c r="C517" i="1"/>
  <c r="D517" i="1"/>
  <c r="E517" i="1"/>
  <c r="A502" i="1"/>
  <c r="B502" i="1"/>
  <c r="C502" i="1"/>
  <c r="D502" i="1"/>
  <c r="E502" i="1"/>
  <c r="A497" i="1"/>
  <c r="B497" i="1"/>
  <c r="C497" i="1"/>
  <c r="D497" i="1"/>
  <c r="E497" i="1"/>
  <c r="A365" i="1"/>
  <c r="B365" i="1"/>
  <c r="C365" i="1"/>
  <c r="D365" i="1"/>
  <c r="E365" i="1"/>
  <c r="A450" i="1"/>
  <c r="B450" i="1"/>
  <c r="C450" i="1"/>
  <c r="D450" i="1"/>
  <c r="E450" i="1"/>
  <c r="A583" i="1"/>
  <c r="B583" i="1"/>
  <c r="C583" i="1"/>
  <c r="D583" i="1"/>
  <c r="E583" i="1"/>
  <c r="A717" i="1"/>
  <c r="B717" i="1"/>
  <c r="C717" i="1"/>
  <c r="D717" i="1"/>
  <c r="E717" i="1"/>
  <c r="A720" i="1"/>
  <c r="B720" i="1"/>
  <c r="C720" i="1"/>
  <c r="D720" i="1"/>
  <c r="E720" i="1"/>
  <c r="A721" i="1"/>
  <c r="B721" i="1"/>
  <c r="C721" i="1"/>
  <c r="D721" i="1"/>
  <c r="E721" i="1"/>
  <c r="A722" i="1"/>
  <c r="B722" i="1"/>
  <c r="C722" i="1"/>
  <c r="D722" i="1"/>
  <c r="E722" i="1"/>
  <c r="A247" i="1"/>
  <c r="B247" i="1"/>
  <c r="C247" i="1"/>
  <c r="D247" i="1"/>
  <c r="E247" i="1"/>
  <c r="A242" i="1"/>
  <c r="B242" i="1"/>
  <c r="C242" i="1"/>
  <c r="D242" i="1"/>
  <c r="E242" i="1"/>
  <c r="A241" i="1"/>
  <c r="B241" i="1"/>
  <c r="C241" i="1"/>
  <c r="D241" i="1"/>
  <c r="E241" i="1"/>
  <c r="A317" i="1"/>
  <c r="B317" i="1"/>
  <c r="C317" i="1"/>
  <c r="D317" i="1"/>
  <c r="E317" i="1"/>
  <c r="A613" i="1"/>
  <c r="B613" i="1"/>
  <c r="C613" i="1"/>
  <c r="D613" i="1"/>
  <c r="E613" i="1"/>
  <c r="A513" i="1"/>
  <c r="B513" i="1"/>
  <c r="C513" i="1"/>
  <c r="D513" i="1"/>
  <c r="E513" i="1"/>
  <c r="A509" i="1"/>
  <c r="B509" i="1"/>
  <c r="C509" i="1"/>
  <c r="D509" i="1"/>
  <c r="E509" i="1"/>
  <c r="A510" i="1"/>
  <c r="B510" i="1"/>
  <c r="C510" i="1"/>
  <c r="D510" i="1"/>
  <c r="E510" i="1"/>
  <c r="A511" i="1"/>
  <c r="B511" i="1"/>
  <c r="C511" i="1"/>
  <c r="D511" i="1"/>
  <c r="E511" i="1"/>
  <c r="A516" i="1"/>
  <c r="B516" i="1"/>
  <c r="C516" i="1"/>
  <c r="D516" i="1"/>
  <c r="E516" i="1"/>
  <c r="A1138" i="1"/>
  <c r="B1138" i="1"/>
  <c r="C1138" i="1"/>
  <c r="D1138" i="1"/>
  <c r="E1138" i="1"/>
  <c r="A367" i="1"/>
  <c r="B367" i="1"/>
  <c r="C367" i="1"/>
  <c r="D367" i="1"/>
  <c r="E367" i="1"/>
  <c r="A604" i="1"/>
  <c r="B604" i="1"/>
  <c r="C604" i="1"/>
  <c r="D604" i="1"/>
  <c r="E604" i="1"/>
  <c r="A584" i="1"/>
  <c r="B584" i="1"/>
  <c r="C584" i="1"/>
  <c r="D584" i="1"/>
  <c r="E584" i="1"/>
  <c r="A606" i="1"/>
  <c r="B606" i="1"/>
  <c r="C606" i="1"/>
  <c r="D606" i="1"/>
  <c r="E606" i="1"/>
  <c r="A598" i="1"/>
  <c r="B598" i="1"/>
  <c r="C598" i="1"/>
  <c r="D598" i="1"/>
  <c r="E598" i="1"/>
  <c r="A599" i="1"/>
  <c r="B599" i="1"/>
  <c r="C599" i="1"/>
  <c r="D599" i="1"/>
  <c r="E599" i="1"/>
  <c r="A614" i="1"/>
  <c r="B614" i="1"/>
  <c r="C614" i="1"/>
  <c r="D614" i="1"/>
  <c r="E614" i="1"/>
  <c r="A35" i="1"/>
  <c r="B35" i="1"/>
  <c r="C35" i="1"/>
  <c r="D35" i="1"/>
  <c r="E35" i="1"/>
  <c r="A8" i="1"/>
  <c r="B8" i="1"/>
  <c r="C8" i="1"/>
  <c r="D8" i="1"/>
  <c r="E8" i="1"/>
  <c r="A773" i="1"/>
  <c r="B773" i="1"/>
  <c r="C773" i="1"/>
  <c r="D773" i="1"/>
  <c r="E773" i="1"/>
  <c r="A774" i="1"/>
  <c r="B774" i="1"/>
  <c r="C774" i="1"/>
  <c r="D774" i="1"/>
  <c r="E774" i="1"/>
  <c r="A760" i="1"/>
  <c r="B760" i="1"/>
  <c r="C760" i="1"/>
  <c r="D760" i="1"/>
  <c r="E760" i="1"/>
  <c r="A876" i="1"/>
  <c r="B876" i="1"/>
  <c r="C876" i="1"/>
  <c r="D876" i="1"/>
  <c r="E876" i="1"/>
  <c r="A742" i="1"/>
  <c r="B742" i="1"/>
  <c r="C742" i="1"/>
  <c r="D742" i="1"/>
  <c r="E742" i="1"/>
  <c r="A636" i="1"/>
  <c r="B636" i="1"/>
  <c r="C636" i="1"/>
  <c r="D636" i="1"/>
  <c r="E636" i="1"/>
  <c r="A619" i="1"/>
  <c r="B619" i="1"/>
  <c r="C619" i="1"/>
  <c r="D619" i="1"/>
  <c r="E619" i="1"/>
  <c r="A620" i="1"/>
  <c r="B620" i="1"/>
  <c r="C620" i="1"/>
  <c r="D620" i="1"/>
  <c r="E620" i="1"/>
  <c r="A616" i="1"/>
  <c r="B616" i="1"/>
  <c r="C616" i="1"/>
  <c r="D616" i="1"/>
  <c r="E616" i="1"/>
  <c r="A1133" i="1"/>
  <c r="B1133" i="1"/>
  <c r="C1133" i="1"/>
  <c r="D1133" i="1"/>
  <c r="E1133" i="1"/>
  <c r="A589" i="1"/>
  <c r="B589" i="1"/>
  <c r="C589" i="1"/>
  <c r="D589" i="1"/>
  <c r="E589" i="1"/>
  <c r="A587" i="1"/>
  <c r="B587" i="1"/>
  <c r="C587" i="1"/>
  <c r="D587" i="1"/>
  <c r="E587" i="1"/>
  <c r="A635" i="1"/>
  <c r="B635" i="1"/>
  <c r="C635" i="1"/>
  <c r="D635" i="1"/>
  <c r="E635" i="1"/>
  <c r="A749" i="1"/>
  <c r="B749" i="1"/>
  <c r="C749" i="1"/>
  <c r="D749" i="1"/>
  <c r="E749" i="1"/>
  <c r="A746" i="1"/>
  <c r="B746" i="1"/>
  <c r="C746" i="1"/>
  <c r="D746" i="1"/>
  <c r="E746" i="1"/>
  <c r="A743" i="1"/>
  <c r="B743" i="1"/>
  <c r="C743" i="1"/>
  <c r="D743" i="1"/>
  <c r="E743" i="1"/>
  <c r="A744" i="1"/>
  <c r="B744" i="1"/>
  <c r="C744" i="1"/>
  <c r="D744" i="1"/>
  <c r="E744" i="1"/>
  <c r="A751" i="1"/>
  <c r="B751" i="1"/>
  <c r="C751" i="1"/>
  <c r="D751" i="1"/>
  <c r="E751" i="1"/>
  <c r="A723" i="1"/>
  <c r="B723" i="1"/>
  <c r="C723" i="1"/>
  <c r="D723" i="1"/>
  <c r="E723" i="1"/>
  <c r="A738" i="1"/>
  <c r="B738" i="1"/>
  <c r="C738" i="1"/>
  <c r="D738" i="1"/>
  <c r="E738" i="1"/>
  <c r="A979" i="1"/>
  <c r="B979" i="1"/>
  <c r="C979" i="1"/>
  <c r="D979" i="1"/>
  <c r="E979" i="1"/>
  <c r="A974" i="1"/>
  <c r="B974" i="1"/>
  <c r="C974" i="1"/>
  <c r="D974" i="1"/>
  <c r="E974" i="1"/>
  <c r="A868" i="1"/>
  <c r="B868" i="1"/>
  <c r="C868" i="1"/>
  <c r="D868" i="1"/>
  <c r="E868" i="1"/>
  <c r="A871" i="1"/>
  <c r="B871" i="1"/>
  <c r="C871" i="1"/>
  <c r="D871" i="1"/>
  <c r="E871" i="1"/>
  <c r="A768" i="1"/>
  <c r="B768" i="1"/>
  <c r="C768" i="1"/>
  <c r="D768" i="1"/>
  <c r="E768" i="1"/>
  <c r="A764" i="1"/>
  <c r="B764" i="1"/>
  <c r="C764" i="1"/>
  <c r="D764" i="1"/>
  <c r="E764" i="1"/>
  <c r="A765" i="1"/>
  <c r="B765" i="1"/>
  <c r="C765" i="1"/>
  <c r="D765" i="1"/>
  <c r="E765" i="1"/>
  <c r="A770" i="1"/>
  <c r="B770" i="1"/>
  <c r="C770" i="1"/>
  <c r="D770" i="1"/>
  <c r="E770" i="1"/>
  <c r="A615" i="1"/>
  <c r="B615" i="1"/>
  <c r="C615" i="1"/>
  <c r="D615" i="1"/>
  <c r="E615" i="1"/>
  <c r="A618" i="1"/>
  <c r="B618" i="1"/>
  <c r="C618" i="1"/>
  <c r="D618" i="1"/>
  <c r="E618" i="1"/>
  <c r="A605" i="1"/>
  <c r="B605" i="1"/>
  <c r="C605" i="1"/>
  <c r="D605" i="1"/>
  <c r="E605" i="1"/>
  <c r="A593" i="1"/>
  <c r="B593" i="1"/>
  <c r="C593" i="1"/>
  <c r="D593" i="1"/>
  <c r="E593" i="1"/>
  <c r="A578" i="1"/>
  <c r="B578" i="1"/>
  <c r="C578" i="1"/>
  <c r="D578" i="1"/>
  <c r="E578" i="1"/>
  <c r="A521" i="1"/>
  <c r="B521" i="1"/>
  <c r="C521" i="1"/>
  <c r="D521" i="1"/>
  <c r="E521" i="1"/>
  <c r="A454" i="1"/>
  <c r="B454" i="1"/>
  <c r="C454" i="1"/>
  <c r="D454" i="1"/>
  <c r="E454" i="1"/>
  <c r="A350" i="1"/>
  <c r="B350" i="1"/>
  <c r="C350" i="1"/>
  <c r="D350" i="1"/>
  <c r="E350" i="1"/>
  <c r="A982" i="1"/>
  <c r="B982" i="1"/>
  <c r="C982" i="1"/>
  <c r="D982" i="1"/>
  <c r="E982" i="1"/>
  <c r="A999" i="1"/>
  <c r="B999" i="1"/>
  <c r="C999" i="1"/>
  <c r="D999" i="1"/>
  <c r="E999" i="1"/>
  <c r="A1051" i="1"/>
  <c r="B1051" i="1"/>
  <c r="C1051" i="1"/>
  <c r="D1051" i="1"/>
  <c r="E1051" i="1"/>
  <c r="A944" i="1"/>
  <c r="B944" i="1"/>
  <c r="C944" i="1"/>
  <c r="D944" i="1"/>
  <c r="E944" i="1"/>
  <c r="A246" i="1"/>
  <c r="B246" i="1"/>
  <c r="C246" i="1"/>
  <c r="D246" i="1"/>
  <c r="E246" i="1"/>
  <c r="A170" i="1"/>
  <c r="B170" i="1"/>
  <c r="C170" i="1"/>
  <c r="D170" i="1"/>
  <c r="E170" i="1"/>
  <c r="A124" i="1"/>
  <c r="B124" i="1"/>
  <c r="C124" i="1"/>
  <c r="D124" i="1"/>
  <c r="E124" i="1"/>
  <c r="A17" i="1"/>
  <c r="B17" i="1"/>
  <c r="C17" i="1"/>
  <c r="D17" i="1"/>
  <c r="E17" i="1"/>
  <c r="A16" i="1"/>
  <c r="B16" i="1"/>
  <c r="C16" i="1"/>
  <c r="D16" i="1"/>
  <c r="E16" i="1"/>
  <c r="A15" i="1"/>
  <c r="B15" i="1"/>
  <c r="C15" i="1"/>
  <c r="D15" i="1"/>
  <c r="E15" i="1"/>
  <c r="A43" i="1"/>
  <c r="B43" i="1"/>
  <c r="C43" i="1"/>
  <c r="D43" i="1"/>
  <c r="E43" i="1"/>
  <c r="A612" i="1"/>
  <c r="B612" i="1"/>
  <c r="C612" i="1"/>
  <c r="D612" i="1"/>
  <c r="E612" i="1"/>
  <c r="A607" i="1"/>
  <c r="B607" i="1"/>
  <c r="C607" i="1"/>
  <c r="D607" i="1"/>
  <c r="E607" i="1"/>
  <c r="A608" i="1"/>
  <c r="B608" i="1"/>
  <c r="C608" i="1"/>
  <c r="D608" i="1"/>
  <c r="E608" i="1"/>
  <c r="A243" i="1"/>
  <c r="B243" i="1"/>
  <c r="C243" i="1"/>
  <c r="D243" i="1"/>
  <c r="E243" i="1"/>
  <c r="A302" i="1"/>
  <c r="B302" i="1"/>
  <c r="C302" i="1"/>
  <c r="D302" i="1"/>
  <c r="E302" i="1"/>
  <c r="A318" i="1"/>
  <c r="B318" i="1"/>
  <c r="C318" i="1"/>
  <c r="D318" i="1"/>
  <c r="E318" i="1"/>
  <c r="A316" i="1"/>
  <c r="B316" i="1"/>
  <c r="C316" i="1"/>
  <c r="D316" i="1"/>
  <c r="E316" i="1"/>
  <c r="A196" i="1"/>
  <c r="B196" i="1"/>
  <c r="C196" i="1"/>
  <c r="D196" i="1"/>
  <c r="E196" i="1"/>
  <c r="A315" i="1"/>
  <c r="B315" i="1"/>
  <c r="C315" i="1"/>
  <c r="D315" i="1"/>
  <c r="E315" i="1"/>
  <c r="A270" i="1"/>
  <c r="B270" i="1"/>
  <c r="C270" i="1"/>
  <c r="D270" i="1"/>
  <c r="E270" i="1"/>
  <c r="A244" i="1"/>
  <c r="B244" i="1"/>
  <c r="C244" i="1"/>
  <c r="D244" i="1"/>
  <c r="E244" i="1"/>
  <c r="A248" i="1"/>
  <c r="B248" i="1"/>
  <c r="C248" i="1"/>
  <c r="D248" i="1"/>
  <c r="E248" i="1"/>
  <c r="A245" i="1"/>
  <c r="B245" i="1"/>
  <c r="C245" i="1"/>
  <c r="D245" i="1"/>
  <c r="E245" i="1"/>
  <c r="A602" i="1"/>
  <c r="B602" i="1"/>
  <c r="C602" i="1"/>
  <c r="D602" i="1"/>
  <c r="E602" i="1"/>
  <c r="A603" i="1"/>
  <c r="B603" i="1"/>
  <c r="C603" i="1"/>
  <c r="D603" i="1"/>
  <c r="E603" i="1"/>
  <c r="A611" i="1"/>
  <c r="B611" i="1"/>
  <c r="C611" i="1"/>
  <c r="D611" i="1"/>
  <c r="E611" i="1"/>
  <c r="A11" i="1"/>
  <c r="B11" i="1"/>
  <c r="C11" i="1"/>
  <c r="D11" i="1"/>
  <c r="E11" i="1"/>
  <c r="A18" i="1"/>
  <c r="B18" i="1"/>
  <c r="C18" i="1"/>
  <c r="D18" i="1"/>
  <c r="E18" i="1"/>
  <c r="A12" i="1"/>
  <c r="B12" i="1"/>
  <c r="C12" i="1"/>
  <c r="D12" i="1"/>
  <c r="E12" i="1"/>
  <c r="A3" i="1"/>
  <c r="B3" i="1"/>
  <c r="C3" i="1"/>
  <c r="D3" i="1"/>
  <c r="E3" i="1"/>
  <c r="A50" i="1"/>
  <c r="B50" i="1"/>
  <c r="C50" i="1"/>
  <c r="D50" i="1"/>
  <c r="E50" i="1"/>
  <c r="A29" i="1"/>
  <c r="B29" i="1"/>
  <c r="C29" i="1"/>
  <c r="D29" i="1"/>
  <c r="E29" i="1"/>
  <c r="A166" i="1"/>
  <c r="B166" i="1"/>
  <c r="C166" i="1"/>
  <c r="D166" i="1"/>
  <c r="E166" i="1"/>
  <c r="A938" i="1"/>
  <c r="B938" i="1"/>
  <c r="C938" i="1"/>
  <c r="D938" i="1"/>
  <c r="E938" i="1"/>
  <c r="A985" i="1"/>
  <c r="B985" i="1"/>
  <c r="C985" i="1"/>
  <c r="D985" i="1"/>
  <c r="E985" i="1"/>
  <c r="A981" i="1"/>
  <c r="B981" i="1"/>
  <c r="C981" i="1"/>
  <c r="D981" i="1"/>
  <c r="E981" i="1"/>
  <c r="A996" i="1"/>
  <c r="B996" i="1"/>
  <c r="C996" i="1"/>
  <c r="D996" i="1"/>
  <c r="E996" i="1"/>
  <c r="A994" i="1"/>
  <c r="B994" i="1"/>
  <c r="C994" i="1"/>
  <c r="D994" i="1"/>
  <c r="E994" i="1"/>
  <c r="A993" i="1"/>
  <c r="B993" i="1"/>
  <c r="C993" i="1"/>
  <c r="D993" i="1"/>
  <c r="E993" i="1"/>
  <c r="A995" i="1"/>
  <c r="B995" i="1"/>
  <c r="C995" i="1"/>
  <c r="D995" i="1"/>
  <c r="E995" i="1"/>
  <c r="A398" i="1"/>
  <c r="B398" i="1"/>
  <c r="C398" i="1"/>
  <c r="D398" i="1"/>
  <c r="E398" i="1"/>
  <c r="A349" i="1"/>
  <c r="B349" i="1"/>
  <c r="C349" i="1"/>
  <c r="D349" i="1"/>
  <c r="E349" i="1"/>
  <c r="A528" i="1"/>
  <c r="B528" i="1"/>
  <c r="C528" i="1"/>
  <c r="D528" i="1"/>
  <c r="E528" i="1"/>
  <c r="A973" i="1"/>
  <c r="B973" i="1"/>
  <c r="C973" i="1"/>
  <c r="D973" i="1"/>
  <c r="E973" i="1"/>
  <c r="A976" i="1"/>
  <c r="B976" i="1"/>
  <c r="C976" i="1"/>
  <c r="D976" i="1"/>
  <c r="E976" i="1"/>
  <c r="A977" i="1"/>
  <c r="B977" i="1"/>
  <c r="C977" i="1"/>
  <c r="D977" i="1"/>
  <c r="E977" i="1"/>
  <c r="A988" i="1"/>
  <c r="B988" i="1"/>
  <c r="C988" i="1"/>
  <c r="D988" i="1"/>
  <c r="E988" i="1"/>
  <c r="A991" i="1"/>
  <c r="B991" i="1"/>
  <c r="C991" i="1"/>
  <c r="D991" i="1"/>
  <c r="E991" i="1"/>
  <c r="A971" i="1"/>
  <c r="B971" i="1"/>
  <c r="C971" i="1"/>
  <c r="D971" i="1"/>
  <c r="E971" i="1"/>
  <c r="A943" i="1"/>
  <c r="B943" i="1"/>
  <c r="C943" i="1"/>
  <c r="D943" i="1"/>
  <c r="E943" i="1"/>
  <c r="A942" i="1"/>
  <c r="B942" i="1"/>
  <c r="C942" i="1"/>
  <c r="D942" i="1"/>
  <c r="E942" i="1"/>
  <c r="A939" i="1"/>
  <c r="B939" i="1"/>
  <c r="C939" i="1"/>
  <c r="D939" i="1"/>
  <c r="E939" i="1"/>
  <c r="A941" i="1"/>
  <c r="B941" i="1"/>
  <c r="C941" i="1"/>
  <c r="D941" i="1"/>
  <c r="E941" i="1"/>
  <c r="A588" i="1"/>
  <c r="B588" i="1"/>
  <c r="C588" i="1"/>
  <c r="D588" i="1"/>
  <c r="E588" i="1"/>
  <c r="A590" i="1"/>
  <c r="B590" i="1"/>
  <c r="C590" i="1"/>
  <c r="D590" i="1"/>
  <c r="E590" i="1"/>
  <c r="A591" i="1"/>
  <c r="B591" i="1"/>
  <c r="C591" i="1"/>
  <c r="D591" i="1"/>
  <c r="E591" i="1"/>
  <c r="A592" i="1"/>
  <c r="B592" i="1"/>
  <c r="C592" i="1"/>
  <c r="D592" i="1"/>
  <c r="E592" i="1"/>
  <c r="A617" i="1"/>
  <c r="B617" i="1"/>
  <c r="C617" i="1"/>
  <c r="D617" i="1"/>
  <c r="E617" i="1"/>
  <c r="A594" i="1"/>
  <c r="B594" i="1"/>
  <c r="C594" i="1"/>
  <c r="D594" i="1"/>
  <c r="E594" i="1"/>
  <c r="A585" i="1"/>
  <c r="B585" i="1"/>
  <c r="C585" i="1"/>
  <c r="D585" i="1"/>
  <c r="E585" i="1"/>
  <c r="A767" i="1"/>
  <c r="B767" i="1"/>
  <c r="C767" i="1"/>
  <c r="D767" i="1"/>
  <c r="E767" i="1"/>
  <c r="A917" i="1"/>
  <c r="B917" i="1"/>
  <c r="C917" i="1"/>
  <c r="D917" i="1"/>
  <c r="E917" i="1"/>
  <c r="A1093" i="1"/>
  <c r="B1093" i="1"/>
  <c r="C1093" i="1"/>
  <c r="D1093" i="1"/>
  <c r="E1093" i="1"/>
  <c r="A739" i="1"/>
  <c r="B739" i="1"/>
  <c r="C739" i="1"/>
  <c r="D739" i="1"/>
  <c r="E739" i="1"/>
  <c r="A740" i="1"/>
  <c r="B740" i="1"/>
  <c r="C740" i="1"/>
  <c r="D740" i="1"/>
  <c r="E740" i="1"/>
  <c r="A737" i="1"/>
  <c r="B737" i="1"/>
  <c r="C737" i="1"/>
  <c r="D737" i="1"/>
  <c r="E737" i="1"/>
  <c r="A728" i="1"/>
  <c r="B728" i="1"/>
  <c r="C728" i="1"/>
  <c r="D728" i="1"/>
  <c r="E728" i="1"/>
  <c r="A729" i="1"/>
  <c r="B729" i="1"/>
  <c r="C729" i="1"/>
  <c r="D729" i="1"/>
  <c r="E729" i="1"/>
  <c r="A755" i="1"/>
  <c r="B755" i="1"/>
  <c r="C755" i="1"/>
  <c r="D755" i="1"/>
  <c r="E755" i="1"/>
  <c r="A753" i="1"/>
  <c r="B753" i="1"/>
  <c r="C753" i="1"/>
  <c r="D753" i="1"/>
  <c r="E753" i="1"/>
  <c r="A750" i="1"/>
  <c r="B750" i="1"/>
  <c r="C750" i="1"/>
  <c r="D750" i="1"/>
  <c r="E750" i="1"/>
  <c r="A748" i="1"/>
  <c r="B748" i="1"/>
  <c r="C748" i="1"/>
  <c r="D748" i="1"/>
  <c r="E748" i="1"/>
  <c r="A684" i="1"/>
  <c r="B684" i="1"/>
  <c r="C684" i="1"/>
  <c r="D684" i="1"/>
  <c r="E684" i="1"/>
  <c r="A384" i="1"/>
  <c r="B384" i="1"/>
  <c r="C384" i="1"/>
  <c r="D384" i="1"/>
  <c r="E384" i="1"/>
  <c r="A385" i="1"/>
  <c r="B385" i="1"/>
  <c r="C385" i="1"/>
  <c r="D385" i="1"/>
  <c r="E385" i="1"/>
  <c r="A667" i="1"/>
  <c r="B667" i="1"/>
  <c r="C667" i="1"/>
  <c r="D667" i="1"/>
  <c r="E667" i="1"/>
  <c r="A766" i="1"/>
  <c r="B766" i="1"/>
  <c r="C766" i="1"/>
  <c r="D766" i="1"/>
  <c r="E766" i="1"/>
  <c r="A972" i="1"/>
  <c r="B972" i="1"/>
  <c r="C972" i="1"/>
  <c r="D972" i="1"/>
  <c r="E972" i="1"/>
  <c r="A969" i="1"/>
  <c r="B969" i="1"/>
  <c r="C969" i="1"/>
  <c r="D969" i="1"/>
  <c r="E969" i="1"/>
  <c r="A1141" i="1"/>
  <c r="B1141" i="1"/>
  <c r="C1141" i="1"/>
  <c r="D1141" i="1"/>
  <c r="E1141" i="1"/>
  <c r="A769" i="1"/>
  <c r="B769" i="1"/>
  <c r="C769" i="1"/>
  <c r="D769" i="1"/>
  <c r="E769" i="1"/>
  <c r="A758" i="1"/>
  <c r="B758" i="1"/>
  <c r="C758" i="1"/>
  <c r="D758" i="1"/>
  <c r="E758" i="1"/>
  <c r="A754" i="1"/>
  <c r="B754" i="1"/>
  <c r="C754" i="1"/>
  <c r="D754" i="1"/>
  <c r="E754" i="1"/>
  <c r="A28" i="1"/>
  <c r="B28" i="1"/>
  <c r="C28" i="1"/>
  <c r="D28" i="1"/>
  <c r="E28" i="1"/>
  <c r="A26" i="1"/>
  <c r="B26" i="1"/>
  <c r="C26" i="1"/>
  <c r="D26" i="1"/>
  <c r="E26" i="1"/>
  <c r="A22" i="1"/>
  <c r="B22" i="1"/>
  <c r="C22" i="1"/>
  <c r="D22" i="1"/>
  <c r="E22" i="1"/>
  <c r="A5" i="1"/>
  <c r="B5" i="1"/>
  <c r="C5" i="1"/>
  <c r="D5" i="1"/>
  <c r="E5" i="1"/>
  <c r="A6" i="1"/>
  <c r="B6" i="1"/>
  <c r="C6" i="1"/>
  <c r="D6" i="1"/>
  <c r="E6" i="1"/>
  <c r="A46" i="1"/>
  <c r="B46" i="1"/>
  <c r="C46" i="1"/>
  <c r="D46" i="1"/>
  <c r="E46" i="1"/>
  <c r="A37" i="1"/>
  <c r="B37" i="1"/>
  <c r="C37" i="1"/>
  <c r="D37" i="1"/>
  <c r="E37" i="1"/>
  <c r="A323" i="1"/>
  <c r="B323" i="1"/>
  <c r="C323" i="1"/>
  <c r="D323" i="1"/>
  <c r="E323" i="1"/>
  <c r="A324" i="1"/>
  <c r="B324" i="1"/>
  <c r="C324" i="1"/>
  <c r="D324" i="1"/>
  <c r="E324" i="1"/>
  <c r="A346" i="1"/>
  <c r="B346" i="1"/>
  <c r="C346" i="1"/>
  <c r="D346" i="1"/>
  <c r="E346" i="1"/>
  <c r="A207" i="1"/>
  <c r="B207" i="1"/>
  <c r="C207" i="1"/>
  <c r="D207" i="1"/>
  <c r="E207" i="1"/>
  <c r="A201" i="1"/>
  <c r="B201" i="1"/>
  <c r="C201" i="1"/>
  <c r="D201" i="1"/>
  <c r="E201" i="1"/>
  <c r="A206" i="1"/>
  <c r="B206" i="1"/>
  <c r="C206" i="1"/>
  <c r="D206" i="1"/>
  <c r="E206" i="1"/>
  <c r="A205" i="1"/>
  <c r="B205" i="1"/>
  <c r="C205" i="1"/>
  <c r="D205" i="1"/>
  <c r="E205" i="1"/>
  <c r="A203" i="1"/>
  <c r="B203" i="1"/>
  <c r="C203" i="1"/>
  <c r="D203" i="1"/>
  <c r="E203" i="1"/>
  <c r="A204" i="1"/>
  <c r="B204" i="1"/>
  <c r="C204" i="1"/>
  <c r="D204" i="1"/>
  <c r="E204" i="1"/>
  <c r="A234" i="1"/>
  <c r="B234" i="1"/>
  <c r="C234" i="1"/>
  <c r="D234" i="1"/>
  <c r="E234" i="1"/>
  <c r="A301" i="1"/>
  <c r="B301" i="1"/>
  <c r="C301" i="1"/>
  <c r="D301" i="1"/>
  <c r="E301" i="1"/>
  <c r="A300" i="1"/>
  <c r="B300" i="1"/>
  <c r="C300" i="1"/>
  <c r="D300" i="1"/>
  <c r="E300" i="1"/>
  <c r="A56" i="1"/>
  <c r="B56" i="1"/>
  <c r="C56" i="1"/>
  <c r="D56" i="1"/>
  <c r="E56" i="1"/>
  <c r="A948" i="1"/>
  <c r="B948" i="1"/>
  <c r="C948" i="1"/>
  <c r="D948" i="1"/>
  <c r="E948" i="1"/>
  <c r="A183" i="1"/>
  <c r="B183" i="1"/>
  <c r="C183" i="1"/>
  <c r="D183" i="1"/>
  <c r="E183" i="1"/>
  <c r="A187" i="1"/>
  <c r="B187" i="1"/>
  <c r="C187" i="1"/>
  <c r="D187" i="1"/>
  <c r="E187" i="1"/>
  <c r="A186" i="1"/>
  <c r="B186" i="1"/>
  <c r="C186" i="1"/>
  <c r="D186" i="1"/>
  <c r="E186" i="1"/>
  <c r="A188" i="1"/>
  <c r="B188" i="1"/>
  <c r="C188" i="1"/>
  <c r="D188" i="1"/>
  <c r="E188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193" i="1"/>
  <c r="B193" i="1"/>
  <c r="C193" i="1"/>
  <c r="D193" i="1"/>
  <c r="E193" i="1"/>
  <c r="A202" i="1"/>
  <c r="B202" i="1"/>
  <c r="C202" i="1"/>
  <c r="D202" i="1"/>
  <c r="E202" i="1"/>
  <c r="A646" i="1"/>
  <c r="B646" i="1"/>
  <c r="C646" i="1"/>
  <c r="D646" i="1"/>
  <c r="E646" i="1"/>
  <c r="A653" i="1"/>
  <c r="B653" i="1"/>
  <c r="C653" i="1"/>
  <c r="D653" i="1"/>
  <c r="E653" i="1"/>
  <c r="A665" i="1"/>
  <c r="B665" i="1"/>
  <c r="C665" i="1"/>
  <c r="D665" i="1"/>
  <c r="E665" i="1"/>
  <c r="A627" i="1"/>
  <c r="B627" i="1"/>
  <c r="C627" i="1"/>
  <c r="D627" i="1"/>
  <c r="E627" i="1"/>
  <c r="A628" i="1"/>
  <c r="B628" i="1"/>
  <c r="C628" i="1"/>
  <c r="D628" i="1"/>
  <c r="E628" i="1"/>
  <c r="A629" i="1"/>
  <c r="B629" i="1"/>
  <c r="C629" i="1"/>
  <c r="D629" i="1"/>
  <c r="E629" i="1"/>
  <c r="A630" i="1"/>
  <c r="B630" i="1"/>
  <c r="C630" i="1"/>
  <c r="D630" i="1"/>
  <c r="E630" i="1"/>
  <c r="A631" i="1"/>
  <c r="B631" i="1"/>
  <c r="C631" i="1"/>
  <c r="D631" i="1"/>
  <c r="E631" i="1"/>
  <c r="A632" i="1"/>
  <c r="B632" i="1"/>
  <c r="C632" i="1"/>
  <c r="D632" i="1"/>
  <c r="E632" i="1"/>
  <c r="A633" i="1"/>
  <c r="B633" i="1"/>
  <c r="C633" i="1"/>
  <c r="D633" i="1"/>
  <c r="E633" i="1"/>
  <c r="A175" i="1"/>
  <c r="B175" i="1"/>
  <c r="C175" i="1"/>
  <c r="D175" i="1"/>
  <c r="E175" i="1"/>
  <c r="A176" i="1"/>
  <c r="B176" i="1"/>
  <c r="C176" i="1"/>
  <c r="D176" i="1"/>
  <c r="E176" i="1"/>
  <c r="A997" i="1"/>
  <c r="B997" i="1"/>
  <c r="C997" i="1"/>
  <c r="D997" i="1"/>
  <c r="E997" i="1"/>
  <c r="A935" i="1"/>
  <c r="B935" i="1"/>
  <c r="C935" i="1"/>
  <c r="D935" i="1"/>
  <c r="E935" i="1"/>
  <c r="A1130" i="1"/>
  <c r="B1130" i="1"/>
  <c r="C1130" i="1"/>
  <c r="D1130" i="1"/>
  <c r="E1130" i="1"/>
  <c r="A648" i="1"/>
  <c r="B648" i="1"/>
  <c r="C648" i="1"/>
  <c r="D648" i="1"/>
  <c r="E648" i="1"/>
  <c r="A649" i="1"/>
  <c r="B649" i="1"/>
  <c r="C649" i="1"/>
  <c r="D649" i="1"/>
  <c r="E649" i="1"/>
  <c r="A714" i="1"/>
  <c r="B714" i="1"/>
  <c r="C714" i="1"/>
  <c r="D714" i="1"/>
  <c r="E714" i="1"/>
  <c r="A745" i="1"/>
  <c r="B745" i="1"/>
  <c r="C745" i="1"/>
  <c r="D745" i="1"/>
  <c r="E745" i="1"/>
  <c r="A867" i="1"/>
  <c r="B867" i="1"/>
  <c r="C867" i="1"/>
  <c r="D867" i="1"/>
  <c r="E867" i="1"/>
  <c r="A388" i="1"/>
  <c r="B388" i="1"/>
  <c r="C388" i="1"/>
  <c r="D388" i="1"/>
  <c r="E388" i="1"/>
  <c r="A362" i="1"/>
  <c r="B362" i="1"/>
  <c r="C362" i="1"/>
  <c r="D362" i="1"/>
  <c r="E362" i="1"/>
  <c r="A333" i="1"/>
  <c r="B333" i="1"/>
  <c r="C333" i="1"/>
  <c r="D333" i="1"/>
  <c r="E333" i="1"/>
  <c r="A335" i="1"/>
  <c r="B335" i="1"/>
  <c r="C335" i="1"/>
  <c r="D335" i="1"/>
  <c r="E335" i="1"/>
  <c r="A597" i="1"/>
  <c r="B597" i="1"/>
  <c r="C597" i="1"/>
  <c r="D597" i="1"/>
  <c r="E597" i="1"/>
  <c r="A564" i="1"/>
  <c r="B564" i="1"/>
  <c r="C564" i="1"/>
  <c r="D564" i="1"/>
  <c r="E564" i="1"/>
  <c r="A462" i="1"/>
  <c r="B462" i="1"/>
  <c r="C462" i="1"/>
  <c r="D462" i="1"/>
  <c r="E462" i="1"/>
  <c r="A452" i="1"/>
  <c r="B452" i="1"/>
  <c r="C452" i="1"/>
  <c r="D452" i="1"/>
  <c r="E452" i="1"/>
  <c r="A453" i="1"/>
  <c r="B453" i="1"/>
  <c r="C453" i="1"/>
  <c r="D453" i="1"/>
  <c r="E453" i="1"/>
  <c r="A233" i="1"/>
  <c r="B233" i="1"/>
  <c r="C233" i="1"/>
  <c r="D233" i="1"/>
  <c r="E233" i="1"/>
  <c r="A970" i="1"/>
  <c r="B970" i="1"/>
  <c r="C970" i="1"/>
  <c r="D970" i="1"/>
  <c r="E970" i="1"/>
  <c r="A975" i="1"/>
  <c r="B975" i="1"/>
  <c r="C975" i="1"/>
  <c r="D975" i="1"/>
  <c r="E975" i="1"/>
  <c r="A978" i="1"/>
  <c r="B978" i="1"/>
  <c r="C978" i="1"/>
  <c r="D978" i="1"/>
  <c r="E978" i="1"/>
  <c r="A986" i="1"/>
  <c r="B986" i="1"/>
  <c r="C986" i="1"/>
  <c r="D986" i="1"/>
  <c r="E986" i="1"/>
  <c r="A980" i="1"/>
  <c r="B980" i="1"/>
  <c r="C980" i="1"/>
  <c r="D980" i="1"/>
  <c r="E980" i="1"/>
  <c r="A983" i="1"/>
  <c r="B983" i="1"/>
  <c r="C983" i="1"/>
  <c r="D983" i="1"/>
  <c r="E983" i="1"/>
  <c r="A984" i="1"/>
  <c r="B984" i="1"/>
  <c r="C984" i="1"/>
  <c r="D984" i="1"/>
  <c r="E984" i="1"/>
  <c r="A366" i="1"/>
  <c r="B366" i="1"/>
  <c r="C366" i="1"/>
  <c r="D366" i="1"/>
  <c r="E366" i="1"/>
  <c r="A368" i="1"/>
  <c r="B368" i="1"/>
  <c r="C368" i="1"/>
  <c r="D368" i="1"/>
  <c r="E368" i="1"/>
  <c r="A369" i="1"/>
  <c r="B369" i="1"/>
  <c r="C369" i="1"/>
  <c r="D369" i="1"/>
  <c r="E369" i="1"/>
  <c r="A572" i="1"/>
  <c r="B572" i="1"/>
  <c r="C572" i="1"/>
  <c r="D572" i="1"/>
  <c r="E572" i="1"/>
  <c r="A637" i="1"/>
  <c r="B637" i="1"/>
  <c r="C637" i="1"/>
  <c r="D637" i="1"/>
  <c r="E637" i="1"/>
  <c r="A638" i="1"/>
  <c r="B638" i="1"/>
  <c r="C638" i="1"/>
  <c r="D638" i="1"/>
  <c r="E638" i="1"/>
  <c r="A639" i="1"/>
  <c r="B639" i="1"/>
  <c r="C639" i="1"/>
  <c r="D639" i="1"/>
  <c r="E639" i="1"/>
  <c r="A640" i="1"/>
  <c r="B640" i="1"/>
  <c r="C640" i="1"/>
  <c r="D640" i="1"/>
  <c r="E640" i="1"/>
  <c r="A641" i="1"/>
  <c r="B641" i="1"/>
  <c r="C641" i="1"/>
  <c r="D641" i="1"/>
  <c r="E641" i="1"/>
  <c r="A644" i="1"/>
  <c r="B644" i="1"/>
  <c r="C644" i="1"/>
  <c r="D644" i="1"/>
  <c r="E644" i="1"/>
  <c r="A642" i="1"/>
  <c r="B642" i="1"/>
  <c r="C642" i="1"/>
  <c r="D642" i="1"/>
  <c r="E642" i="1"/>
  <c r="A643" i="1"/>
  <c r="B643" i="1"/>
  <c r="C643" i="1"/>
  <c r="D643" i="1"/>
  <c r="E643" i="1"/>
  <c r="A879" i="1"/>
  <c r="B879" i="1"/>
  <c r="C879" i="1"/>
  <c r="D879" i="1"/>
  <c r="E879" i="1"/>
  <c r="A231" i="1"/>
  <c r="B231" i="1"/>
  <c r="C231" i="1"/>
  <c r="D231" i="1"/>
  <c r="E231" i="1"/>
  <c r="A185" i="1"/>
  <c r="B185" i="1"/>
  <c r="C185" i="1"/>
  <c r="D185" i="1"/>
  <c r="E185" i="1"/>
  <c r="A14" i="1"/>
  <c r="B14" i="1"/>
  <c r="C14" i="1"/>
  <c r="D14" i="1"/>
  <c r="E14" i="1"/>
  <c r="A355" i="1"/>
  <c r="B355" i="1"/>
  <c r="C355" i="1"/>
  <c r="D355" i="1"/>
  <c r="E355" i="1"/>
  <c r="A326" i="1"/>
  <c r="B326" i="1"/>
  <c r="C326" i="1"/>
  <c r="D326" i="1"/>
  <c r="E326" i="1"/>
  <c r="A505" i="1"/>
  <c r="B505" i="1"/>
  <c r="C505" i="1"/>
  <c r="D505" i="1"/>
  <c r="E505" i="1"/>
  <c r="A519" i="1"/>
  <c r="B519" i="1"/>
  <c r="C519" i="1"/>
  <c r="D519" i="1"/>
  <c r="E519" i="1"/>
  <c r="A520" i="1"/>
  <c r="B520" i="1"/>
  <c r="C520" i="1"/>
  <c r="D520" i="1"/>
  <c r="E520" i="1"/>
  <c r="A508" i="1"/>
  <c r="B508" i="1"/>
  <c r="C508" i="1"/>
  <c r="D508" i="1"/>
  <c r="E508" i="1"/>
  <c r="A601" i="1"/>
  <c r="B601" i="1"/>
  <c r="C601" i="1"/>
  <c r="D601" i="1"/>
  <c r="E601" i="1"/>
  <c r="A267" i="1"/>
  <c r="B267" i="1"/>
  <c r="C267" i="1"/>
  <c r="D267" i="1"/>
  <c r="E267" i="1"/>
  <c r="A258" i="1"/>
  <c r="B258" i="1"/>
  <c r="C258" i="1"/>
  <c r="D258" i="1"/>
  <c r="E258" i="1"/>
  <c r="A285" i="1"/>
  <c r="B285" i="1"/>
  <c r="C285" i="1"/>
  <c r="D285" i="1"/>
  <c r="E285" i="1"/>
  <c r="A174" i="1"/>
  <c r="B174" i="1"/>
  <c r="C174" i="1"/>
  <c r="D174" i="1"/>
  <c r="E174" i="1"/>
  <c r="A7" i="1"/>
  <c r="B7" i="1"/>
  <c r="C7" i="1"/>
  <c r="D7" i="1"/>
  <c r="E7" i="1"/>
  <c r="A34" i="1"/>
  <c r="B34" i="1"/>
  <c r="C34" i="1"/>
  <c r="D34" i="1"/>
  <c r="E34" i="1"/>
  <c r="A4" i="1"/>
  <c r="B4" i="1"/>
  <c r="C4" i="1"/>
  <c r="D4" i="1"/>
  <c r="E4" i="1"/>
  <c r="A1095" i="1"/>
  <c r="B1095" i="1"/>
  <c r="C1095" i="1"/>
  <c r="D1095" i="1"/>
  <c r="E1095" i="1"/>
  <c r="A928" i="1"/>
  <c r="B928" i="1"/>
  <c r="C928" i="1"/>
  <c r="D928" i="1"/>
  <c r="E928" i="1"/>
  <c r="A923" i="1"/>
  <c r="B923" i="1"/>
  <c r="C923" i="1"/>
  <c r="D923" i="1"/>
  <c r="E923" i="1"/>
  <c r="A146" i="1"/>
  <c r="B146" i="1"/>
  <c r="C146" i="1"/>
  <c r="D146" i="1"/>
  <c r="E146" i="1"/>
  <c r="A85" i="1"/>
  <c r="B85" i="1"/>
  <c r="C85" i="1"/>
  <c r="D85" i="1"/>
  <c r="E85" i="1"/>
  <c r="A107" i="1"/>
  <c r="B107" i="1"/>
  <c r="C107" i="1"/>
  <c r="D107" i="1"/>
  <c r="E107" i="1"/>
  <c r="A99" i="1"/>
  <c r="B99" i="1"/>
  <c r="C99" i="1"/>
  <c r="D99" i="1"/>
  <c r="E99" i="1"/>
  <c r="A111" i="1"/>
  <c r="B111" i="1"/>
  <c r="C111" i="1"/>
  <c r="D111" i="1"/>
  <c r="E111" i="1"/>
  <c r="A121" i="1"/>
  <c r="B121" i="1"/>
  <c r="C121" i="1"/>
  <c r="D121" i="1"/>
  <c r="E121" i="1"/>
  <c r="A168" i="1"/>
  <c r="B168" i="1"/>
  <c r="C168" i="1"/>
  <c r="D168" i="1"/>
  <c r="E168" i="1"/>
  <c r="A88" i="1"/>
  <c r="B88" i="1"/>
  <c r="C88" i="1"/>
  <c r="D88" i="1"/>
  <c r="E88" i="1"/>
  <c r="A159" i="1"/>
  <c r="B159" i="1"/>
  <c r="C159" i="1"/>
  <c r="D159" i="1"/>
  <c r="E159" i="1"/>
  <c r="A109" i="1"/>
  <c r="B109" i="1"/>
  <c r="C109" i="1"/>
  <c r="D109" i="1"/>
  <c r="E109" i="1"/>
  <c r="A405" i="1"/>
  <c r="B405" i="1"/>
  <c r="C405" i="1"/>
  <c r="D405" i="1"/>
  <c r="E405" i="1"/>
  <c r="A418" i="1"/>
  <c r="B418" i="1"/>
  <c r="C418" i="1"/>
  <c r="D418" i="1"/>
  <c r="E418" i="1"/>
  <c r="A254" i="1"/>
  <c r="B254" i="1"/>
  <c r="C254" i="1"/>
  <c r="D254" i="1"/>
  <c r="E254" i="1"/>
  <c r="A139" i="1"/>
  <c r="B139" i="1"/>
  <c r="C139" i="1"/>
  <c r="D139" i="1"/>
  <c r="E139" i="1"/>
  <c r="A101" i="1"/>
  <c r="B101" i="1"/>
  <c r="C101" i="1"/>
  <c r="D101" i="1"/>
  <c r="E101" i="1"/>
  <c r="A83" i="1"/>
  <c r="B83" i="1"/>
  <c r="C83" i="1"/>
  <c r="D83" i="1"/>
  <c r="E83" i="1"/>
  <c r="A151" i="1"/>
  <c r="B151" i="1"/>
  <c r="C151" i="1"/>
  <c r="D151" i="1"/>
  <c r="E151" i="1"/>
  <c r="A113" i="1"/>
  <c r="B113" i="1"/>
  <c r="C113" i="1"/>
  <c r="D113" i="1"/>
  <c r="E113" i="1"/>
  <c r="A167" i="1"/>
  <c r="B167" i="1"/>
  <c r="C167" i="1"/>
  <c r="D167" i="1"/>
  <c r="E167" i="1"/>
  <c r="A164" i="1"/>
  <c r="B164" i="1"/>
  <c r="C164" i="1"/>
  <c r="D164" i="1"/>
  <c r="E164" i="1"/>
  <c r="A402" i="1"/>
  <c r="B402" i="1"/>
  <c r="C402" i="1"/>
  <c r="D402" i="1"/>
  <c r="E402" i="1"/>
  <c r="A413" i="1"/>
  <c r="B413" i="1"/>
  <c r="C413" i="1"/>
  <c r="D413" i="1"/>
  <c r="E413" i="1"/>
  <c r="A408" i="1"/>
  <c r="B408" i="1"/>
  <c r="C408" i="1"/>
  <c r="D408" i="1"/>
  <c r="E408" i="1"/>
  <c r="A409" i="1"/>
  <c r="B409" i="1"/>
  <c r="C409" i="1"/>
  <c r="D409" i="1"/>
  <c r="E409" i="1"/>
  <c r="A442" i="1"/>
  <c r="B442" i="1"/>
  <c r="C442" i="1"/>
  <c r="D442" i="1"/>
  <c r="E442" i="1"/>
  <c r="A444" i="1"/>
  <c r="B444" i="1"/>
  <c r="C444" i="1"/>
  <c r="D444" i="1"/>
  <c r="E444" i="1"/>
  <c r="A438" i="1"/>
  <c r="B438" i="1"/>
  <c r="C438" i="1"/>
  <c r="D438" i="1"/>
  <c r="E438" i="1"/>
  <c r="A420" i="1"/>
  <c r="B420" i="1"/>
  <c r="C420" i="1"/>
  <c r="D420" i="1"/>
  <c r="E420" i="1"/>
  <c r="A428" i="1"/>
  <c r="B428" i="1"/>
  <c r="C428" i="1"/>
  <c r="D428" i="1"/>
  <c r="E428" i="1"/>
  <c r="A415" i="1"/>
  <c r="B415" i="1"/>
  <c r="C415" i="1"/>
  <c r="D415" i="1"/>
  <c r="E415" i="1"/>
  <c r="A790" i="1"/>
  <c r="B790" i="1"/>
  <c r="C790" i="1"/>
  <c r="D790" i="1"/>
  <c r="E790" i="1"/>
  <c r="A785" i="1"/>
  <c r="B785" i="1"/>
  <c r="C785" i="1"/>
  <c r="D785" i="1"/>
  <c r="E785" i="1"/>
  <c r="A1073" i="1"/>
  <c r="B1073" i="1"/>
  <c r="C1073" i="1"/>
  <c r="D1073" i="1"/>
  <c r="E1073" i="1"/>
  <c r="A1074" i="1"/>
  <c r="B1074" i="1"/>
  <c r="C1074" i="1"/>
  <c r="D1074" i="1"/>
  <c r="E1074" i="1"/>
  <c r="A1080" i="1"/>
  <c r="B1080" i="1"/>
  <c r="C1080" i="1"/>
  <c r="D1080" i="1"/>
  <c r="E1080" i="1"/>
  <c r="A956" i="1"/>
  <c r="B956" i="1"/>
  <c r="C956" i="1"/>
  <c r="D956" i="1"/>
  <c r="E956" i="1"/>
  <c r="A482" i="1"/>
  <c r="B482" i="1"/>
  <c r="C482" i="1"/>
  <c r="D482" i="1"/>
  <c r="E482" i="1"/>
  <c r="A475" i="1"/>
  <c r="B475" i="1"/>
  <c r="C475" i="1"/>
  <c r="D475" i="1"/>
  <c r="E475" i="1"/>
  <c r="A472" i="1"/>
  <c r="B472" i="1"/>
  <c r="C472" i="1"/>
  <c r="D472" i="1"/>
  <c r="E472" i="1"/>
  <c r="A493" i="1"/>
  <c r="B493" i="1"/>
  <c r="C493" i="1"/>
  <c r="D493" i="1"/>
  <c r="E493" i="1"/>
  <c r="A673" i="1"/>
  <c r="B673" i="1"/>
  <c r="C673" i="1"/>
  <c r="D673" i="1"/>
  <c r="E673" i="1"/>
  <c r="A698" i="1"/>
  <c r="B698" i="1"/>
  <c r="C698" i="1"/>
  <c r="D698" i="1"/>
  <c r="E698" i="1"/>
  <c r="A691" i="1"/>
  <c r="B691" i="1"/>
  <c r="C691" i="1"/>
  <c r="D691" i="1"/>
  <c r="E691" i="1"/>
  <c r="A692" i="1"/>
  <c r="B692" i="1"/>
  <c r="C692" i="1"/>
  <c r="D692" i="1"/>
  <c r="E692" i="1"/>
  <c r="A693" i="1"/>
  <c r="B693" i="1"/>
  <c r="C693" i="1"/>
  <c r="D693" i="1"/>
  <c r="E693" i="1"/>
  <c r="A686" i="1"/>
  <c r="B686" i="1"/>
  <c r="C686" i="1"/>
  <c r="D686" i="1"/>
  <c r="E686" i="1"/>
  <c r="A821" i="1"/>
  <c r="B821" i="1"/>
  <c r="C821" i="1"/>
  <c r="D821" i="1"/>
  <c r="E821" i="1"/>
  <c r="A792" i="1"/>
  <c r="B792" i="1"/>
  <c r="C792" i="1"/>
  <c r="D792" i="1"/>
  <c r="E792" i="1"/>
  <c r="A797" i="1"/>
  <c r="B797" i="1"/>
  <c r="C797" i="1"/>
  <c r="D797" i="1"/>
  <c r="E797" i="1"/>
  <c r="A789" i="1"/>
  <c r="B789" i="1"/>
  <c r="C789" i="1"/>
  <c r="D789" i="1"/>
  <c r="E789" i="1"/>
  <c r="A1032" i="1"/>
  <c r="B1032" i="1"/>
  <c r="C1032" i="1"/>
  <c r="D1032" i="1"/>
  <c r="E1032" i="1"/>
  <c r="A1033" i="1"/>
  <c r="B1033" i="1"/>
  <c r="C1033" i="1"/>
  <c r="D1033" i="1"/>
  <c r="E1033" i="1"/>
  <c r="A1034" i="1"/>
  <c r="B1034" i="1"/>
  <c r="C1034" i="1"/>
  <c r="D1034" i="1"/>
  <c r="E1034" i="1"/>
  <c r="A1035" i="1"/>
  <c r="B1035" i="1"/>
  <c r="C1035" i="1"/>
  <c r="D1035" i="1"/>
  <c r="E1035" i="1"/>
  <c r="A1038" i="1"/>
  <c r="B1038" i="1"/>
  <c r="C1038" i="1"/>
  <c r="D1038" i="1"/>
  <c r="E1038" i="1"/>
  <c r="A1039" i="1"/>
  <c r="B1039" i="1"/>
  <c r="C1039" i="1"/>
  <c r="D1039" i="1"/>
  <c r="E1039" i="1"/>
  <c r="A1040" i="1"/>
  <c r="B1040" i="1"/>
  <c r="C1040" i="1"/>
  <c r="D1040" i="1"/>
  <c r="E1040" i="1"/>
  <c r="A1041" i="1"/>
  <c r="B1041" i="1"/>
  <c r="C1041" i="1"/>
  <c r="D1041" i="1"/>
  <c r="E1041" i="1"/>
  <c r="A1037" i="1"/>
  <c r="B1037" i="1"/>
  <c r="C1037" i="1"/>
  <c r="D1037" i="1"/>
  <c r="E1037" i="1"/>
  <c r="A586" i="1"/>
  <c r="B586" i="1"/>
  <c r="C586" i="1"/>
  <c r="D586" i="1"/>
  <c r="E586" i="1"/>
  <c r="A1022" i="1"/>
  <c r="B1022" i="1"/>
  <c r="C1022" i="1"/>
  <c r="D1022" i="1"/>
  <c r="E1022" i="1"/>
  <c r="A1023" i="1"/>
  <c r="B1023" i="1"/>
  <c r="C1023" i="1"/>
  <c r="D1023" i="1"/>
  <c r="E1023" i="1"/>
  <c r="A1024" i="1"/>
  <c r="B1024" i="1"/>
  <c r="C1024" i="1"/>
  <c r="D1024" i="1"/>
  <c r="E1024" i="1"/>
  <c r="A1025" i="1"/>
  <c r="B1025" i="1"/>
  <c r="C1025" i="1"/>
  <c r="D1025" i="1"/>
  <c r="E1025" i="1"/>
  <c r="A1026" i="1"/>
  <c r="B1026" i="1"/>
  <c r="C1026" i="1"/>
  <c r="D1026" i="1"/>
  <c r="E1026" i="1"/>
  <c r="A1027" i="1"/>
  <c r="B1027" i="1"/>
  <c r="C1027" i="1"/>
  <c r="D1027" i="1"/>
  <c r="E1027" i="1"/>
  <c r="A1028" i="1"/>
  <c r="B1028" i="1"/>
  <c r="C1028" i="1"/>
  <c r="D1028" i="1"/>
  <c r="E1028" i="1"/>
  <c r="A1029" i="1"/>
  <c r="B1029" i="1"/>
  <c r="C1029" i="1"/>
  <c r="D1029" i="1"/>
  <c r="E1029" i="1"/>
  <c r="A1030" i="1"/>
  <c r="B1030" i="1"/>
  <c r="C1030" i="1"/>
  <c r="D1030" i="1"/>
  <c r="E1030" i="1"/>
  <c r="A1031" i="1"/>
  <c r="B1031" i="1"/>
  <c r="C1031" i="1"/>
  <c r="D1031" i="1"/>
  <c r="E1031" i="1"/>
  <c r="A1045" i="1"/>
  <c r="B1045" i="1"/>
  <c r="C1045" i="1"/>
  <c r="D1045" i="1"/>
  <c r="E1045" i="1"/>
  <c r="A1046" i="1"/>
  <c r="B1046" i="1"/>
  <c r="C1046" i="1"/>
  <c r="D1046" i="1"/>
  <c r="E1046" i="1"/>
  <c r="A1047" i="1"/>
  <c r="B1047" i="1"/>
  <c r="C1047" i="1"/>
  <c r="D1047" i="1"/>
  <c r="E1047" i="1"/>
  <c r="A1049" i="1"/>
  <c r="B1049" i="1"/>
  <c r="C1049" i="1"/>
  <c r="D1049" i="1"/>
  <c r="E1049" i="1"/>
  <c r="A1050" i="1"/>
  <c r="B1050" i="1"/>
  <c r="C1050" i="1"/>
  <c r="D1050" i="1"/>
  <c r="E1050" i="1"/>
  <c r="A1036" i="1"/>
  <c r="B1036" i="1"/>
  <c r="C1036" i="1"/>
  <c r="D1036" i="1"/>
  <c r="E1036" i="1"/>
  <c r="A1048" i="1"/>
  <c r="B1048" i="1"/>
  <c r="C1048" i="1"/>
  <c r="D1048" i="1"/>
  <c r="E1048" i="1"/>
  <c r="A1019" i="1"/>
  <c r="B1019" i="1"/>
  <c r="C1019" i="1"/>
  <c r="D1019" i="1"/>
  <c r="E1019" i="1"/>
  <c r="A1020" i="1"/>
  <c r="B1020" i="1"/>
  <c r="C1020" i="1"/>
  <c r="D1020" i="1"/>
  <c r="E1020" i="1"/>
  <c r="A1021" i="1"/>
  <c r="B1021" i="1"/>
  <c r="C1021" i="1"/>
  <c r="D1021" i="1"/>
  <c r="E1021" i="1"/>
  <c r="A1010" i="1"/>
  <c r="B1010" i="1"/>
  <c r="C1010" i="1"/>
  <c r="D1010" i="1"/>
  <c r="E1010" i="1"/>
  <c r="A1011" i="1"/>
  <c r="B1011" i="1"/>
  <c r="C1011" i="1"/>
  <c r="D1011" i="1"/>
  <c r="E1011" i="1"/>
  <c r="A1012" i="1"/>
  <c r="B1012" i="1"/>
  <c r="C1012" i="1"/>
  <c r="D1012" i="1"/>
  <c r="E1012" i="1"/>
  <c r="A1013" i="1"/>
  <c r="B1013" i="1"/>
  <c r="C1013" i="1"/>
  <c r="D1013" i="1"/>
  <c r="E1013" i="1"/>
  <c r="A1014" i="1"/>
  <c r="B1014" i="1"/>
  <c r="C1014" i="1"/>
  <c r="D1014" i="1"/>
  <c r="E1014" i="1"/>
  <c r="A1015" i="1"/>
  <c r="B1015" i="1"/>
  <c r="C1015" i="1"/>
  <c r="D1015" i="1"/>
  <c r="E1015" i="1"/>
  <c r="A1016" i="1"/>
  <c r="B1016" i="1"/>
  <c r="C1016" i="1"/>
  <c r="D1016" i="1"/>
  <c r="E1016" i="1"/>
  <c r="A1017" i="1"/>
  <c r="B1017" i="1"/>
  <c r="C1017" i="1"/>
  <c r="D1017" i="1"/>
  <c r="E1017" i="1"/>
  <c r="A1043" i="1"/>
  <c r="B1043" i="1"/>
  <c r="C1043" i="1"/>
  <c r="D1043" i="1"/>
  <c r="E1043" i="1"/>
  <c r="A1044" i="1"/>
  <c r="B1044" i="1"/>
  <c r="C1044" i="1"/>
  <c r="D1044" i="1"/>
  <c r="E1044" i="1"/>
  <c r="A1000" i="1"/>
  <c r="B1000" i="1"/>
  <c r="C1000" i="1"/>
  <c r="D1000" i="1"/>
  <c r="E1000" i="1"/>
  <c r="A1001" i="1"/>
  <c r="B1001" i="1"/>
  <c r="C1001" i="1"/>
  <c r="D1001" i="1"/>
  <c r="E1001" i="1"/>
  <c r="A1002" i="1"/>
  <c r="B1002" i="1"/>
  <c r="C1002" i="1"/>
  <c r="D1002" i="1"/>
  <c r="E1002" i="1"/>
  <c r="A1003" i="1"/>
  <c r="B1003" i="1"/>
  <c r="C1003" i="1"/>
  <c r="D1003" i="1"/>
  <c r="E1003" i="1"/>
  <c r="A1004" i="1"/>
  <c r="B1004" i="1"/>
  <c r="C1004" i="1"/>
  <c r="D1004" i="1"/>
  <c r="E1004" i="1"/>
  <c r="A1005" i="1"/>
  <c r="B1005" i="1"/>
  <c r="C1005" i="1"/>
  <c r="D1005" i="1"/>
  <c r="E1005" i="1"/>
  <c r="A1006" i="1"/>
  <c r="B1006" i="1"/>
  <c r="C1006" i="1"/>
  <c r="D1006" i="1"/>
  <c r="E1006" i="1"/>
  <c r="A1007" i="1"/>
  <c r="B1007" i="1"/>
  <c r="C1007" i="1"/>
  <c r="D1007" i="1"/>
  <c r="E1007" i="1"/>
  <c r="A1008" i="1"/>
  <c r="B1008" i="1"/>
  <c r="C1008" i="1"/>
  <c r="D1008" i="1"/>
  <c r="E1008" i="1"/>
  <c r="A1009" i="1"/>
  <c r="B1009" i="1"/>
  <c r="C1009" i="1"/>
  <c r="D1009" i="1"/>
  <c r="E1009" i="1"/>
  <c r="A930" i="1"/>
  <c r="B930" i="1"/>
  <c r="C930" i="1"/>
  <c r="D930" i="1"/>
  <c r="E930" i="1"/>
  <c r="A931" i="1"/>
  <c r="B931" i="1"/>
  <c r="C931" i="1"/>
  <c r="D931" i="1"/>
  <c r="E931" i="1"/>
  <c r="A932" i="1"/>
  <c r="B932" i="1"/>
  <c r="C932" i="1"/>
  <c r="D932" i="1"/>
  <c r="E932" i="1"/>
  <c r="A933" i="1"/>
  <c r="B933" i="1"/>
  <c r="C933" i="1"/>
  <c r="D933" i="1"/>
  <c r="E933" i="1"/>
  <c r="A934" i="1"/>
  <c r="B934" i="1"/>
  <c r="C934" i="1"/>
  <c r="D934" i="1"/>
  <c r="E934" i="1"/>
  <c r="A965" i="1"/>
  <c r="B965" i="1"/>
  <c r="C965" i="1"/>
  <c r="D965" i="1"/>
  <c r="E965" i="1"/>
  <c r="A130" i="1"/>
  <c r="B130" i="1"/>
  <c r="C130" i="1"/>
  <c r="D130" i="1"/>
  <c r="E130" i="1"/>
  <c r="A379" i="1"/>
  <c r="B379" i="1"/>
  <c r="C379" i="1"/>
  <c r="D379" i="1"/>
  <c r="E379" i="1"/>
  <c r="A555" i="1"/>
  <c r="B555" i="1"/>
  <c r="C555" i="1"/>
  <c r="D555" i="1"/>
  <c r="E555" i="1"/>
  <c r="A966" i="1"/>
  <c r="B966" i="1"/>
  <c r="C966" i="1"/>
  <c r="D966" i="1"/>
  <c r="E966" i="1"/>
  <c r="A866" i="1"/>
  <c r="B866" i="1"/>
  <c r="C866" i="1"/>
  <c r="D866" i="1"/>
  <c r="E866" i="1"/>
  <c r="A1057" i="1"/>
  <c r="B1057" i="1"/>
  <c r="C1057" i="1"/>
  <c r="D1057" i="1"/>
  <c r="E1057" i="1"/>
  <c r="A1058" i="1"/>
  <c r="B1058" i="1"/>
  <c r="C1058" i="1"/>
  <c r="D1058" i="1"/>
  <c r="E1058" i="1"/>
  <c r="A992" i="1"/>
  <c r="B992" i="1"/>
  <c r="C992" i="1"/>
  <c r="D992" i="1"/>
  <c r="E992" i="1"/>
  <c r="A945" i="1"/>
  <c r="B945" i="1"/>
  <c r="C945" i="1"/>
  <c r="D945" i="1"/>
  <c r="E945" i="1"/>
  <c r="A946" i="1"/>
  <c r="B946" i="1"/>
  <c r="C946" i="1"/>
  <c r="D946" i="1"/>
  <c r="E946" i="1"/>
  <c r="A925" i="1"/>
  <c r="B925" i="1"/>
  <c r="C925" i="1"/>
  <c r="D925" i="1"/>
  <c r="E925" i="1"/>
  <c r="A926" i="1"/>
  <c r="B926" i="1"/>
  <c r="C926" i="1"/>
  <c r="D926" i="1"/>
  <c r="E926" i="1"/>
  <c r="A927" i="1"/>
  <c r="B927" i="1"/>
  <c r="C927" i="1"/>
  <c r="D927" i="1"/>
  <c r="E927" i="1"/>
  <c r="A929" i="1"/>
  <c r="B929" i="1"/>
  <c r="C929" i="1"/>
  <c r="D929" i="1"/>
  <c r="E929" i="1"/>
  <c r="A856" i="1"/>
  <c r="B856" i="1"/>
  <c r="C856" i="1"/>
  <c r="D856" i="1"/>
  <c r="E856" i="1"/>
  <c r="A857" i="1"/>
  <c r="B857" i="1"/>
  <c r="C857" i="1"/>
  <c r="D857" i="1"/>
  <c r="E857" i="1"/>
  <c r="A858" i="1"/>
  <c r="B858" i="1"/>
  <c r="C858" i="1"/>
  <c r="D858" i="1"/>
  <c r="E858" i="1"/>
  <c r="A859" i="1"/>
  <c r="B859" i="1"/>
  <c r="C859" i="1"/>
  <c r="D859" i="1"/>
  <c r="E859" i="1"/>
  <c r="A860" i="1"/>
  <c r="B860" i="1"/>
  <c r="C860" i="1"/>
  <c r="D860" i="1"/>
  <c r="E860" i="1"/>
  <c r="A861" i="1"/>
  <c r="B861" i="1"/>
  <c r="C861" i="1"/>
  <c r="D861" i="1"/>
  <c r="E861" i="1"/>
  <c r="A862" i="1"/>
  <c r="B862" i="1"/>
  <c r="C862" i="1"/>
  <c r="D862" i="1"/>
  <c r="E862" i="1"/>
  <c r="A863" i="1"/>
  <c r="B863" i="1"/>
  <c r="C863" i="1"/>
  <c r="D863" i="1"/>
  <c r="E863" i="1"/>
  <c r="A864" i="1"/>
  <c r="B864" i="1"/>
  <c r="C864" i="1"/>
  <c r="D864" i="1"/>
  <c r="E864" i="1"/>
  <c r="A865" i="1"/>
  <c r="B865" i="1"/>
  <c r="C865" i="1"/>
  <c r="D865" i="1"/>
  <c r="E865" i="1"/>
  <c r="A846" i="1"/>
  <c r="B846" i="1"/>
  <c r="C846" i="1"/>
  <c r="D846" i="1"/>
  <c r="E846" i="1"/>
  <c r="A847" i="1"/>
  <c r="B847" i="1"/>
  <c r="C847" i="1"/>
  <c r="D847" i="1"/>
  <c r="E847" i="1"/>
  <c r="A848" i="1"/>
  <c r="B848" i="1"/>
  <c r="C848" i="1"/>
  <c r="D848" i="1"/>
  <c r="E848" i="1"/>
  <c r="A849" i="1"/>
  <c r="B849" i="1"/>
  <c r="C849" i="1"/>
  <c r="D849" i="1"/>
  <c r="E849" i="1"/>
  <c r="A850" i="1"/>
  <c r="B850" i="1"/>
  <c r="C850" i="1"/>
  <c r="D850" i="1"/>
  <c r="E850" i="1"/>
  <c r="A851" i="1"/>
  <c r="B851" i="1"/>
  <c r="C851" i="1"/>
  <c r="D851" i="1"/>
  <c r="E851" i="1"/>
  <c r="A852" i="1"/>
  <c r="B852" i="1"/>
  <c r="C852" i="1"/>
  <c r="D852" i="1"/>
  <c r="E852" i="1"/>
  <c r="A853" i="1"/>
  <c r="B853" i="1"/>
  <c r="C853" i="1"/>
  <c r="D853" i="1"/>
  <c r="E853" i="1"/>
  <c r="A854" i="1"/>
  <c r="B854" i="1"/>
  <c r="C854" i="1"/>
  <c r="D854" i="1"/>
  <c r="E854" i="1"/>
  <c r="A855" i="1"/>
  <c r="B855" i="1"/>
  <c r="C855" i="1"/>
  <c r="D855" i="1"/>
  <c r="E855" i="1"/>
  <c r="A829" i="1"/>
  <c r="B829" i="1"/>
  <c r="C829" i="1"/>
  <c r="D829" i="1"/>
  <c r="E829" i="1"/>
  <c r="A830" i="1"/>
  <c r="B830" i="1"/>
  <c r="C830" i="1"/>
  <c r="D830" i="1"/>
  <c r="E830" i="1"/>
  <c r="A831" i="1"/>
  <c r="B831" i="1"/>
  <c r="C831" i="1"/>
  <c r="D831" i="1"/>
  <c r="E831" i="1"/>
  <c r="A832" i="1"/>
  <c r="B832" i="1"/>
  <c r="C832" i="1"/>
  <c r="D832" i="1"/>
  <c r="E832" i="1"/>
  <c r="A833" i="1"/>
  <c r="B833" i="1"/>
  <c r="C833" i="1"/>
  <c r="D833" i="1"/>
  <c r="E833" i="1"/>
  <c r="A834" i="1"/>
  <c r="B834" i="1"/>
  <c r="C834" i="1"/>
  <c r="D834" i="1"/>
  <c r="E834" i="1"/>
  <c r="A835" i="1"/>
  <c r="B835" i="1"/>
  <c r="C835" i="1"/>
  <c r="D835" i="1"/>
  <c r="E835" i="1"/>
  <c r="A836" i="1"/>
  <c r="B836" i="1"/>
  <c r="C836" i="1"/>
  <c r="D836" i="1"/>
  <c r="E836" i="1"/>
  <c r="A844" i="1"/>
  <c r="B844" i="1"/>
  <c r="C844" i="1"/>
  <c r="D844" i="1"/>
  <c r="E844" i="1"/>
  <c r="A845" i="1"/>
  <c r="B845" i="1"/>
  <c r="C845" i="1"/>
  <c r="D845" i="1"/>
  <c r="E845" i="1"/>
  <c r="A839" i="1"/>
  <c r="B839" i="1"/>
  <c r="C839" i="1"/>
  <c r="D839" i="1"/>
  <c r="E839" i="1"/>
  <c r="A840" i="1"/>
  <c r="B840" i="1"/>
  <c r="C840" i="1"/>
  <c r="D840" i="1"/>
  <c r="E840" i="1"/>
  <c r="A841" i="1"/>
  <c r="B841" i="1"/>
  <c r="C841" i="1"/>
  <c r="D841" i="1"/>
  <c r="E841" i="1"/>
  <c r="A842" i="1"/>
  <c r="B842" i="1"/>
  <c r="C842" i="1"/>
  <c r="D842" i="1"/>
  <c r="E842" i="1"/>
  <c r="A822" i="1"/>
  <c r="B822" i="1"/>
  <c r="C822" i="1"/>
  <c r="D822" i="1"/>
  <c r="E822" i="1"/>
  <c r="A823" i="1"/>
  <c r="B823" i="1"/>
  <c r="C823" i="1"/>
  <c r="D823" i="1"/>
  <c r="E823" i="1"/>
  <c r="A824" i="1"/>
  <c r="B824" i="1"/>
  <c r="C824" i="1"/>
  <c r="D824" i="1"/>
  <c r="E824" i="1"/>
  <c r="A825" i="1"/>
  <c r="B825" i="1"/>
  <c r="C825" i="1"/>
  <c r="D825" i="1"/>
  <c r="E825" i="1"/>
  <c r="A826" i="1"/>
  <c r="B826" i="1"/>
  <c r="C826" i="1"/>
  <c r="D826" i="1"/>
  <c r="E826" i="1"/>
  <c r="A827" i="1"/>
  <c r="B827" i="1"/>
  <c r="C827" i="1"/>
  <c r="D827" i="1"/>
  <c r="E827" i="1"/>
  <c r="A809" i="1"/>
  <c r="B809" i="1"/>
  <c r="C809" i="1"/>
  <c r="D809" i="1"/>
  <c r="E809" i="1"/>
  <c r="A810" i="1"/>
  <c r="B810" i="1"/>
  <c r="C810" i="1"/>
  <c r="D810" i="1"/>
  <c r="E810" i="1"/>
  <c r="A811" i="1"/>
  <c r="B811" i="1"/>
  <c r="C811" i="1"/>
  <c r="D811" i="1"/>
  <c r="E811" i="1"/>
  <c r="A812" i="1"/>
  <c r="B812" i="1"/>
  <c r="C812" i="1"/>
  <c r="D812" i="1"/>
  <c r="E812" i="1"/>
  <c r="A801" i="1"/>
  <c r="B801" i="1"/>
  <c r="C801" i="1"/>
  <c r="D801" i="1"/>
  <c r="E801" i="1"/>
  <c r="A802" i="1"/>
  <c r="B802" i="1"/>
  <c r="C802" i="1"/>
  <c r="D802" i="1"/>
  <c r="E802" i="1"/>
  <c r="A803" i="1"/>
  <c r="B803" i="1"/>
  <c r="C803" i="1"/>
  <c r="D803" i="1"/>
  <c r="E803" i="1"/>
  <c r="A804" i="1"/>
  <c r="B804" i="1"/>
  <c r="C804" i="1"/>
  <c r="D804" i="1"/>
  <c r="E804" i="1"/>
  <c r="A805" i="1"/>
  <c r="B805" i="1"/>
  <c r="C805" i="1"/>
  <c r="D805" i="1"/>
  <c r="E805" i="1"/>
  <c r="A838" i="1"/>
  <c r="B838" i="1"/>
  <c r="C838" i="1"/>
  <c r="D838" i="1"/>
  <c r="E838" i="1"/>
  <c r="A199" i="1"/>
  <c r="B199" i="1"/>
  <c r="C199" i="1"/>
  <c r="D199" i="1"/>
  <c r="E199" i="1"/>
  <c r="A1070" i="1"/>
  <c r="B1070" i="1"/>
  <c r="C1070" i="1"/>
  <c r="D1070" i="1"/>
  <c r="E1070" i="1"/>
  <c r="A762" i="1"/>
  <c r="B762" i="1"/>
  <c r="C762" i="1"/>
  <c r="D762" i="1"/>
  <c r="E762" i="1"/>
  <c r="A701" i="1"/>
  <c r="B701" i="1"/>
  <c r="C701" i="1"/>
  <c r="D701" i="1"/>
  <c r="E701" i="1"/>
  <c r="A814" i="1"/>
  <c r="B814" i="1"/>
  <c r="C814" i="1"/>
  <c r="D814" i="1"/>
  <c r="E814" i="1"/>
  <c r="A815" i="1"/>
  <c r="B815" i="1"/>
  <c r="C815" i="1"/>
  <c r="D815" i="1"/>
  <c r="E815" i="1"/>
  <c r="A820" i="1"/>
  <c r="B820" i="1"/>
  <c r="C820" i="1"/>
  <c r="D820" i="1"/>
  <c r="E820" i="1"/>
  <c r="A817" i="1"/>
  <c r="B817" i="1"/>
  <c r="C817" i="1"/>
  <c r="D817" i="1"/>
  <c r="E817" i="1"/>
  <c r="A818" i="1"/>
  <c r="B818" i="1"/>
  <c r="C818" i="1"/>
  <c r="D818" i="1"/>
  <c r="E818" i="1"/>
  <c r="A808" i="1"/>
  <c r="B808" i="1"/>
  <c r="C808" i="1"/>
  <c r="D808" i="1"/>
  <c r="E808" i="1"/>
  <c r="A1079" i="1"/>
  <c r="B1079" i="1"/>
  <c r="C1079" i="1"/>
  <c r="D1079" i="1"/>
  <c r="E1079" i="1"/>
  <c r="A465" i="1"/>
  <c r="B465" i="1"/>
  <c r="C465" i="1"/>
  <c r="D465" i="1"/>
  <c r="E465" i="1"/>
  <c r="A469" i="1"/>
  <c r="B469" i="1"/>
  <c r="C469" i="1"/>
  <c r="D469" i="1"/>
  <c r="E469" i="1"/>
  <c r="A487" i="1"/>
  <c r="B487" i="1"/>
  <c r="C487" i="1"/>
  <c r="D487" i="1"/>
  <c r="E487" i="1"/>
  <c r="A610" i="1"/>
  <c r="B610" i="1"/>
  <c r="C610" i="1"/>
  <c r="D610" i="1"/>
  <c r="E610" i="1"/>
  <c r="A536" i="1"/>
  <c r="B536" i="1"/>
  <c r="C536" i="1"/>
  <c r="D536" i="1"/>
  <c r="E536" i="1"/>
  <c r="A391" i="1"/>
  <c r="B391" i="1"/>
  <c r="C391" i="1"/>
  <c r="D391" i="1"/>
  <c r="E391" i="1"/>
  <c r="A223" i="1"/>
  <c r="B223" i="1"/>
  <c r="C223" i="1"/>
  <c r="D223" i="1"/>
  <c r="E223" i="1"/>
  <c r="A222" i="1"/>
  <c r="B222" i="1"/>
  <c r="C222" i="1"/>
  <c r="D222" i="1"/>
  <c r="E222" i="1"/>
  <c r="A221" i="1"/>
  <c r="B221" i="1"/>
  <c r="C221" i="1"/>
  <c r="D221" i="1"/>
  <c r="E221" i="1"/>
  <c r="A711" i="1"/>
  <c r="B711" i="1"/>
  <c r="C711" i="1"/>
  <c r="D711" i="1"/>
  <c r="E711" i="1"/>
  <c r="A699" i="1"/>
  <c r="B699" i="1"/>
  <c r="C699" i="1"/>
  <c r="D699" i="1"/>
  <c r="E699" i="1"/>
  <c r="A706" i="1"/>
  <c r="B706" i="1"/>
  <c r="C706" i="1"/>
  <c r="D706" i="1"/>
  <c r="E706" i="1"/>
  <c r="A708" i="1"/>
  <c r="B708" i="1"/>
  <c r="C708" i="1"/>
  <c r="D708" i="1"/>
  <c r="E708" i="1"/>
  <c r="A672" i="1"/>
  <c r="B672" i="1"/>
  <c r="C672" i="1"/>
  <c r="D672" i="1"/>
  <c r="E672" i="1"/>
  <c r="A682" i="1"/>
  <c r="B682" i="1"/>
  <c r="C682" i="1"/>
  <c r="D682" i="1"/>
  <c r="E682" i="1"/>
  <c r="A677" i="1"/>
  <c r="B677" i="1"/>
  <c r="C677" i="1"/>
  <c r="D677" i="1"/>
  <c r="E677" i="1"/>
  <c r="A678" i="1"/>
  <c r="B678" i="1"/>
  <c r="C678" i="1"/>
  <c r="D678" i="1"/>
  <c r="E678" i="1"/>
  <c r="A843" i="1"/>
  <c r="B843" i="1"/>
  <c r="C843" i="1"/>
  <c r="D843" i="1"/>
  <c r="E843" i="1"/>
  <c r="A1061" i="1"/>
  <c r="B1061" i="1"/>
  <c r="C1061" i="1"/>
  <c r="D1061" i="1"/>
  <c r="E1061" i="1"/>
  <c r="A569" i="1"/>
  <c r="B569" i="1"/>
  <c r="C569" i="1"/>
  <c r="D569" i="1"/>
  <c r="E569" i="1"/>
  <c r="A440" i="1"/>
  <c r="B440" i="1"/>
  <c r="C440" i="1"/>
  <c r="D440" i="1"/>
  <c r="E440" i="1"/>
  <c r="A392" i="1"/>
  <c r="B392" i="1"/>
  <c r="C392" i="1"/>
  <c r="D392" i="1"/>
  <c r="E392" i="1"/>
  <c r="A135" i="1"/>
  <c r="B135" i="1"/>
  <c r="C135" i="1"/>
  <c r="D135" i="1"/>
  <c r="E135" i="1"/>
  <c r="A888" i="1"/>
  <c r="B888" i="1"/>
  <c r="C888" i="1"/>
  <c r="D888" i="1"/>
  <c r="E888" i="1"/>
  <c r="A958" i="1"/>
  <c r="B958" i="1"/>
  <c r="C958" i="1"/>
  <c r="D958" i="1"/>
  <c r="E958" i="1"/>
  <c r="A296" i="1"/>
  <c r="B296" i="1"/>
  <c r="C296" i="1"/>
  <c r="D296" i="1"/>
  <c r="E296" i="1"/>
  <c r="A486" i="1"/>
  <c r="B486" i="1"/>
  <c r="C486" i="1"/>
  <c r="D486" i="1"/>
  <c r="E486" i="1"/>
  <c r="A464" i="1"/>
  <c r="B464" i="1"/>
  <c r="C464" i="1"/>
  <c r="D464" i="1"/>
  <c r="E464" i="1"/>
  <c r="A950" i="1"/>
  <c r="B950" i="1"/>
  <c r="C950" i="1"/>
  <c r="D950" i="1"/>
  <c r="E950" i="1"/>
  <c r="A675" i="1"/>
  <c r="B675" i="1"/>
  <c r="C675" i="1"/>
  <c r="D675" i="1"/>
  <c r="E675" i="1"/>
  <c r="A697" i="1"/>
  <c r="B697" i="1"/>
  <c r="C697" i="1"/>
  <c r="D697" i="1"/>
  <c r="E697" i="1"/>
  <c r="A696" i="1"/>
  <c r="B696" i="1"/>
  <c r="C696" i="1"/>
  <c r="D696" i="1"/>
  <c r="E696" i="1"/>
  <c r="A705" i="1"/>
  <c r="B705" i="1"/>
  <c r="C705" i="1"/>
  <c r="D705" i="1"/>
  <c r="E705" i="1"/>
  <c r="A710" i="1"/>
  <c r="B710" i="1"/>
  <c r="C710" i="1"/>
  <c r="D710" i="1"/>
  <c r="E710" i="1"/>
  <c r="A735" i="1"/>
  <c r="B735" i="1"/>
  <c r="C735" i="1"/>
  <c r="D735" i="1"/>
  <c r="E735" i="1"/>
  <c r="A799" i="1"/>
  <c r="B799" i="1"/>
  <c r="C799" i="1"/>
  <c r="D799" i="1"/>
  <c r="E799" i="1"/>
  <c r="A781" i="1"/>
  <c r="B781" i="1"/>
  <c r="C781" i="1"/>
  <c r="D781" i="1"/>
  <c r="E781" i="1"/>
  <c r="A567" i="1"/>
  <c r="B567" i="1"/>
  <c r="C567" i="1"/>
  <c r="D567" i="1"/>
  <c r="E567" i="1"/>
  <c r="A568" i="1"/>
  <c r="B568" i="1"/>
  <c r="C568" i="1"/>
  <c r="D568" i="1"/>
  <c r="E568" i="1"/>
  <c r="A422" i="1"/>
  <c r="B422" i="1"/>
  <c r="C422" i="1"/>
  <c r="D422" i="1"/>
  <c r="E422" i="1"/>
  <c r="A433" i="1"/>
  <c r="B433" i="1"/>
  <c r="C433" i="1"/>
  <c r="D433" i="1"/>
  <c r="E433" i="1"/>
  <c r="A431" i="1"/>
  <c r="B431" i="1"/>
  <c r="C431" i="1"/>
  <c r="D431" i="1"/>
  <c r="E431" i="1"/>
  <c r="A530" i="1"/>
  <c r="B530" i="1"/>
  <c r="C530" i="1"/>
  <c r="D530" i="1"/>
  <c r="E530" i="1"/>
  <c r="A459" i="1"/>
  <c r="B459" i="1"/>
  <c r="C459" i="1"/>
  <c r="D459" i="1"/>
  <c r="E459" i="1"/>
  <c r="A471" i="1"/>
  <c r="B471" i="1"/>
  <c r="C471" i="1"/>
  <c r="D471" i="1"/>
  <c r="E471" i="1"/>
  <c r="A478" i="1"/>
  <c r="B478" i="1"/>
  <c r="C478" i="1"/>
  <c r="D478" i="1"/>
  <c r="E478" i="1"/>
  <c r="A483" i="1"/>
  <c r="B483" i="1"/>
  <c r="C483" i="1"/>
  <c r="D483" i="1"/>
  <c r="E483" i="1"/>
  <c r="A132" i="1"/>
  <c r="B132" i="1"/>
  <c r="C132" i="1"/>
  <c r="D132" i="1"/>
  <c r="E132" i="1"/>
  <c r="A67" i="1"/>
  <c r="B67" i="1"/>
  <c r="C67" i="1"/>
  <c r="D67" i="1"/>
  <c r="E67" i="1"/>
  <c r="A963" i="1"/>
  <c r="B963" i="1"/>
  <c r="C963" i="1"/>
  <c r="D963" i="1"/>
  <c r="E963" i="1"/>
  <c r="A874" i="1"/>
  <c r="B874" i="1"/>
  <c r="C874" i="1"/>
  <c r="D874" i="1"/>
  <c r="E874" i="1"/>
  <c r="A870" i="1"/>
  <c r="B870" i="1"/>
  <c r="C870" i="1"/>
  <c r="D870" i="1"/>
  <c r="E870" i="1"/>
  <c r="A625" i="1"/>
  <c r="B625" i="1"/>
  <c r="C625" i="1"/>
  <c r="D625" i="1"/>
  <c r="E625" i="1"/>
  <c r="A651" i="1"/>
  <c r="B651" i="1"/>
  <c r="C651" i="1"/>
  <c r="D651" i="1"/>
  <c r="E651" i="1"/>
  <c r="A634" i="1"/>
  <c r="B634" i="1"/>
  <c r="C634" i="1"/>
  <c r="D634" i="1"/>
  <c r="E634" i="1"/>
  <c r="A331" i="1"/>
  <c r="B331" i="1"/>
  <c r="C331" i="1"/>
  <c r="D331" i="1"/>
  <c r="E331" i="1"/>
  <c r="A329" i="1"/>
  <c r="B329" i="1"/>
  <c r="C329" i="1"/>
  <c r="D329" i="1"/>
  <c r="E329" i="1"/>
  <c r="A393" i="1"/>
  <c r="B393" i="1"/>
  <c r="C393" i="1"/>
  <c r="D393" i="1"/>
  <c r="E393" i="1"/>
  <c r="A389" i="1"/>
  <c r="B389" i="1"/>
  <c r="C389" i="1"/>
  <c r="D389" i="1"/>
  <c r="E389" i="1"/>
  <c r="A80" i="1"/>
  <c r="B80" i="1"/>
  <c r="C80" i="1"/>
  <c r="D80" i="1"/>
  <c r="E80" i="1"/>
  <c r="A115" i="1"/>
  <c r="B115" i="1"/>
  <c r="C115" i="1"/>
  <c r="D115" i="1"/>
  <c r="E115" i="1"/>
  <c r="A215" i="1"/>
  <c r="B215" i="1"/>
  <c r="C215" i="1"/>
  <c r="D215" i="1"/>
  <c r="E215" i="1"/>
  <c r="A214" i="1"/>
  <c r="B214" i="1"/>
  <c r="C214" i="1"/>
  <c r="D214" i="1"/>
  <c r="E214" i="1"/>
  <c r="A217" i="1"/>
  <c r="B217" i="1"/>
  <c r="C217" i="1"/>
  <c r="D217" i="1"/>
  <c r="E217" i="1"/>
  <c r="A218" i="1"/>
  <c r="B218" i="1"/>
  <c r="C218" i="1"/>
  <c r="D218" i="1"/>
  <c r="E218" i="1"/>
  <c r="A235" i="1"/>
  <c r="B235" i="1"/>
  <c r="C235" i="1"/>
  <c r="D235" i="1"/>
  <c r="E235" i="1"/>
  <c r="A249" i="1"/>
  <c r="B249" i="1"/>
  <c r="C249" i="1"/>
  <c r="D249" i="1"/>
  <c r="E249" i="1"/>
  <c r="A292" i="1"/>
  <c r="B292" i="1"/>
  <c r="C292" i="1"/>
  <c r="D292" i="1"/>
  <c r="E292" i="1"/>
  <c r="A952" i="1"/>
  <c r="B952" i="1"/>
  <c r="C952" i="1"/>
  <c r="D952" i="1"/>
  <c r="E952" i="1"/>
  <c r="A545" i="1"/>
  <c r="B545" i="1"/>
  <c r="C545" i="1"/>
  <c r="D545" i="1"/>
  <c r="E545" i="1"/>
  <c r="A480" i="1"/>
  <c r="B480" i="1"/>
  <c r="C480" i="1"/>
  <c r="D480" i="1"/>
  <c r="E480" i="1"/>
  <c r="A449" i="1"/>
  <c r="B449" i="1"/>
  <c r="C449" i="1"/>
  <c r="D449" i="1"/>
  <c r="E449" i="1"/>
  <c r="A288" i="1"/>
  <c r="B288" i="1"/>
  <c r="C288" i="1"/>
  <c r="D288" i="1"/>
  <c r="E288" i="1"/>
  <c r="A253" i="1"/>
  <c r="B253" i="1"/>
  <c r="C253" i="1"/>
  <c r="D253" i="1"/>
  <c r="E253" i="1"/>
  <c r="A337" i="1"/>
  <c r="B337" i="1"/>
  <c r="C337" i="1"/>
  <c r="D337" i="1"/>
  <c r="E337" i="1"/>
  <c r="A334" i="1"/>
  <c r="B334" i="1"/>
  <c r="C334" i="1"/>
  <c r="D334" i="1"/>
  <c r="E334" i="1"/>
  <c r="A576" i="1"/>
  <c r="B576" i="1"/>
  <c r="C576" i="1"/>
  <c r="D576" i="1"/>
  <c r="E576" i="1"/>
  <c r="A582" i="1"/>
  <c r="B582" i="1"/>
  <c r="C582" i="1"/>
  <c r="D582" i="1"/>
  <c r="E582" i="1"/>
  <c r="A57" i="1"/>
  <c r="B57" i="1"/>
  <c r="C57" i="1"/>
  <c r="D57" i="1"/>
  <c r="E57" i="1"/>
  <c r="A819" i="1"/>
  <c r="B819" i="1"/>
  <c r="C819" i="1"/>
  <c r="D819" i="1"/>
  <c r="E819" i="1"/>
  <c r="A806" i="1"/>
  <c r="B806" i="1"/>
  <c r="C806" i="1"/>
  <c r="D806" i="1"/>
  <c r="E806" i="1"/>
  <c r="A882" i="1"/>
  <c r="B882" i="1"/>
  <c r="C882" i="1"/>
  <c r="D882" i="1"/>
  <c r="E882" i="1"/>
  <c r="A953" i="1"/>
  <c r="B953" i="1"/>
  <c r="C953" i="1"/>
  <c r="D953" i="1"/>
  <c r="E953" i="1"/>
  <c r="A957" i="1"/>
  <c r="B957" i="1"/>
  <c r="C957" i="1"/>
  <c r="D957" i="1"/>
  <c r="E957" i="1"/>
  <c r="A1084" i="1"/>
  <c r="B1084" i="1"/>
  <c r="C1084" i="1"/>
  <c r="D1084" i="1"/>
  <c r="E1084" i="1"/>
  <c r="A239" i="1"/>
  <c r="B239" i="1"/>
  <c r="C239" i="1"/>
  <c r="D239" i="1"/>
  <c r="E239" i="1"/>
  <c r="A147" i="1"/>
  <c r="B147" i="1"/>
  <c r="C147" i="1"/>
  <c r="D147" i="1"/>
  <c r="E147" i="1"/>
  <c r="A64" i="1"/>
  <c r="B64" i="1"/>
  <c r="C64" i="1"/>
  <c r="D64" i="1"/>
  <c r="E64" i="1"/>
  <c r="A534" i="1"/>
  <c r="B534" i="1"/>
  <c r="C534" i="1"/>
  <c r="D534" i="1"/>
  <c r="E534" i="1"/>
  <c r="A294" i="1"/>
  <c r="B294" i="1"/>
  <c r="C294" i="1"/>
  <c r="D294" i="1"/>
  <c r="E294" i="1"/>
  <c r="A256" i="1"/>
  <c r="B256" i="1"/>
  <c r="C256" i="1"/>
  <c r="D256" i="1"/>
  <c r="E256" i="1"/>
  <c r="A266" i="1"/>
  <c r="B266" i="1"/>
  <c r="C266" i="1"/>
  <c r="D266" i="1"/>
  <c r="E266" i="1"/>
  <c r="A172" i="1"/>
  <c r="B172" i="1"/>
  <c r="C172" i="1"/>
  <c r="D172" i="1"/>
  <c r="E172" i="1"/>
  <c r="A118" i="1"/>
  <c r="B118" i="1"/>
  <c r="C118" i="1"/>
  <c r="D118" i="1"/>
  <c r="E118" i="1"/>
  <c r="A153" i="1"/>
  <c r="B153" i="1"/>
  <c r="C153" i="1"/>
  <c r="D153" i="1"/>
  <c r="E153" i="1"/>
  <c r="A154" i="1"/>
  <c r="B154" i="1"/>
  <c r="C154" i="1"/>
  <c r="D154" i="1"/>
  <c r="E154" i="1"/>
  <c r="A155" i="1"/>
  <c r="B155" i="1"/>
  <c r="C155" i="1"/>
  <c r="D155" i="1"/>
  <c r="E155" i="1"/>
  <c r="A238" i="1"/>
  <c r="B238" i="1"/>
  <c r="C238" i="1"/>
  <c r="D238" i="1"/>
  <c r="E238" i="1"/>
  <c r="A813" i="1"/>
  <c r="B813" i="1"/>
  <c r="C813" i="1"/>
  <c r="D813" i="1"/>
  <c r="E813" i="1"/>
  <c r="A268" i="1"/>
  <c r="B268" i="1"/>
  <c r="C268" i="1"/>
  <c r="D268" i="1"/>
  <c r="E268" i="1"/>
  <c r="A276" i="1"/>
  <c r="B276" i="1"/>
  <c r="C276" i="1"/>
  <c r="D276" i="1"/>
  <c r="E276" i="1"/>
  <c r="A282" i="1"/>
  <c r="B282" i="1"/>
  <c r="C282" i="1"/>
  <c r="D282" i="1"/>
  <c r="E282" i="1"/>
  <c r="A251" i="1"/>
  <c r="B251" i="1"/>
  <c r="C251" i="1"/>
  <c r="D251" i="1"/>
  <c r="E251" i="1"/>
  <c r="A257" i="1"/>
  <c r="B257" i="1"/>
  <c r="C257" i="1"/>
  <c r="D257" i="1"/>
  <c r="E257" i="1"/>
  <c r="A259" i="1"/>
  <c r="B259" i="1"/>
  <c r="C259" i="1"/>
  <c r="D259" i="1"/>
  <c r="E259" i="1"/>
  <c r="A260" i="1"/>
  <c r="B260" i="1"/>
  <c r="C260" i="1"/>
  <c r="D260" i="1"/>
  <c r="E260" i="1"/>
  <c r="A269" i="1"/>
  <c r="B269" i="1"/>
  <c r="C269" i="1"/>
  <c r="D269" i="1"/>
  <c r="E269" i="1"/>
  <c r="A262" i="1"/>
  <c r="B262" i="1"/>
  <c r="C262" i="1"/>
  <c r="D262" i="1"/>
  <c r="E262" i="1"/>
  <c r="A263" i="1"/>
  <c r="B263" i="1"/>
  <c r="C263" i="1"/>
  <c r="D263" i="1"/>
  <c r="E263" i="1"/>
  <c r="A119" i="1"/>
  <c r="B119" i="1"/>
  <c r="C119" i="1"/>
  <c r="D119" i="1"/>
  <c r="E119" i="1"/>
  <c r="A76" i="1"/>
  <c r="B76" i="1"/>
  <c r="C76" i="1"/>
  <c r="D76" i="1"/>
  <c r="E76" i="1"/>
  <c r="A70" i="1"/>
  <c r="B70" i="1"/>
  <c r="C70" i="1"/>
  <c r="D70" i="1"/>
  <c r="E70" i="1"/>
  <c r="A131" i="1"/>
  <c r="B131" i="1"/>
  <c r="C131" i="1"/>
  <c r="D131" i="1"/>
  <c r="E131" i="1"/>
  <c r="A60" i="1"/>
  <c r="B60" i="1"/>
  <c r="C60" i="1"/>
  <c r="D60" i="1"/>
  <c r="E60" i="1"/>
  <c r="A162" i="1"/>
  <c r="B162" i="1"/>
  <c r="C162" i="1"/>
  <c r="D162" i="1"/>
  <c r="E162" i="1"/>
  <c r="A141" i="1"/>
  <c r="B141" i="1"/>
  <c r="C141" i="1"/>
  <c r="D141" i="1"/>
  <c r="E141" i="1"/>
  <c r="A30" i="1"/>
  <c r="B30" i="1"/>
  <c r="C30" i="1"/>
  <c r="D30" i="1"/>
  <c r="E30" i="1"/>
  <c r="A255" i="1"/>
  <c r="B255" i="1"/>
  <c r="C255" i="1"/>
  <c r="D255" i="1"/>
  <c r="E255" i="1"/>
  <c r="A293" i="1"/>
  <c r="B293" i="1"/>
  <c r="C293" i="1"/>
  <c r="D293" i="1"/>
  <c r="E293" i="1"/>
  <c r="A137" i="1"/>
  <c r="B137" i="1"/>
  <c r="C137" i="1"/>
  <c r="D137" i="1"/>
  <c r="E137" i="1"/>
  <c r="A128" i="1"/>
  <c r="B128" i="1"/>
  <c r="C128" i="1"/>
  <c r="D128" i="1"/>
  <c r="E128" i="1"/>
  <c r="A156" i="1"/>
  <c r="B156" i="1"/>
  <c r="C156" i="1"/>
  <c r="D156" i="1"/>
  <c r="E156" i="1"/>
  <c r="A93" i="1"/>
  <c r="B93" i="1"/>
  <c r="C93" i="1"/>
  <c r="D93" i="1"/>
  <c r="E93" i="1"/>
  <c r="A62" i="1"/>
  <c r="B62" i="1"/>
  <c r="C62" i="1"/>
  <c r="D62" i="1"/>
  <c r="E62" i="1"/>
  <c r="A112" i="1"/>
  <c r="B112" i="1"/>
  <c r="C112" i="1"/>
  <c r="D112" i="1"/>
  <c r="E112" i="1"/>
  <c r="A75" i="1"/>
  <c r="B75" i="1"/>
  <c r="C75" i="1"/>
  <c r="D75" i="1"/>
  <c r="E75" i="1"/>
  <c r="A105" i="1"/>
  <c r="B105" i="1"/>
  <c r="C105" i="1"/>
  <c r="D105" i="1"/>
  <c r="E105" i="1"/>
  <c r="A142" i="1"/>
  <c r="B142" i="1"/>
  <c r="C142" i="1"/>
  <c r="D142" i="1"/>
  <c r="E142" i="1"/>
  <c r="A89" i="1"/>
  <c r="B89" i="1"/>
  <c r="C89" i="1"/>
  <c r="D89" i="1"/>
  <c r="E89" i="1"/>
  <c r="A92" i="1"/>
  <c r="B92" i="1"/>
  <c r="C92" i="1"/>
  <c r="D92" i="1"/>
  <c r="E92" i="1"/>
  <c r="A148" i="1"/>
  <c r="B148" i="1"/>
  <c r="C148" i="1"/>
  <c r="D148" i="1"/>
  <c r="E148" i="1"/>
  <c r="A58" i="1"/>
  <c r="B58" i="1"/>
  <c r="C58" i="1"/>
  <c r="D58" i="1"/>
  <c r="E58" i="1"/>
  <c r="A138" i="1"/>
  <c r="B138" i="1"/>
  <c r="C138" i="1"/>
  <c r="D138" i="1"/>
  <c r="E138" i="1"/>
  <c r="A63" i="1"/>
  <c r="B63" i="1"/>
  <c r="C63" i="1"/>
  <c r="D63" i="1"/>
  <c r="E63" i="1"/>
  <c r="A152" i="1"/>
  <c r="B152" i="1"/>
  <c r="C152" i="1"/>
  <c r="D152" i="1"/>
  <c r="E152" i="1"/>
  <c r="A95" i="1"/>
  <c r="B95" i="1"/>
  <c r="C95" i="1"/>
  <c r="D95" i="1"/>
  <c r="E95" i="1"/>
  <c r="A59" i="1"/>
  <c r="B59" i="1"/>
  <c r="C59" i="1"/>
  <c r="D59" i="1"/>
  <c r="E59" i="1"/>
  <c r="A72" i="1"/>
  <c r="B72" i="1"/>
  <c r="C72" i="1"/>
  <c r="D72" i="1"/>
  <c r="E72" i="1"/>
  <c r="A78" i="1"/>
  <c r="B78" i="1"/>
  <c r="C78" i="1"/>
  <c r="D78" i="1"/>
  <c r="E78" i="1"/>
  <c r="A573" i="1"/>
  <c r="B573" i="1"/>
  <c r="C573" i="1"/>
  <c r="D573" i="1"/>
  <c r="E573" i="1"/>
  <c r="A595" i="1"/>
  <c r="B595" i="1"/>
  <c r="C595" i="1"/>
  <c r="D595" i="1"/>
  <c r="E595" i="1"/>
  <c r="A561" i="1"/>
  <c r="B561" i="1"/>
  <c r="C561" i="1"/>
  <c r="D561" i="1"/>
  <c r="E561" i="1"/>
  <c r="A563" i="1"/>
  <c r="B563" i="1"/>
  <c r="C563" i="1"/>
  <c r="D563" i="1"/>
  <c r="E563" i="1"/>
  <c r="A556" i="1"/>
  <c r="B556" i="1"/>
  <c r="C556" i="1"/>
  <c r="D556" i="1"/>
  <c r="E556" i="1"/>
  <c r="A539" i="1"/>
  <c r="B539" i="1"/>
  <c r="C539" i="1"/>
  <c r="D539" i="1"/>
  <c r="E539" i="1"/>
  <c r="A560" i="1"/>
  <c r="B560" i="1"/>
  <c r="C560" i="1"/>
  <c r="D560" i="1"/>
  <c r="E560" i="1"/>
  <c r="A531" i="1"/>
  <c r="B531" i="1"/>
  <c r="C531" i="1"/>
  <c r="D531" i="1"/>
  <c r="E531" i="1"/>
  <c r="A535" i="1"/>
  <c r="B535" i="1"/>
  <c r="C535" i="1"/>
  <c r="D535" i="1"/>
  <c r="E535" i="1"/>
  <c r="A544" i="1"/>
  <c r="B544" i="1"/>
  <c r="C544" i="1"/>
  <c r="D544" i="1"/>
  <c r="E544" i="1"/>
  <c r="A412" i="1"/>
  <c r="B412" i="1"/>
  <c r="C412" i="1"/>
  <c r="D412" i="1"/>
  <c r="E412" i="1"/>
  <c r="A397" i="1"/>
  <c r="B397" i="1"/>
  <c r="C397" i="1"/>
  <c r="D397" i="1"/>
  <c r="E397" i="1"/>
  <c r="A395" i="1"/>
  <c r="B395" i="1"/>
  <c r="C395" i="1"/>
  <c r="D395" i="1"/>
  <c r="E395" i="1"/>
  <c r="A470" i="1"/>
  <c r="B470" i="1"/>
  <c r="C470" i="1"/>
  <c r="D470" i="1"/>
  <c r="E470" i="1"/>
  <c r="A466" i="1"/>
  <c r="B466" i="1"/>
  <c r="C466" i="1"/>
  <c r="D466" i="1"/>
  <c r="E466" i="1"/>
  <c r="A467" i="1"/>
  <c r="B467" i="1"/>
  <c r="C467" i="1"/>
  <c r="D467" i="1"/>
  <c r="E467" i="1"/>
  <c r="A468" i="1"/>
  <c r="B468" i="1"/>
  <c r="C468" i="1"/>
  <c r="D468" i="1"/>
  <c r="E468" i="1"/>
  <c r="A429" i="1"/>
  <c r="B429" i="1"/>
  <c r="C429" i="1"/>
  <c r="D429" i="1"/>
  <c r="E429" i="1"/>
  <c r="A473" i="1"/>
  <c r="B473" i="1"/>
  <c r="C473" i="1"/>
  <c r="D473" i="1"/>
  <c r="E473" i="1"/>
  <c r="A476" i="1"/>
  <c r="B476" i="1"/>
  <c r="C476" i="1"/>
  <c r="D476" i="1"/>
  <c r="E476" i="1"/>
  <c r="A437" i="1"/>
  <c r="B437" i="1"/>
  <c r="C437" i="1"/>
  <c r="D437" i="1"/>
  <c r="E437" i="1"/>
  <c r="A446" i="1"/>
  <c r="B446" i="1"/>
  <c r="C446" i="1"/>
  <c r="D446" i="1"/>
  <c r="E446" i="1"/>
  <c r="A447" i="1"/>
  <c r="B447" i="1"/>
  <c r="C447" i="1"/>
  <c r="D447" i="1"/>
  <c r="E447" i="1"/>
  <c r="A443" i="1"/>
  <c r="B443" i="1"/>
  <c r="C443" i="1"/>
  <c r="D443" i="1"/>
  <c r="E443" i="1"/>
  <c r="A424" i="1"/>
  <c r="B424" i="1"/>
  <c r="C424" i="1"/>
  <c r="D424" i="1"/>
  <c r="E424" i="1"/>
  <c r="A425" i="1"/>
  <c r="B425" i="1"/>
  <c r="C425" i="1"/>
  <c r="D425" i="1"/>
  <c r="E425" i="1"/>
  <c r="A426" i="1"/>
  <c r="B426" i="1"/>
  <c r="C426" i="1"/>
  <c r="D426" i="1"/>
  <c r="E426" i="1"/>
  <c r="A419" i="1"/>
  <c r="B419" i="1"/>
  <c r="C419" i="1"/>
  <c r="D419" i="1"/>
  <c r="E419" i="1"/>
  <c r="A421" i="1"/>
  <c r="B421" i="1"/>
  <c r="C421" i="1"/>
  <c r="D421" i="1"/>
  <c r="E421" i="1"/>
  <c r="A387" i="1"/>
  <c r="B387" i="1"/>
  <c r="C387" i="1"/>
  <c r="D387" i="1"/>
  <c r="E387" i="1"/>
  <c r="A319" i="1"/>
  <c r="B319" i="1"/>
  <c r="C319" i="1"/>
  <c r="D319" i="1"/>
  <c r="E319" i="1"/>
  <c r="A273" i="1"/>
  <c r="B273" i="1"/>
  <c r="C273" i="1"/>
  <c r="D273" i="1"/>
  <c r="E273" i="1"/>
  <c r="A274" i="1"/>
  <c r="B274" i="1"/>
  <c r="C274" i="1"/>
  <c r="D274" i="1"/>
  <c r="E274" i="1"/>
  <c r="A277" i="1"/>
  <c r="B277" i="1"/>
  <c r="C277" i="1"/>
  <c r="D277" i="1"/>
  <c r="E277" i="1"/>
  <c r="A278" i="1"/>
  <c r="B278" i="1"/>
  <c r="C278" i="1"/>
  <c r="D278" i="1"/>
  <c r="E278" i="1"/>
  <c r="A351" i="1"/>
  <c r="B351" i="1"/>
  <c r="C351" i="1"/>
  <c r="D351" i="1"/>
  <c r="E351" i="1"/>
  <c r="A345" i="1"/>
  <c r="B345" i="1"/>
  <c r="C345" i="1"/>
  <c r="D345" i="1"/>
  <c r="E345" i="1"/>
  <c r="A352" i="1"/>
  <c r="B352" i="1"/>
  <c r="C352" i="1"/>
  <c r="D352" i="1"/>
  <c r="E352" i="1"/>
  <c r="A435" i="1"/>
  <c r="B435" i="1"/>
  <c r="C435" i="1"/>
  <c r="D435" i="1"/>
  <c r="E435" i="1"/>
  <c r="A436" i="1"/>
  <c r="B436" i="1"/>
  <c r="C436" i="1"/>
  <c r="D436" i="1"/>
  <c r="E436" i="1"/>
  <c r="A918" i="1"/>
  <c r="B918" i="1"/>
  <c r="C918" i="1"/>
  <c r="D918" i="1"/>
  <c r="E918" i="1"/>
  <c r="A912" i="1"/>
  <c r="B912" i="1"/>
  <c r="C912" i="1"/>
  <c r="D912" i="1"/>
  <c r="E912" i="1"/>
  <c r="A910" i="1"/>
  <c r="B910" i="1"/>
  <c r="C910" i="1"/>
  <c r="D910" i="1"/>
  <c r="E910" i="1"/>
  <c r="A783" i="1"/>
  <c r="B783" i="1"/>
  <c r="C783" i="1"/>
  <c r="D783" i="1"/>
  <c r="E783" i="1"/>
  <c r="A786" i="1"/>
  <c r="B786" i="1"/>
  <c r="C786" i="1"/>
  <c r="D786" i="1"/>
  <c r="E786" i="1"/>
  <c r="A787" i="1"/>
  <c r="B787" i="1"/>
  <c r="C787" i="1"/>
  <c r="D787" i="1"/>
  <c r="E787" i="1"/>
  <c r="A828" i="1"/>
  <c r="B828" i="1"/>
  <c r="C828" i="1"/>
  <c r="D828" i="1"/>
  <c r="E828" i="1"/>
  <c r="A837" i="1"/>
  <c r="B837" i="1"/>
  <c r="C837" i="1"/>
  <c r="D837" i="1"/>
  <c r="E837" i="1"/>
  <c r="A1065" i="1"/>
  <c r="B1065" i="1"/>
  <c r="C1065" i="1"/>
  <c r="D1065" i="1"/>
  <c r="E1065" i="1"/>
  <c r="A959" i="1"/>
  <c r="B959" i="1"/>
  <c r="C959" i="1"/>
  <c r="D959" i="1"/>
  <c r="E959" i="1"/>
  <c r="A730" i="1"/>
  <c r="B730" i="1"/>
  <c r="C730" i="1"/>
  <c r="D730" i="1"/>
  <c r="E730" i="1"/>
  <c r="A621" i="1"/>
  <c r="B621" i="1"/>
  <c r="C621" i="1"/>
  <c r="D621" i="1"/>
  <c r="E621" i="1"/>
  <c r="A669" i="1"/>
  <c r="B669" i="1"/>
  <c r="C669" i="1"/>
  <c r="D669" i="1"/>
  <c r="E669" i="1"/>
  <c r="A670" i="1"/>
  <c r="B670" i="1"/>
  <c r="C670" i="1"/>
  <c r="D670" i="1"/>
  <c r="E670" i="1"/>
  <c r="A690" i="1"/>
  <c r="B690" i="1"/>
  <c r="C690" i="1"/>
  <c r="D690" i="1"/>
  <c r="E690" i="1"/>
  <c r="A700" i="1"/>
  <c r="B700" i="1"/>
  <c r="C700" i="1"/>
  <c r="D700" i="1"/>
  <c r="E700" i="1"/>
  <c r="A896" i="1"/>
  <c r="B896" i="1"/>
  <c r="C896" i="1"/>
  <c r="D896" i="1"/>
  <c r="E896" i="1"/>
  <c r="A891" i="1"/>
  <c r="B891" i="1"/>
  <c r="C891" i="1"/>
  <c r="D891" i="1"/>
  <c r="E891" i="1"/>
  <c r="A892" i="1"/>
  <c r="B892" i="1"/>
  <c r="C892" i="1"/>
  <c r="D892" i="1"/>
  <c r="E892" i="1"/>
  <c r="A893" i="1"/>
  <c r="B893" i="1"/>
  <c r="C893" i="1"/>
  <c r="D893" i="1"/>
  <c r="E893" i="1"/>
  <c r="A1053" i="1"/>
  <c r="B1053" i="1"/>
  <c r="C1053" i="1"/>
  <c r="D1053" i="1"/>
  <c r="E1053" i="1"/>
  <c r="A1097" i="1"/>
  <c r="B1097" i="1"/>
  <c r="C1097" i="1"/>
  <c r="D1097" i="1"/>
  <c r="E1097" i="1"/>
  <c r="A1121" i="1"/>
  <c r="B1121" i="1"/>
  <c r="C1121" i="1"/>
  <c r="D1121" i="1"/>
  <c r="E1121" i="1"/>
  <c r="A887" i="1"/>
  <c r="B887" i="1"/>
  <c r="C887" i="1"/>
  <c r="D887" i="1"/>
  <c r="E887" i="1"/>
  <c r="A881" i="1"/>
  <c r="B881" i="1"/>
  <c r="C881" i="1"/>
  <c r="D881" i="1"/>
  <c r="E881" i="1"/>
  <c r="A885" i="1"/>
  <c r="B885" i="1"/>
  <c r="C885" i="1"/>
  <c r="D885" i="1"/>
  <c r="E885" i="1"/>
  <c r="A880" i="1"/>
  <c r="B880" i="1"/>
  <c r="C880" i="1"/>
  <c r="D880" i="1"/>
  <c r="E880" i="1"/>
  <c r="A884" i="1"/>
  <c r="B884" i="1"/>
  <c r="C884" i="1"/>
  <c r="D884" i="1"/>
  <c r="E884" i="1"/>
  <c r="A872" i="1"/>
  <c r="B872" i="1"/>
  <c r="C872" i="1"/>
  <c r="D872" i="1"/>
  <c r="E872" i="1"/>
  <c r="A875" i="1"/>
  <c r="B875" i="1"/>
  <c r="C875" i="1"/>
  <c r="D875" i="1"/>
  <c r="E875" i="1"/>
  <c r="A342" i="1"/>
  <c r="B342" i="1"/>
  <c r="C342" i="1"/>
  <c r="D342" i="1"/>
  <c r="E342" i="1"/>
  <c r="A961" i="1"/>
  <c r="B961" i="1"/>
  <c r="C961" i="1"/>
  <c r="D961" i="1"/>
  <c r="E961" i="1"/>
  <c r="A949" i="1"/>
  <c r="B949" i="1"/>
  <c r="C949" i="1"/>
  <c r="D949" i="1"/>
  <c r="E949" i="1"/>
  <c r="A936" i="1"/>
  <c r="B936" i="1"/>
  <c r="C936" i="1"/>
  <c r="D936" i="1"/>
  <c r="E936" i="1"/>
  <c r="A964" i="1"/>
  <c r="B964" i="1"/>
  <c r="C964" i="1"/>
  <c r="D964" i="1"/>
  <c r="E964" i="1"/>
  <c r="A968" i="1"/>
  <c r="B968" i="1"/>
  <c r="C968" i="1"/>
  <c r="D968" i="1"/>
  <c r="E968" i="1"/>
  <c r="A1072" i="1"/>
  <c r="B1072" i="1"/>
  <c r="C1072" i="1"/>
  <c r="D1072" i="1"/>
  <c r="E1072" i="1"/>
  <c r="A1055" i="1"/>
  <c r="B1055" i="1"/>
  <c r="C1055" i="1"/>
  <c r="D1055" i="1"/>
  <c r="E1055" i="1"/>
  <c r="A1056" i="1"/>
  <c r="B1056" i="1"/>
  <c r="C1056" i="1"/>
  <c r="D1056" i="1"/>
  <c r="E1056" i="1"/>
  <c r="A1052" i="1"/>
  <c r="B1052" i="1"/>
  <c r="C1052" i="1"/>
  <c r="D1052" i="1"/>
  <c r="E1052" i="1"/>
  <c r="A566" i="1"/>
  <c r="B566" i="1"/>
  <c r="C566" i="1"/>
  <c r="D566" i="1"/>
  <c r="E566" i="1"/>
  <c r="A524" i="1"/>
  <c r="B524" i="1"/>
  <c r="C524" i="1"/>
  <c r="D524" i="1"/>
  <c r="E524" i="1"/>
  <c r="A527" i="1"/>
  <c r="B527" i="1"/>
  <c r="C527" i="1"/>
  <c r="D527" i="1"/>
  <c r="E527" i="1"/>
  <c r="A522" i="1"/>
  <c r="B522" i="1"/>
  <c r="C522" i="1"/>
  <c r="D522" i="1"/>
  <c r="E522" i="1"/>
  <c r="A523" i="1"/>
  <c r="B523" i="1"/>
  <c r="C523" i="1"/>
  <c r="D523" i="1"/>
  <c r="E523" i="1"/>
  <c r="A525" i="1"/>
  <c r="B525" i="1"/>
  <c r="C525" i="1"/>
  <c r="D525" i="1"/>
  <c r="E525" i="1"/>
  <c r="A474" i="1"/>
  <c r="B474" i="1"/>
  <c r="C474" i="1"/>
  <c r="D474" i="1"/>
  <c r="E474" i="1"/>
  <c r="A448" i="1"/>
  <c r="B448" i="1"/>
  <c r="C448" i="1"/>
  <c r="D448" i="1"/>
  <c r="E448" i="1"/>
  <c r="A457" i="1"/>
  <c r="B457" i="1"/>
  <c r="C457" i="1"/>
  <c r="D457" i="1"/>
  <c r="E457" i="1"/>
  <c r="A434" i="1"/>
  <c r="B434" i="1"/>
  <c r="C434" i="1"/>
  <c r="D434" i="1"/>
  <c r="E434" i="1"/>
  <c r="A94" i="1"/>
  <c r="B94" i="1"/>
  <c r="C94" i="1"/>
  <c r="D94" i="1"/>
  <c r="E94" i="1"/>
  <c r="A126" i="1"/>
  <c r="B126" i="1"/>
  <c r="C126" i="1"/>
  <c r="D126" i="1"/>
  <c r="E126" i="1"/>
  <c r="A100" i="1"/>
  <c r="B100" i="1"/>
  <c r="C100" i="1"/>
  <c r="D100" i="1"/>
  <c r="E100" i="1"/>
  <c r="A125" i="1"/>
  <c r="B125" i="1"/>
  <c r="C125" i="1"/>
  <c r="D125" i="1"/>
  <c r="E125" i="1"/>
  <c r="A158" i="1"/>
  <c r="B158" i="1"/>
  <c r="C158" i="1"/>
  <c r="D158" i="1"/>
  <c r="E158" i="1"/>
  <c r="A61" i="1"/>
  <c r="B61" i="1"/>
  <c r="C61" i="1"/>
  <c r="D61" i="1"/>
  <c r="E61" i="1"/>
  <c r="A150" i="1"/>
  <c r="B150" i="1"/>
  <c r="C150" i="1"/>
  <c r="D150" i="1"/>
  <c r="E150" i="1"/>
  <c r="A562" i="1"/>
  <c r="B562" i="1"/>
  <c r="C562" i="1"/>
  <c r="D562" i="1"/>
  <c r="E562" i="1"/>
  <c r="A579" i="1"/>
  <c r="B579" i="1"/>
  <c r="C579" i="1"/>
  <c r="D579" i="1"/>
  <c r="E579" i="1"/>
  <c r="A565" i="1"/>
  <c r="B565" i="1"/>
  <c r="C565" i="1"/>
  <c r="D565" i="1"/>
  <c r="E565" i="1"/>
  <c r="A250" i="1"/>
  <c r="B250" i="1"/>
  <c r="C250" i="1"/>
  <c r="D250" i="1"/>
  <c r="E250" i="1"/>
  <c r="A69" i="1"/>
  <c r="B69" i="1"/>
  <c r="C69" i="1"/>
  <c r="D69" i="1"/>
  <c r="E69" i="1"/>
  <c r="A82" i="1"/>
  <c r="B82" i="1"/>
  <c r="C82" i="1"/>
  <c r="D82" i="1"/>
  <c r="E82" i="1"/>
  <c r="A84" i="1"/>
  <c r="B84" i="1"/>
  <c r="C84" i="1"/>
  <c r="D84" i="1"/>
  <c r="E84" i="1"/>
  <c r="A224" i="1"/>
  <c r="B224" i="1"/>
  <c r="C224" i="1"/>
  <c r="D224" i="1"/>
  <c r="E224" i="1"/>
  <c r="A220" i="1"/>
  <c r="B220" i="1"/>
  <c r="C220" i="1"/>
  <c r="D220" i="1"/>
  <c r="E220" i="1"/>
  <c r="A225" i="1"/>
  <c r="B225" i="1"/>
  <c r="C225" i="1"/>
  <c r="D225" i="1"/>
  <c r="E225" i="1"/>
  <c r="A213" i="1"/>
  <c r="B213" i="1"/>
  <c r="C213" i="1"/>
  <c r="D213" i="1"/>
  <c r="E213" i="1"/>
  <c r="A81" i="1"/>
  <c r="B81" i="1"/>
  <c r="C81" i="1"/>
  <c r="D81" i="1"/>
  <c r="E81" i="1"/>
  <c r="A68" i="1"/>
  <c r="B68" i="1"/>
  <c r="C68" i="1"/>
  <c r="D68" i="1"/>
  <c r="E68" i="1"/>
  <c r="A114" i="1"/>
  <c r="B114" i="1"/>
  <c r="C114" i="1"/>
  <c r="D114" i="1"/>
  <c r="E114" i="1"/>
  <c r="A73" i="1"/>
  <c r="B73" i="1"/>
  <c r="C73" i="1"/>
  <c r="D73" i="1"/>
  <c r="E73" i="1"/>
  <c r="A133" i="1"/>
  <c r="B133" i="1"/>
  <c r="C133" i="1"/>
  <c r="D133" i="1"/>
  <c r="E133" i="1"/>
  <c r="A116" i="1"/>
  <c r="B116" i="1"/>
  <c r="C116" i="1"/>
  <c r="D116" i="1"/>
  <c r="E116" i="1"/>
  <c r="A66" i="1"/>
  <c r="B66" i="1"/>
  <c r="C66" i="1"/>
  <c r="D66" i="1"/>
  <c r="E66" i="1"/>
  <c r="A275" i="1"/>
  <c r="B275" i="1"/>
  <c r="C275" i="1"/>
  <c r="D275" i="1"/>
  <c r="E275" i="1"/>
  <c r="A283" i="1"/>
  <c r="B283" i="1"/>
  <c r="C283" i="1"/>
  <c r="D283" i="1"/>
  <c r="E283" i="1"/>
  <c r="A305" i="1"/>
  <c r="B305" i="1"/>
  <c r="C305" i="1"/>
  <c r="D305" i="1"/>
  <c r="E305" i="1"/>
  <c r="A304" i="1"/>
  <c r="B304" i="1"/>
  <c r="C304" i="1"/>
  <c r="D304" i="1"/>
  <c r="E304" i="1"/>
  <c r="A240" i="1"/>
  <c r="B240" i="1"/>
  <c r="C240" i="1"/>
  <c r="D240" i="1"/>
  <c r="E240" i="1"/>
  <c r="A542" i="1"/>
  <c r="B542" i="1"/>
  <c r="C542" i="1"/>
  <c r="D542" i="1"/>
  <c r="E542" i="1"/>
  <c r="A540" i="1"/>
  <c r="B540" i="1"/>
  <c r="C540" i="1"/>
  <c r="D540" i="1"/>
  <c r="E540" i="1"/>
  <c r="A529" i="1"/>
  <c r="B529" i="1"/>
  <c r="C529" i="1"/>
  <c r="D529" i="1"/>
  <c r="E529" i="1"/>
  <c r="A557" i="1"/>
  <c r="B557" i="1"/>
  <c r="C557" i="1"/>
  <c r="D557" i="1"/>
  <c r="E557" i="1"/>
  <c r="A558" i="1"/>
  <c r="B558" i="1"/>
  <c r="C558" i="1"/>
  <c r="D558" i="1"/>
  <c r="E558" i="1"/>
  <c r="A559" i="1"/>
  <c r="B559" i="1"/>
  <c r="C559" i="1"/>
  <c r="D559" i="1"/>
  <c r="E559" i="1"/>
  <c r="A134" i="1"/>
  <c r="B134" i="1"/>
  <c r="C134" i="1"/>
  <c r="D134" i="1"/>
  <c r="E134" i="1"/>
  <c r="A102" i="1"/>
  <c r="B102" i="1"/>
  <c r="C102" i="1"/>
  <c r="D102" i="1"/>
  <c r="E102" i="1"/>
  <c r="A144" i="1"/>
  <c r="B144" i="1"/>
  <c r="C144" i="1"/>
  <c r="D144" i="1"/>
  <c r="E144" i="1"/>
  <c r="A104" i="1"/>
  <c r="B104" i="1"/>
  <c r="C104" i="1"/>
  <c r="D104" i="1"/>
  <c r="E104" i="1"/>
  <c r="A400" i="1"/>
  <c r="B400" i="1"/>
  <c r="C400" i="1"/>
  <c r="D400" i="1"/>
  <c r="E400" i="1"/>
  <c r="A411" i="1"/>
  <c r="B411" i="1"/>
  <c r="C411" i="1"/>
  <c r="D411" i="1"/>
  <c r="E411" i="1"/>
  <c r="A458" i="1"/>
  <c r="B458" i="1"/>
  <c r="C458" i="1"/>
  <c r="D458" i="1"/>
  <c r="E458" i="1"/>
  <c r="A485" i="1"/>
  <c r="B485" i="1"/>
  <c r="C485" i="1"/>
  <c r="D485" i="1"/>
  <c r="E485" i="1"/>
  <c r="A477" i="1"/>
  <c r="B477" i="1"/>
  <c r="C477" i="1"/>
  <c r="D477" i="1"/>
  <c r="E477" i="1"/>
  <c r="A479" i="1"/>
  <c r="B479" i="1"/>
  <c r="C479" i="1"/>
  <c r="D479" i="1"/>
  <c r="E479" i="1"/>
  <c r="A488" i="1"/>
  <c r="B488" i="1"/>
  <c r="C488" i="1"/>
  <c r="D488" i="1"/>
  <c r="E488" i="1"/>
  <c r="A490" i="1"/>
  <c r="B490" i="1"/>
  <c r="C490" i="1"/>
  <c r="D490" i="1"/>
  <c r="E490" i="1"/>
  <c r="A526" i="1"/>
  <c r="B526" i="1"/>
  <c r="C526" i="1"/>
  <c r="D526" i="1"/>
  <c r="E526" i="1"/>
  <c r="A581" i="1"/>
  <c r="B581" i="1"/>
  <c r="C581" i="1"/>
  <c r="D581" i="1"/>
  <c r="E581" i="1"/>
  <c r="A339" i="1"/>
  <c r="B339" i="1"/>
  <c r="C339" i="1"/>
  <c r="D339" i="1"/>
  <c r="E339" i="1"/>
  <c r="A347" i="1"/>
  <c r="B347" i="1"/>
  <c r="C347" i="1"/>
  <c r="D347" i="1"/>
  <c r="E347" i="1"/>
  <c r="A416" i="1"/>
  <c r="B416" i="1"/>
  <c r="C416" i="1"/>
  <c r="D416" i="1"/>
  <c r="E416" i="1"/>
  <c r="A414" i="1"/>
  <c r="B414" i="1"/>
  <c r="C414" i="1"/>
  <c r="D414" i="1"/>
  <c r="E414" i="1"/>
  <c r="A430" i="1"/>
  <c r="B430" i="1"/>
  <c r="C430" i="1"/>
  <c r="D430" i="1"/>
  <c r="E430" i="1"/>
  <c r="A432" i="1"/>
  <c r="B432" i="1"/>
  <c r="C432" i="1"/>
  <c r="D432" i="1"/>
  <c r="E432" i="1"/>
  <c r="A439" i="1"/>
  <c r="B439" i="1"/>
  <c r="C439" i="1"/>
  <c r="D439" i="1"/>
  <c r="E439" i="1"/>
  <c r="A441" i="1"/>
  <c r="B441" i="1"/>
  <c r="C441" i="1"/>
  <c r="D441" i="1"/>
  <c r="E441" i="1"/>
  <c r="A445" i="1"/>
  <c r="B445" i="1"/>
  <c r="C445" i="1"/>
  <c r="D445" i="1"/>
  <c r="E445" i="1"/>
  <c r="A399" i="1"/>
  <c r="B399" i="1"/>
  <c r="C399" i="1"/>
  <c r="D399" i="1"/>
  <c r="E399" i="1"/>
  <c r="A793" i="1"/>
  <c r="B793" i="1"/>
  <c r="C793" i="1"/>
  <c r="D793" i="1"/>
  <c r="E793" i="1"/>
  <c r="A795" i="1"/>
  <c r="B795" i="1"/>
  <c r="C795" i="1"/>
  <c r="D795" i="1"/>
  <c r="E795" i="1"/>
  <c r="A951" i="1"/>
  <c r="B951" i="1"/>
  <c r="C951" i="1"/>
  <c r="D951" i="1"/>
  <c r="E951" i="1"/>
  <c r="A955" i="1"/>
  <c r="B955" i="1"/>
  <c r="C955" i="1"/>
  <c r="D955" i="1"/>
  <c r="E955" i="1"/>
  <c r="A954" i="1"/>
  <c r="B954" i="1"/>
  <c r="C954" i="1"/>
  <c r="D954" i="1"/>
  <c r="E954" i="1"/>
  <c r="A295" i="1"/>
  <c r="B295" i="1"/>
  <c r="C295" i="1"/>
  <c r="D295" i="1"/>
  <c r="E295" i="1"/>
  <c r="A320" i="1"/>
  <c r="B320" i="1"/>
  <c r="C320" i="1"/>
  <c r="D320" i="1"/>
  <c r="E320" i="1"/>
  <c r="A322" i="1"/>
  <c r="B322" i="1"/>
  <c r="C322" i="1"/>
  <c r="D322" i="1"/>
  <c r="E322" i="1"/>
  <c r="A321" i="1"/>
  <c r="B321" i="1"/>
  <c r="C321" i="1"/>
  <c r="D321" i="1"/>
  <c r="E321" i="1"/>
  <c r="A290" i="1"/>
  <c r="B290" i="1"/>
  <c r="C290" i="1"/>
  <c r="D290" i="1"/>
  <c r="E290" i="1"/>
  <c r="A688" i="1"/>
  <c r="B688" i="1"/>
  <c r="C688" i="1"/>
  <c r="D688" i="1"/>
  <c r="E688" i="1"/>
  <c r="A703" i="1"/>
  <c r="B703" i="1"/>
  <c r="C703" i="1"/>
  <c r="D703" i="1"/>
  <c r="E703" i="1"/>
  <c r="A704" i="1"/>
  <c r="B704" i="1"/>
  <c r="C704" i="1"/>
  <c r="D704" i="1"/>
  <c r="E704" i="1"/>
  <c r="A712" i="1"/>
  <c r="B712" i="1"/>
  <c r="C712" i="1"/>
  <c r="D712" i="1"/>
  <c r="E712" i="1"/>
  <c r="A713" i="1"/>
  <c r="B713" i="1"/>
  <c r="C713" i="1"/>
  <c r="D713" i="1"/>
  <c r="E713" i="1"/>
  <c r="A919" i="1"/>
  <c r="B919" i="1"/>
  <c r="C919" i="1"/>
  <c r="D919" i="1"/>
  <c r="E919" i="1"/>
  <c r="A905" i="1"/>
  <c r="B905" i="1"/>
  <c r="C905" i="1"/>
  <c r="D905" i="1"/>
  <c r="E905" i="1"/>
  <c r="A798" i="1"/>
  <c r="B798" i="1"/>
  <c r="C798" i="1"/>
  <c r="D798" i="1"/>
  <c r="E798" i="1"/>
  <c r="A782" i="1"/>
  <c r="B782" i="1"/>
  <c r="C782" i="1"/>
  <c r="D782" i="1"/>
  <c r="E782" i="1"/>
  <c r="A784" i="1"/>
  <c r="B784" i="1"/>
  <c r="C784" i="1"/>
  <c r="D784" i="1"/>
  <c r="E784" i="1"/>
  <c r="A873" i="1"/>
  <c r="B873" i="1"/>
  <c r="C873" i="1"/>
  <c r="D873" i="1"/>
  <c r="E873" i="1"/>
  <c r="A886" i="1"/>
  <c r="B886" i="1"/>
  <c r="C886" i="1"/>
  <c r="D886" i="1"/>
  <c r="E886" i="1"/>
  <c r="A676" i="1"/>
  <c r="B676" i="1"/>
  <c r="C676" i="1"/>
  <c r="D676" i="1"/>
  <c r="E676" i="1"/>
  <c r="A683" i="1"/>
  <c r="B683" i="1"/>
  <c r="C683" i="1"/>
  <c r="D683" i="1"/>
  <c r="E683" i="1"/>
  <c r="A681" i="1"/>
  <c r="B681" i="1"/>
  <c r="C681" i="1"/>
  <c r="D681" i="1"/>
  <c r="E681" i="1"/>
  <c r="A674" i="1"/>
  <c r="B674" i="1"/>
  <c r="C674" i="1"/>
  <c r="D674" i="1"/>
  <c r="E674" i="1"/>
  <c r="A694" i="1"/>
  <c r="B694" i="1"/>
  <c r="C694" i="1"/>
  <c r="D694" i="1"/>
  <c r="E694" i="1"/>
  <c r="A695" i="1"/>
  <c r="B695" i="1"/>
  <c r="C695" i="1"/>
  <c r="D695" i="1"/>
  <c r="E695" i="1"/>
  <c r="A685" i="1"/>
  <c r="B685" i="1"/>
  <c r="C685" i="1"/>
  <c r="D685" i="1"/>
  <c r="E685" i="1"/>
  <c r="A687" i="1"/>
  <c r="B687" i="1"/>
  <c r="C687" i="1"/>
  <c r="D687" i="1"/>
  <c r="E687" i="1"/>
  <c r="A894" i="1"/>
  <c r="B894" i="1"/>
  <c r="C894" i="1"/>
  <c r="D894" i="1"/>
  <c r="E894" i="1"/>
  <c r="A895" i="1"/>
  <c r="B895" i="1"/>
  <c r="C895" i="1"/>
  <c r="D895" i="1"/>
  <c r="E895" i="1"/>
  <c r="A902" i="1"/>
  <c r="B902" i="1"/>
  <c r="C902" i="1"/>
  <c r="D902" i="1"/>
  <c r="E902" i="1"/>
  <c r="A903" i="1"/>
  <c r="B903" i="1"/>
  <c r="C903" i="1"/>
  <c r="D903" i="1"/>
  <c r="E903" i="1"/>
  <c r="A904" i="1"/>
  <c r="B904" i="1"/>
  <c r="C904" i="1"/>
  <c r="D904" i="1"/>
  <c r="E904" i="1"/>
  <c r="A900" i="1"/>
  <c r="B900" i="1"/>
  <c r="C900" i="1"/>
  <c r="D900" i="1"/>
  <c r="E900" i="1"/>
  <c r="A909" i="1"/>
  <c r="B909" i="1"/>
  <c r="C909" i="1"/>
  <c r="D909" i="1"/>
  <c r="E909" i="1"/>
  <c r="A913" i="1"/>
  <c r="B913" i="1"/>
  <c r="C913" i="1"/>
  <c r="D913" i="1"/>
  <c r="E913" i="1"/>
  <c r="A914" i="1"/>
  <c r="B914" i="1"/>
  <c r="C914" i="1"/>
  <c r="D914" i="1"/>
  <c r="E914" i="1"/>
  <c r="A906" i="1"/>
  <c r="B906" i="1"/>
  <c r="C906" i="1"/>
  <c r="D906" i="1"/>
  <c r="E906" i="1"/>
  <c r="A920" i="1"/>
  <c r="B920" i="1"/>
  <c r="C920" i="1"/>
  <c r="D920" i="1"/>
  <c r="E920" i="1"/>
  <c r="A1064" i="1"/>
  <c r="B1064" i="1"/>
  <c r="C1064" i="1"/>
  <c r="D1064" i="1"/>
  <c r="E1064" i="1"/>
  <c r="A1060" i="1"/>
  <c r="B1060" i="1"/>
  <c r="C1060" i="1"/>
  <c r="D1060" i="1"/>
  <c r="E1060" i="1"/>
  <c r="A1054" i="1"/>
  <c r="B1054" i="1"/>
  <c r="C1054" i="1"/>
  <c r="D1054" i="1"/>
  <c r="E1054" i="1"/>
  <c r="A1067" i="1"/>
  <c r="B1067" i="1"/>
  <c r="C1067" i="1"/>
  <c r="D1067" i="1"/>
  <c r="E1067" i="1"/>
  <c r="A1062" i="1"/>
  <c r="B1062" i="1"/>
  <c r="C1062" i="1"/>
  <c r="D1062" i="1"/>
  <c r="E1062" i="1"/>
  <c r="A1075" i="1"/>
  <c r="B1075" i="1"/>
  <c r="C1075" i="1"/>
  <c r="D1075" i="1"/>
  <c r="E1075" i="1"/>
  <c r="A1081" i="1"/>
  <c r="B1081" i="1"/>
  <c r="C1081" i="1"/>
  <c r="D1081" i="1"/>
  <c r="E1081" i="1"/>
  <c r="A1082" i="1"/>
  <c r="B1082" i="1"/>
  <c r="C1082" i="1"/>
  <c r="D1082" i="1"/>
  <c r="E1082" i="1"/>
  <c r="A883" i="1"/>
  <c r="B883" i="1"/>
  <c r="C883" i="1"/>
  <c r="D883" i="1"/>
  <c r="E883" i="1"/>
  <c r="A1116" i="1"/>
  <c r="B1116" i="1"/>
  <c r="C1116" i="1"/>
  <c r="D1116" i="1"/>
  <c r="E1116" i="1"/>
  <c r="A1117" i="1"/>
  <c r="B1117" i="1"/>
  <c r="C1117" i="1"/>
  <c r="D1117" i="1"/>
  <c r="E1117" i="1"/>
  <c r="A1118" i="1"/>
  <c r="B1118" i="1"/>
  <c r="C1118" i="1"/>
  <c r="D1118" i="1"/>
  <c r="E1118" i="1"/>
  <c r="A1119" i="1"/>
  <c r="B1119" i="1"/>
  <c r="C1119" i="1"/>
  <c r="D1119" i="1"/>
  <c r="E1119" i="1"/>
  <c r="A1120" i="1"/>
  <c r="B1120" i="1"/>
  <c r="C1120" i="1"/>
  <c r="D1120" i="1"/>
  <c r="E1120" i="1"/>
  <c r="A1098" i="1"/>
  <c r="B1098" i="1"/>
  <c r="C1098" i="1"/>
  <c r="D1098" i="1"/>
  <c r="E1098" i="1"/>
  <c r="A1099" i="1"/>
  <c r="B1099" i="1"/>
  <c r="C1099" i="1"/>
  <c r="D1099" i="1"/>
  <c r="E1099" i="1"/>
  <c r="A1100" i="1"/>
  <c r="B1100" i="1"/>
  <c r="C1100" i="1"/>
  <c r="D1100" i="1"/>
  <c r="E1100" i="1"/>
  <c r="A1101" i="1"/>
  <c r="B1101" i="1"/>
  <c r="C1101" i="1"/>
  <c r="D1101" i="1"/>
  <c r="E1101" i="1"/>
  <c r="A960" i="1"/>
  <c r="B960" i="1"/>
  <c r="C960" i="1"/>
  <c r="D960" i="1"/>
  <c r="E960" i="1"/>
  <c r="A1106" i="1"/>
  <c r="B1106" i="1"/>
  <c r="C1106" i="1"/>
  <c r="D1106" i="1"/>
  <c r="E1106" i="1"/>
  <c r="A1107" i="1"/>
  <c r="B1107" i="1"/>
  <c r="C1107" i="1"/>
  <c r="D1107" i="1"/>
  <c r="E1107" i="1"/>
  <c r="A1108" i="1"/>
  <c r="B1108" i="1"/>
  <c r="C1108" i="1"/>
  <c r="D1108" i="1"/>
  <c r="E1108" i="1"/>
  <c r="A1109" i="1"/>
  <c r="B1109" i="1"/>
  <c r="C1109" i="1"/>
  <c r="D1109" i="1"/>
  <c r="E1109" i="1"/>
  <c r="A1110" i="1"/>
  <c r="B1110" i="1"/>
  <c r="C1110" i="1"/>
  <c r="D1110" i="1"/>
  <c r="E1110" i="1"/>
  <c r="A1111" i="1"/>
  <c r="B1111" i="1"/>
  <c r="C1111" i="1"/>
  <c r="D1111" i="1"/>
  <c r="E1111" i="1"/>
  <c r="A1112" i="1"/>
  <c r="B1112" i="1"/>
  <c r="C1112" i="1"/>
  <c r="D1112" i="1"/>
  <c r="E1112" i="1"/>
  <c r="A1113" i="1"/>
  <c r="B1113" i="1"/>
  <c r="C1113" i="1"/>
  <c r="D1113" i="1"/>
  <c r="E1113" i="1"/>
  <c r="A1114" i="1"/>
  <c r="B1114" i="1"/>
  <c r="C1114" i="1"/>
  <c r="D1114" i="1"/>
  <c r="E1114" i="1"/>
  <c r="A1115" i="1"/>
  <c r="B1115" i="1"/>
  <c r="C1115" i="1"/>
  <c r="D1115" i="1"/>
  <c r="E1115" i="1"/>
  <c r="A1087" i="1"/>
  <c r="B1087" i="1"/>
  <c r="C1087" i="1"/>
  <c r="D1087" i="1"/>
  <c r="E1087" i="1"/>
  <c r="A1122" i="1"/>
  <c r="B1122" i="1"/>
  <c r="C1122" i="1"/>
  <c r="D1122" i="1"/>
  <c r="E1122" i="1"/>
  <c r="A1123" i="1"/>
  <c r="B1123" i="1"/>
  <c r="C1123" i="1"/>
  <c r="D1123" i="1"/>
  <c r="E1123" i="1"/>
  <c r="A1124" i="1"/>
  <c r="B1124" i="1"/>
  <c r="C1124" i="1"/>
  <c r="D1124" i="1"/>
  <c r="E1124" i="1"/>
  <c r="A1125" i="1"/>
  <c r="B1125" i="1"/>
  <c r="C1125" i="1"/>
  <c r="D1125" i="1"/>
  <c r="E1125" i="1"/>
  <c r="A1126" i="1"/>
  <c r="B1126" i="1"/>
  <c r="C1126" i="1"/>
  <c r="D1126" i="1"/>
  <c r="E1126" i="1"/>
  <c r="A1127" i="1"/>
  <c r="B1127" i="1"/>
  <c r="C1127" i="1"/>
  <c r="D1127" i="1"/>
  <c r="E1127" i="1"/>
  <c r="A1103" i="1"/>
  <c r="B1103" i="1"/>
  <c r="C1103" i="1"/>
  <c r="D1103" i="1"/>
  <c r="E1103" i="1"/>
  <c r="A1104" i="1"/>
  <c r="B1104" i="1"/>
  <c r="C1104" i="1"/>
  <c r="D1104" i="1"/>
  <c r="E1104" i="1"/>
  <c r="A1105" i="1"/>
  <c r="B1105" i="1"/>
  <c r="C1105" i="1"/>
  <c r="D1105" i="1"/>
  <c r="E1105" i="1"/>
  <c r="A145" i="1"/>
  <c r="B145" i="1"/>
  <c r="C145" i="1"/>
  <c r="D145" i="1"/>
  <c r="E145" i="1"/>
  <c r="A577" i="1"/>
  <c r="B577" i="1"/>
  <c r="C577" i="1"/>
  <c r="D577" i="1"/>
  <c r="E577" i="1"/>
  <c r="A491" i="1"/>
  <c r="B491" i="1"/>
  <c r="C491" i="1"/>
  <c r="D491" i="1"/>
  <c r="E491" i="1"/>
  <c r="A461" i="1"/>
  <c r="B461" i="1"/>
  <c r="C461" i="1"/>
  <c r="D461" i="1"/>
  <c r="E461" i="1"/>
  <c r="A289" i="1"/>
  <c r="B289" i="1"/>
  <c r="C289" i="1"/>
  <c r="D289" i="1"/>
  <c r="E289" i="1"/>
  <c r="A1089" i="1"/>
  <c r="B1089" i="1"/>
  <c r="C1089" i="1"/>
  <c r="D1089" i="1"/>
  <c r="E1089" i="1"/>
  <c r="A1090" i="1"/>
  <c r="B1090" i="1"/>
  <c r="C1090" i="1"/>
  <c r="D1090" i="1"/>
  <c r="E1090" i="1"/>
  <c r="A1091" i="1"/>
  <c r="B1091" i="1"/>
  <c r="C1091" i="1"/>
  <c r="D1091" i="1"/>
  <c r="E1091" i="1"/>
  <c r="A1092" i="1"/>
  <c r="B1092" i="1"/>
  <c r="C1092" i="1"/>
  <c r="D1092" i="1"/>
  <c r="E1092" i="1"/>
  <c r="A1086" i="1"/>
  <c r="B1086" i="1"/>
  <c r="C1086" i="1"/>
  <c r="D1086" i="1"/>
  <c r="E1086" i="1"/>
  <c r="A65" i="1"/>
  <c r="B65" i="1"/>
  <c r="C65" i="1"/>
  <c r="D65" i="1"/>
  <c r="E65" i="1"/>
  <c r="A96" i="1"/>
  <c r="B96" i="1"/>
  <c r="C96" i="1"/>
  <c r="D96" i="1"/>
  <c r="E96" i="1"/>
  <c r="A110" i="1"/>
  <c r="B110" i="1"/>
  <c r="C110" i="1"/>
  <c r="D110" i="1"/>
  <c r="E110" i="1"/>
  <c r="A91" i="1"/>
  <c r="B91" i="1"/>
  <c r="C91" i="1"/>
  <c r="D91" i="1"/>
  <c r="E91" i="1"/>
  <c r="A71" i="1"/>
  <c r="B71" i="1"/>
  <c r="C71" i="1"/>
  <c r="D71" i="1"/>
  <c r="E71" i="1"/>
  <c r="A136" i="1"/>
  <c r="B136" i="1"/>
  <c r="C136" i="1"/>
  <c r="D136" i="1"/>
  <c r="E136" i="1"/>
  <c r="A86" i="1"/>
  <c r="B86" i="1"/>
  <c r="C86" i="1"/>
  <c r="D86" i="1"/>
  <c r="E86" i="1"/>
  <c r="A165" i="1"/>
  <c r="B165" i="1"/>
  <c r="C165" i="1"/>
  <c r="D165" i="1"/>
  <c r="E165" i="1"/>
  <c r="A169" i="1"/>
  <c r="B169" i="1"/>
  <c r="C169" i="1"/>
  <c r="D169" i="1"/>
  <c r="E169" i="1"/>
  <c r="A163" i="1"/>
  <c r="B163" i="1"/>
  <c r="C163" i="1"/>
  <c r="D163" i="1"/>
  <c r="E163" i="1"/>
  <c r="A291" i="1"/>
  <c r="B291" i="1"/>
  <c r="C291" i="1"/>
  <c r="D291" i="1"/>
  <c r="E291" i="1"/>
  <c r="A252" i="1"/>
  <c r="B252" i="1"/>
  <c r="C252" i="1"/>
  <c r="D252" i="1"/>
  <c r="E252" i="1"/>
  <c r="A264" i="1"/>
  <c r="B264" i="1"/>
  <c r="C264" i="1"/>
  <c r="D264" i="1"/>
  <c r="E264" i="1"/>
  <c r="A271" i="1"/>
  <c r="B271" i="1"/>
  <c r="C271" i="1"/>
  <c r="D271" i="1"/>
  <c r="E271" i="1"/>
  <c r="A279" i="1"/>
  <c r="B279" i="1"/>
  <c r="C279" i="1"/>
  <c r="D279" i="1"/>
  <c r="E279" i="1"/>
  <c r="A284" i="1"/>
  <c r="B284" i="1"/>
  <c r="C284" i="1"/>
  <c r="D284" i="1"/>
  <c r="E284" i="1"/>
  <c r="A287" i="1"/>
  <c r="B287" i="1"/>
  <c r="C287" i="1"/>
  <c r="D287" i="1"/>
  <c r="E287" i="1"/>
  <c r="A25" i="1"/>
  <c r="B25" i="1"/>
  <c r="C25" i="1"/>
  <c r="D25" i="1"/>
  <c r="E25" i="1"/>
  <c r="A90" i="1"/>
  <c r="B90" i="1"/>
  <c r="C90" i="1"/>
  <c r="D90" i="1"/>
  <c r="E90" i="1"/>
  <c r="A129" i="1"/>
  <c r="B129" i="1"/>
  <c r="C129" i="1"/>
  <c r="D129" i="1"/>
  <c r="E129" i="1"/>
  <c r="A538" i="1"/>
  <c r="B538" i="1"/>
  <c r="C538" i="1"/>
  <c r="D538" i="1"/>
  <c r="E538" i="1"/>
  <c r="A541" i="1"/>
  <c r="B541" i="1"/>
  <c r="C541" i="1"/>
  <c r="D541" i="1"/>
  <c r="E541" i="1"/>
  <c r="A543" i="1"/>
  <c r="B543" i="1"/>
  <c r="C543" i="1"/>
  <c r="D543" i="1"/>
  <c r="E543" i="1"/>
  <c r="A547" i="1"/>
  <c r="B547" i="1"/>
  <c r="C547" i="1"/>
  <c r="D547" i="1"/>
  <c r="E547" i="1"/>
  <c r="A548" i="1"/>
  <c r="B548" i="1"/>
  <c r="C548" i="1"/>
  <c r="D548" i="1"/>
  <c r="E548" i="1"/>
  <c r="A229" i="1"/>
  <c r="B229" i="1"/>
  <c r="C229" i="1"/>
  <c r="D229" i="1"/>
  <c r="E229" i="1"/>
  <c r="A160" i="1"/>
  <c r="B160" i="1"/>
  <c r="C160" i="1"/>
  <c r="D160" i="1"/>
  <c r="E160" i="1"/>
  <c r="A143" i="1"/>
  <c r="B143" i="1"/>
  <c r="C143" i="1"/>
  <c r="D143" i="1"/>
  <c r="E143" i="1"/>
  <c r="A265" i="1"/>
  <c r="B265" i="1"/>
  <c r="C265" i="1"/>
  <c r="D265" i="1"/>
  <c r="E265" i="1"/>
  <c r="A286" i="1"/>
  <c r="B286" i="1"/>
  <c r="C286" i="1"/>
  <c r="D286" i="1"/>
  <c r="E286" i="1"/>
  <c r="A481" i="1"/>
  <c r="B481" i="1"/>
  <c r="C481" i="1"/>
  <c r="D481" i="1"/>
  <c r="E481" i="1"/>
  <c r="A484" i="1"/>
  <c r="B484" i="1"/>
  <c r="C484" i="1"/>
  <c r="D484" i="1"/>
  <c r="E484" i="1"/>
  <c r="A492" i="1"/>
  <c r="B492" i="1"/>
  <c r="C492" i="1"/>
  <c r="D492" i="1"/>
  <c r="E492" i="1"/>
  <c r="A489" i="1"/>
  <c r="B489" i="1"/>
  <c r="C489" i="1"/>
  <c r="D489" i="1"/>
  <c r="E489" i="1"/>
  <c r="A546" i="1"/>
  <c r="B546" i="1"/>
  <c r="C546" i="1"/>
  <c r="D546" i="1"/>
  <c r="E546" i="1"/>
  <c r="A551" i="1"/>
  <c r="B551" i="1"/>
  <c r="C551" i="1"/>
  <c r="D551" i="1"/>
  <c r="E551" i="1"/>
  <c r="A552" i="1"/>
  <c r="B552" i="1"/>
  <c r="C552" i="1"/>
  <c r="D552" i="1"/>
  <c r="E552" i="1"/>
  <c r="A532" i="1"/>
  <c r="B532" i="1"/>
  <c r="C532" i="1"/>
  <c r="D532" i="1"/>
  <c r="E532" i="1"/>
  <c r="A533" i="1"/>
  <c r="B533" i="1"/>
  <c r="C533" i="1"/>
  <c r="D533" i="1"/>
  <c r="E533" i="1"/>
  <c r="A537" i="1"/>
  <c r="B537" i="1"/>
  <c r="C537" i="1"/>
  <c r="D537" i="1"/>
  <c r="E537" i="1"/>
  <c r="A396" i="1"/>
  <c r="B396" i="1"/>
  <c r="C396" i="1"/>
  <c r="D396" i="1"/>
  <c r="E396" i="1"/>
  <c r="A390" i="1"/>
  <c r="B390" i="1"/>
  <c r="C390" i="1"/>
  <c r="D390" i="1"/>
  <c r="E390" i="1"/>
  <c r="A403" i="1"/>
  <c r="B403" i="1"/>
  <c r="C403" i="1"/>
  <c r="D403" i="1"/>
  <c r="E403" i="1"/>
  <c r="A417" i="1"/>
  <c r="B417" i="1"/>
  <c r="C417" i="1"/>
  <c r="D417" i="1"/>
  <c r="E417" i="1"/>
  <c r="A427" i="1"/>
  <c r="B427" i="1"/>
  <c r="C427" i="1"/>
  <c r="D427" i="1"/>
  <c r="E427" i="1"/>
  <c r="A272" i="1"/>
  <c r="B272" i="1"/>
  <c r="C272" i="1"/>
  <c r="D272" i="1"/>
  <c r="E272" i="1"/>
  <c r="A280" i="1"/>
  <c r="B280" i="1"/>
  <c r="C280" i="1"/>
  <c r="D280" i="1"/>
  <c r="E280" i="1"/>
  <c r="A281" i="1"/>
  <c r="B281" i="1"/>
  <c r="C281" i="1"/>
  <c r="D281" i="1"/>
  <c r="E281" i="1"/>
  <c r="A456" i="1"/>
  <c r="B456" i="1"/>
  <c r="C456" i="1"/>
  <c r="D456" i="1"/>
  <c r="E456" i="1"/>
  <c r="A463" i="1"/>
  <c r="B463" i="1"/>
  <c r="C463" i="1"/>
  <c r="D463" i="1"/>
  <c r="E463" i="1"/>
  <c r="A1077" i="1"/>
  <c r="B1077" i="1"/>
  <c r="C1077" i="1"/>
  <c r="D1077" i="1"/>
  <c r="E1077" i="1"/>
  <c r="A1069" i="1"/>
  <c r="B1069" i="1"/>
  <c r="C1069" i="1"/>
  <c r="D1069" i="1"/>
  <c r="E1069" i="1"/>
  <c r="A1066" i="1"/>
  <c r="B1066" i="1"/>
  <c r="C1066" i="1"/>
  <c r="D1066" i="1"/>
  <c r="E1066" i="1"/>
  <c r="A1071" i="1"/>
  <c r="B1071" i="1"/>
  <c r="C1071" i="1"/>
  <c r="D1071" i="1"/>
  <c r="E1071" i="1"/>
  <c r="A1063" i="1"/>
  <c r="B1063" i="1"/>
  <c r="C1063" i="1"/>
  <c r="D1063" i="1"/>
  <c r="E1063" i="1"/>
  <c r="A987" i="1"/>
  <c r="B987" i="1"/>
  <c r="C987" i="1"/>
  <c r="D987" i="1"/>
  <c r="E987" i="1"/>
  <c r="A1083" i="1"/>
  <c r="B1083" i="1"/>
  <c r="C1083" i="1"/>
  <c r="D1083" i="1"/>
  <c r="E1083" i="1"/>
  <c r="A1085" i="1"/>
  <c r="B1085" i="1"/>
  <c r="C1085" i="1"/>
  <c r="D1085" i="1"/>
  <c r="E1085" i="1"/>
  <c r="A1088" i="1"/>
  <c r="B1088" i="1"/>
  <c r="C1088" i="1"/>
  <c r="D1088" i="1"/>
  <c r="E1088" i="1"/>
  <c r="A410" i="1"/>
  <c r="B410" i="1"/>
  <c r="C410" i="1"/>
  <c r="D410" i="1"/>
  <c r="E410" i="1"/>
  <c r="A791" i="1"/>
  <c r="B791" i="1"/>
  <c r="C791" i="1"/>
  <c r="D791" i="1"/>
  <c r="E791" i="1"/>
  <c r="A788" i="1"/>
  <c r="B788" i="1"/>
  <c r="C788" i="1"/>
  <c r="D788" i="1"/>
  <c r="E788" i="1"/>
  <c r="A807" i="1"/>
  <c r="B807" i="1"/>
  <c r="C807" i="1"/>
  <c r="D807" i="1"/>
  <c r="E807" i="1"/>
  <c r="A907" i="1"/>
  <c r="B907" i="1"/>
  <c r="C907" i="1"/>
  <c r="D907" i="1"/>
  <c r="E907" i="1"/>
  <c r="A908" i="1"/>
  <c r="B908" i="1"/>
  <c r="C908" i="1"/>
  <c r="D908" i="1"/>
  <c r="E908" i="1"/>
  <c r="A899" i="1"/>
  <c r="B899" i="1"/>
  <c r="C899" i="1"/>
  <c r="D899" i="1"/>
  <c r="E899" i="1"/>
  <c r="A897" i="1"/>
  <c r="B897" i="1"/>
  <c r="C897" i="1"/>
  <c r="D897" i="1"/>
  <c r="E897" i="1"/>
  <c r="A901" i="1"/>
  <c r="B901" i="1"/>
  <c r="C901" i="1"/>
  <c r="D901" i="1"/>
  <c r="E901" i="1"/>
  <c r="A890" i="1"/>
  <c r="B890" i="1"/>
  <c r="C890" i="1"/>
  <c r="D890" i="1"/>
  <c r="E890" i="1"/>
  <c r="A1076" i="1"/>
  <c r="B1076" i="1"/>
  <c r="C1076" i="1"/>
  <c r="D1076" i="1"/>
  <c r="E1076" i="1"/>
  <c r="A816" i="1"/>
  <c r="B816" i="1"/>
  <c r="C816" i="1"/>
  <c r="D816" i="1"/>
  <c r="E816" i="1"/>
  <c r="A794" i="1"/>
  <c r="B794" i="1"/>
  <c r="C794" i="1"/>
  <c r="D794" i="1"/>
  <c r="E794" i="1"/>
  <c r="A796" i="1"/>
  <c r="B796" i="1"/>
  <c r="C796" i="1"/>
  <c r="D796" i="1"/>
  <c r="E796" i="1"/>
  <c r="A655" i="1"/>
  <c r="B655" i="1"/>
  <c r="C655" i="1"/>
  <c r="D655" i="1"/>
  <c r="E655" i="1"/>
  <c r="A679" i="1"/>
  <c r="B679" i="1"/>
  <c r="C679" i="1"/>
  <c r="D679" i="1"/>
  <c r="E679" i="1"/>
  <c r="A680" i="1"/>
  <c r="B680" i="1"/>
  <c r="C680" i="1"/>
  <c r="D680" i="1"/>
  <c r="E680" i="1"/>
  <c r="A709" i="1"/>
  <c r="B709" i="1"/>
  <c r="C709" i="1"/>
  <c r="D709" i="1"/>
  <c r="E709" i="1"/>
  <c r="A702" i="1"/>
  <c r="B702" i="1"/>
  <c r="C702" i="1"/>
  <c r="D702" i="1"/>
  <c r="E702" i="1"/>
  <c r="A689" i="1"/>
  <c r="B689" i="1"/>
  <c r="C689" i="1"/>
  <c r="D689" i="1"/>
  <c r="E689" i="1"/>
  <c r="A707" i="1"/>
  <c r="B707" i="1"/>
  <c r="C707" i="1"/>
  <c r="D707" i="1"/>
  <c r="E707" i="1"/>
  <c r="A211" i="1"/>
  <c r="B211" i="1"/>
  <c r="C211" i="1"/>
  <c r="D211" i="1"/>
  <c r="E211" i="1"/>
  <c r="A580" i="1"/>
  <c r="B580" i="1"/>
  <c r="C580" i="1"/>
  <c r="D580" i="1"/>
  <c r="E580" i="1"/>
  <c r="A460" i="1"/>
  <c r="B460" i="1"/>
  <c r="C460" i="1"/>
  <c r="D460" i="1"/>
  <c r="E460" i="1"/>
  <c r="A406" i="1"/>
  <c r="B406" i="1"/>
  <c r="C406" i="1"/>
  <c r="D406" i="1"/>
  <c r="E406" i="1"/>
  <c r="A407" i="1"/>
  <c r="B407" i="1"/>
  <c r="C407" i="1"/>
  <c r="D407" i="1"/>
  <c r="E407" i="1"/>
  <c r="A924" i="1"/>
  <c r="B924" i="1"/>
  <c r="C924" i="1"/>
  <c r="D924" i="1"/>
  <c r="E924" i="1"/>
  <c r="A1068" i="1"/>
  <c r="B1068" i="1"/>
  <c r="C1068" i="1"/>
  <c r="D1068" i="1"/>
  <c r="E1068" i="1"/>
  <c r="A1078" i="1"/>
  <c r="B1078" i="1"/>
  <c r="C1078" i="1"/>
  <c r="D1078" i="1"/>
  <c r="E1078" i="1"/>
  <c r="A921" i="1"/>
  <c r="B921" i="1"/>
  <c r="C921" i="1"/>
  <c r="D921" i="1"/>
  <c r="E921" i="1"/>
  <c r="A922" i="1"/>
  <c r="B922" i="1"/>
  <c r="C922" i="1"/>
  <c r="D922" i="1"/>
  <c r="E922" i="1"/>
  <c r="A161" i="1"/>
  <c r="B161" i="1"/>
  <c r="C161" i="1"/>
  <c r="D161" i="1"/>
  <c r="E161" i="1"/>
  <c r="A127" i="1"/>
  <c r="B127" i="1"/>
  <c r="C127" i="1"/>
  <c r="D127" i="1"/>
  <c r="E127" i="1"/>
  <c r="A98" i="1"/>
  <c r="B98" i="1"/>
  <c r="C98" i="1"/>
  <c r="D98" i="1"/>
  <c r="E98" i="1"/>
  <c r="A77" i="1"/>
  <c r="B77" i="1"/>
  <c r="C77" i="1"/>
  <c r="D77" i="1"/>
  <c r="E77" i="1"/>
  <c r="A79" i="1"/>
  <c r="B79" i="1"/>
  <c r="C79" i="1"/>
  <c r="D79" i="1"/>
  <c r="E79" i="1"/>
  <c r="A122" i="1"/>
  <c r="B122" i="1"/>
  <c r="C122" i="1"/>
  <c r="D122" i="1"/>
  <c r="E122" i="1"/>
  <c r="A31" i="1"/>
  <c r="B31" i="1"/>
  <c r="C31" i="1"/>
  <c r="D31" i="1"/>
  <c r="E31" i="1"/>
  <c r="A21" i="1"/>
  <c r="B21" i="1"/>
  <c r="C21" i="1"/>
  <c r="D21" i="1"/>
  <c r="E21" i="1"/>
  <c r="A237" i="1"/>
  <c r="B237" i="1"/>
  <c r="C237" i="1"/>
  <c r="D237" i="1"/>
  <c r="E237" i="1"/>
  <c r="A194" i="1"/>
  <c r="B194" i="1"/>
  <c r="C194" i="1"/>
  <c r="D194" i="1"/>
  <c r="E194" i="1"/>
  <c r="A889" i="1"/>
  <c r="B889" i="1"/>
  <c r="C889" i="1"/>
  <c r="D889" i="1"/>
  <c r="E889" i="1"/>
  <c r="A898" i="1"/>
  <c r="B898" i="1"/>
  <c r="C898" i="1"/>
  <c r="D898" i="1"/>
  <c r="E898" i="1"/>
  <c r="A911" i="1"/>
  <c r="B911" i="1"/>
  <c r="C911" i="1"/>
  <c r="D911" i="1"/>
  <c r="E911" i="1"/>
  <c r="A915" i="1"/>
  <c r="B915" i="1"/>
  <c r="C915" i="1"/>
  <c r="D915" i="1"/>
  <c r="E915" i="1"/>
  <c r="A1129" i="1"/>
  <c r="B1129" i="1"/>
  <c r="C1129" i="1"/>
  <c r="D1129" i="1"/>
  <c r="E1129" i="1"/>
  <c r="A967" i="1"/>
  <c r="B967" i="1"/>
  <c r="C967" i="1"/>
  <c r="D967" i="1"/>
  <c r="E967" i="1"/>
  <c r="A553" i="1"/>
  <c r="B553" i="1"/>
  <c r="C553" i="1"/>
  <c r="D553" i="1"/>
  <c r="E553" i="1"/>
  <c r="A74" i="1"/>
  <c r="B74" i="1"/>
  <c r="C74" i="1"/>
  <c r="D74" i="1"/>
  <c r="E74" i="1"/>
  <c r="A87" i="1"/>
  <c r="B87" i="1"/>
  <c r="C87" i="1"/>
  <c r="D87" i="1"/>
  <c r="E87" i="1"/>
  <c r="A123" i="1"/>
  <c r="B123" i="1"/>
  <c r="C123" i="1"/>
  <c r="D123" i="1"/>
  <c r="E123" i="1"/>
  <c r="A33" i="1"/>
  <c r="B33" i="1"/>
  <c r="C33" i="1"/>
  <c r="D33" i="1"/>
  <c r="E33" i="1"/>
  <c r="A40" i="1"/>
  <c r="B40" i="1"/>
  <c r="C40" i="1"/>
  <c r="D40" i="1"/>
  <c r="E40" i="1"/>
  <c r="A157" i="1"/>
  <c r="B157" i="1"/>
  <c r="C157" i="1"/>
  <c r="D157" i="1"/>
  <c r="E157" i="1"/>
  <c r="A140" i="1"/>
  <c r="B140" i="1"/>
  <c r="C140" i="1"/>
  <c r="D140" i="1"/>
  <c r="E140" i="1"/>
  <c r="A348" i="1"/>
  <c r="B348" i="1"/>
  <c r="C348" i="1"/>
  <c r="D348" i="1"/>
  <c r="E348" i="1"/>
  <c r="A353" i="1"/>
  <c r="B353" i="1"/>
  <c r="C353" i="1"/>
  <c r="D353" i="1"/>
  <c r="E353" i="1"/>
  <c r="A947" i="1"/>
  <c r="B947" i="1"/>
  <c r="C947" i="1"/>
  <c r="D947" i="1"/>
  <c r="E947" i="1"/>
  <c r="A1142" i="1"/>
  <c r="B1142" i="1"/>
  <c r="C1142" i="1"/>
  <c r="D1142" i="1"/>
  <c r="E1142" i="1"/>
  <c r="A1102" i="1"/>
  <c r="B1102" i="1"/>
  <c r="C1102" i="1"/>
  <c r="D1102" i="1"/>
  <c r="E1102" i="1"/>
  <c r="A666" i="1"/>
  <c r="B666" i="1"/>
  <c r="C666" i="1"/>
  <c r="D666" i="1"/>
  <c r="E666" i="1"/>
  <c r="A180" i="1"/>
  <c r="B180" i="1"/>
  <c r="C180" i="1"/>
  <c r="D180" i="1"/>
  <c r="E180" i="1"/>
  <c r="A179" i="1"/>
  <c r="B179" i="1"/>
  <c r="C179" i="1"/>
  <c r="D179" i="1"/>
  <c r="E179" i="1"/>
  <c r="A178" i="1"/>
  <c r="B178" i="1"/>
  <c r="C178" i="1"/>
  <c r="D178" i="1"/>
  <c r="E178" i="1"/>
  <c r="A177" i="1"/>
  <c r="B177" i="1"/>
  <c r="C177" i="1"/>
  <c r="D177" i="1"/>
  <c r="E177" i="1"/>
  <c r="A297" i="1"/>
  <c r="B297" i="1"/>
  <c r="C297" i="1"/>
  <c r="D297" i="1"/>
  <c r="E297" i="1"/>
  <c r="A298" i="1"/>
  <c r="B298" i="1"/>
  <c r="C298" i="1"/>
  <c r="D298" i="1"/>
  <c r="E298" i="1"/>
  <c r="A299" i="1"/>
  <c r="B299" i="1"/>
  <c r="C299" i="1"/>
  <c r="D299" i="1"/>
  <c r="E299" i="1"/>
  <c r="A13" i="1"/>
  <c r="B13" i="1"/>
  <c r="C13" i="1"/>
  <c r="D13" i="1"/>
  <c r="E13" i="1"/>
  <c r="A44" i="1"/>
  <c r="B44" i="1"/>
  <c r="C44" i="1"/>
  <c r="D44" i="1"/>
  <c r="E44" i="1"/>
  <c r="A47" i="1"/>
  <c r="B47" i="1"/>
  <c r="C47" i="1"/>
  <c r="D47" i="1"/>
  <c r="E47" i="1"/>
  <c r="A962" i="1"/>
  <c r="B962" i="1"/>
  <c r="C962" i="1"/>
  <c r="D962" i="1"/>
  <c r="E962" i="1"/>
  <c r="A998" i="1"/>
  <c r="B998" i="1"/>
  <c r="C998" i="1"/>
  <c r="D998" i="1"/>
  <c r="E998" i="1"/>
  <c r="A325" i="1"/>
  <c r="B325" i="1"/>
  <c r="C325" i="1"/>
  <c r="D325" i="1"/>
  <c r="E325" i="1"/>
  <c r="A332" i="1"/>
  <c r="B332" i="1"/>
  <c r="C332" i="1"/>
  <c r="D332" i="1"/>
  <c r="E332" i="1"/>
  <c r="A195" i="1"/>
  <c r="B195" i="1"/>
  <c r="C195" i="1"/>
  <c r="D195" i="1"/>
  <c r="E195" i="1"/>
  <c r="A236" i="1"/>
  <c r="B236" i="1"/>
  <c r="C236" i="1"/>
  <c r="D236" i="1"/>
  <c r="E236" i="1"/>
  <c r="A181" i="1"/>
  <c r="B181" i="1"/>
  <c r="C181" i="1"/>
  <c r="D181" i="1"/>
  <c r="E181" i="1"/>
  <c r="A189" i="1"/>
  <c r="B189" i="1"/>
  <c r="C189" i="1"/>
  <c r="D189" i="1"/>
  <c r="E189" i="1"/>
  <c r="A184" i="1"/>
  <c r="B184" i="1"/>
  <c r="C184" i="1"/>
  <c r="D184" i="1"/>
  <c r="E184" i="1"/>
  <c r="A182" i="1"/>
  <c r="B182" i="1"/>
  <c r="C182" i="1"/>
  <c r="D182" i="1"/>
  <c r="E182" i="1"/>
  <c r="A663" i="1"/>
  <c r="B663" i="1"/>
  <c r="C663" i="1"/>
  <c r="D663" i="1"/>
  <c r="E663" i="1"/>
  <c r="A661" i="1"/>
  <c r="B661" i="1"/>
  <c r="C661" i="1"/>
  <c r="D661" i="1"/>
  <c r="E661" i="1"/>
  <c r="A654" i="1"/>
  <c r="B654" i="1"/>
  <c r="C654" i="1"/>
  <c r="D654" i="1"/>
  <c r="E654" i="1"/>
  <c r="A659" i="1"/>
  <c r="B659" i="1"/>
  <c r="C659" i="1"/>
  <c r="D659" i="1"/>
  <c r="E659" i="1"/>
  <c r="A658" i="1"/>
  <c r="B658" i="1"/>
  <c r="C658" i="1"/>
  <c r="D658" i="1"/>
  <c r="E658" i="1"/>
  <c r="A657" i="1"/>
  <c r="B657" i="1"/>
  <c r="C657" i="1"/>
  <c r="D657" i="1"/>
  <c r="E657" i="1"/>
  <c r="A656" i="1"/>
  <c r="B656" i="1"/>
  <c r="C656" i="1"/>
  <c r="D656" i="1"/>
  <c r="E656" i="1"/>
  <c r="A660" i="1"/>
  <c r="B660" i="1"/>
  <c r="C660" i="1"/>
  <c r="D660" i="1"/>
  <c r="E660" i="1"/>
  <c r="A664" i="1"/>
  <c r="B664" i="1"/>
  <c r="C664" i="1"/>
  <c r="D664" i="1"/>
  <c r="E664" i="1"/>
  <c r="A1137" i="1"/>
  <c r="B1137" i="1"/>
  <c r="C1137" i="1"/>
  <c r="D1137" i="1"/>
  <c r="E1137" i="1"/>
  <c r="A356" i="1"/>
  <c r="B356" i="1"/>
  <c r="C356" i="1"/>
  <c r="D356" i="1"/>
  <c r="E356" i="1"/>
  <c r="A357" i="1"/>
  <c r="B357" i="1"/>
  <c r="C357" i="1"/>
  <c r="D357" i="1"/>
  <c r="E357" i="1"/>
  <c r="A358" i="1"/>
  <c r="B358" i="1"/>
  <c r="C358" i="1"/>
  <c r="D358" i="1"/>
  <c r="E358" i="1"/>
  <c r="A359" i="1"/>
  <c r="B359" i="1"/>
  <c r="C359" i="1"/>
  <c r="D359" i="1"/>
  <c r="E359" i="1"/>
  <c r="A360" i="1"/>
  <c r="B360" i="1"/>
  <c r="C360" i="1"/>
  <c r="D360" i="1"/>
  <c r="E360" i="1"/>
  <c r="A361" i="1"/>
  <c r="B361" i="1"/>
  <c r="C361" i="1"/>
  <c r="D361" i="1"/>
  <c r="E361" i="1"/>
  <c r="A382" i="1"/>
  <c r="B382" i="1"/>
  <c r="C382" i="1"/>
  <c r="D382" i="1"/>
  <c r="E382" i="1"/>
  <c r="A383" i="1"/>
  <c r="B383" i="1"/>
  <c r="C383" i="1"/>
  <c r="D383" i="1"/>
  <c r="E383" i="1"/>
  <c r="A800" i="1"/>
  <c r="B800" i="1"/>
  <c r="C800" i="1"/>
  <c r="D800" i="1"/>
  <c r="E800" i="1"/>
  <c r="A662" i="1"/>
  <c r="B662" i="1"/>
  <c r="C662" i="1"/>
  <c r="D662" i="1"/>
  <c r="E662" i="1"/>
  <c r="A9" i="1"/>
  <c r="B9" i="1"/>
  <c r="C9" i="1"/>
  <c r="D9" i="1"/>
  <c r="E9" i="1"/>
  <c r="A20" i="1"/>
  <c r="B20" i="1"/>
  <c r="C20" i="1"/>
  <c r="D20" i="1"/>
  <c r="E20" i="1"/>
  <c r="A27" i="1"/>
  <c r="B27" i="1"/>
  <c r="C27" i="1"/>
  <c r="D27" i="1"/>
  <c r="E27" i="1"/>
  <c r="A41" i="1"/>
  <c r="B41" i="1"/>
  <c r="C41" i="1"/>
  <c r="D41" i="1"/>
  <c r="E41" i="1"/>
  <c r="A49" i="1"/>
  <c r="B49" i="1"/>
  <c r="C49" i="1"/>
  <c r="D49" i="1"/>
  <c r="E49" i="1"/>
  <c r="A53" i="1"/>
  <c r="B53" i="1"/>
  <c r="C53" i="1"/>
  <c r="D53" i="1"/>
  <c r="E53" i="1"/>
  <c r="A212" i="1"/>
  <c r="B212" i="1"/>
  <c r="C212" i="1"/>
  <c r="D212" i="1"/>
  <c r="E212" i="1"/>
  <c r="A208" i="1"/>
  <c r="B208" i="1"/>
  <c r="C208" i="1"/>
  <c r="D208" i="1"/>
  <c r="E208" i="1"/>
  <c r="A210" i="1"/>
  <c r="B210" i="1"/>
  <c r="C210" i="1"/>
  <c r="D210" i="1"/>
  <c r="E210" i="1"/>
  <c r="A209" i="1"/>
  <c r="B209" i="1"/>
  <c r="C209" i="1"/>
  <c r="D209" i="1"/>
  <c r="E209" i="1"/>
  <c r="A228" i="1"/>
  <c r="B228" i="1"/>
  <c r="C228" i="1"/>
  <c r="D228" i="1"/>
  <c r="E228" i="1"/>
  <c r="A226" i="1"/>
  <c r="B226" i="1"/>
  <c r="C226" i="1"/>
  <c r="D226" i="1"/>
  <c r="E226" i="1"/>
  <c r="A227" i="1"/>
  <c r="B227" i="1"/>
  <c r="C227" i="1"/>
  <c r="D227" i="1"/>
  <c r="E227" i="1"/>
  <c r="A230" i="1"/>
  <c r="B230" i="1"/>
  <c r="C230" i="1"/>
  <c r="D230" i="1"/>
  <c r="E230" i="1"/>
  <c r="A313" i="1"/>
  <c r="B313" i="1"/>
  <c r="C313" i="1"/>
  <c r="D313" i="1"/>
  <c r="E313" i="1"/>
  <c r="A307" i="1"/>
  <c r="B307" i="1"/>
  <c r="C307" i="1"/>
  <c r="D307" i="1"/>
  <c r="E307" i="1"/>
  <c r="A200" i="1"/>
  <c r="B200" i="1"/>
  <c r="C200" i="1"/>
  <c r="D200" i="1"/>
  <c r="E200" i="1"/>
  <c r="A42" i="1"/>
  <c r="B42" i="1"/>
  <c r="C42" i="1"/>
  <c r="D42" i="1"/>
  <c r="E42" i="1"/>
  <c r="A39" i="1"/>
  <c r="B39" i="1"/>
  <c r="C39" i="1"/>
  <c r="D39" i="1"/>
  <c r="E39" i="1"/>
  <c r="A19" i="1"/>
  <c r="B19" i="1"/>
  <c r="C19" i="1"/>
  <c r="D19" i="1"/>
  <c r="E19" i="1"/>
  <c r="A173" i="1"/>
  <c r="B173" i="1"/>
  <c r="C173" i="1"/>
  <c r="D173" i="1"/>
  <c r="E173" i="1"/>
  <c r="A219" i="1"/>
  <c r="B219" i="1"/>
  <c r="C219" i="1"/>
  <c r="D219" i="1"/>
  <c r="E219" i="1"/>
  <c r="A216" i="1"/>
  <c r="B216" i="1"/>
  <c r="C216" i="1"/>
  <c r="D216" i="1"/>
  <c r="E216" i="1"/>
  <c r="A328" i="1"/>
  <c r="B328" i="1"/>
  <c r="C328" i="1"/>
  <c r="D328" i="1"/>
  <c r="E328" i="1"/>
  <c r="A338" i="1"/>
  <c r="B338" i="1"/>
  <c r="C338" i="1"/>
  <c r="D338" i="1"/>
  <c r="E338" i="1"/>
  <c r="A336" i="1"/>
  <c r="B336" i="1"/>
  <c r="C336" i="1"/>
  <c r="D336" i="1"/>
  <c r="E336" i="1"/>
  <c r="A499" i="1"/>
  <c r="B499" i="1"/>
  <c r="C499" i="1"/>
  <c r="D499" i="1"/>
  <c r="E499" i="1"/>
  <c r="A496" i="1"/>
  <c r="B496" i="1"/>
  <c r="C496" i="1"/>
  <c r="D496" i="1"/>
  <c r="E496" i="1"/>
  <c r="A514" i="1"/>
  <c r="B514" i="1"/>
  <c r="C514" i="1"/>
  <c r="D514" i="1"/>
  <c r="E514" i="1"/>
  <c r="A232" i="1"/>
  <c r="B232" i="1"/>
  <c r="C232" i="1"/>
  <c r="D232" i="1"/>
  <c r="E232" i="1"/>
  <c r="A757" i="1"/>
  <c r="B757" i="1"/>
  <c r="C757" i="1"/>
  <c r="D757" i="1"/>
  <c r="E757" i="1"/>
  <c r="A761" i="1"/>
  <c r="B761" i="1"/>
  <c r="C761" i="1"/>
  <c r="D761" i="1"/>
  <c r="E761" i="1"/>
  <c r="A763" i="1"/>
  <c r="B763" i="1"/>
  <c r="C763" i="1"/>
  <c r="D763" i="1"/>
  <c r="E763" i="1"/>
  <c r="A772" i="1"/>
  <c r="B772" i="1"/>
  <c r="C772" i="1"/>
  <c r="D772" i="1"/>
  <c r="E772" i="1"/>
  <c r="A877" i="1"/>
  <c r="B877" i="1"/>
  <c r="C877" i="1"/>
  <c r="D877" i="1"/>
  <c r="E877" i="1"/>
  <c r="A506" i="1"/>
  <c r="B506" i="1"/>
  <c r="C506" i="1"/>
  <c r="D506" i="1"/>
  <c r="E506" i="1"/>
  <c r="A36" i="1"/>
  <c r="B36" i="1"/>
  <c r="C36" i="1"/>
  <c r="D36" i="1"/>
  <c r="E36" i="1"/>
  <c r="A38" i="1"/>
  <c r="B38" i="1"/>
  <c r="C38" i="1"/>
  <c r="D38" i="1"/>
  <c r="E38" i="1"/>
  <c r="A32" i="1"/>
  <c r="B32" i="1"/>
  <c r="C32" i="1"/>
  <c r="D32" i="1"/>
  <c r="E32" i="1"/>
  <c r="A10" i="1"/>
  <c r="B10" i="1"/>
  <c r="C10" i="1"/>
  <c r="D10" i="1"/>
  <c r="E10" i="1"/>
  <c r="A103" i="1"/>
  <c r="B103" i="1"/>
  <c r="C103" i="1"/>
  <c r="D103" i="1"/>
  <c r="E103" i="1"/>
  <c r="A149" i="1"/>
  <c r="B149" i="1"/>
  <c r="C149" i="1"/>
  <c r="D149" i="1"/>
  <c r="E149" i="1"/>
  <c r="A97" i="1"/>
  <c r="B97" i="1"/>
  <c r="C97" i="1"/>
  <c r="D97" i="1"/>
  <c r="E97" i="1"/>
  <c r="A171" i="1"/>
  <c r="B171" i="1"/>
  <c r="C171" i="1"/>
  <c r="D171" i="1"/>
  <c r="E171" i="1"/>
  <c r="A261" i="1"/>
  <c r="B261" i="1"/>
  <c r="C261" i="1"/>
  <c r="D261" i="1"/>
  <c r="E261" i="1"/>
  <c r="A106" i="1"/>
  <c r="B106" i="1"/>
  <c r="C106" i="1"/>
  <c r="D106" i="1"/>
  <c r="E106" i="1"/>
  <c r="A394" i="1"/>
  <c r="B394" i="1"/>
  <c r="C394" i="1"/>
  <c r="D394" i="1"/>
  <c r="E394" i="1"/>
  <c r="A554" i="1"/>
  <c r="B554" i="1"/>
  <c r="C554" i="1"/>
  <c r="D554" i="1"/>
  <c r="E554" i="1"/>
  <c r="A741" i="1"/>
  <c r="B741" i="1"/>
  <c r="C741" i="1"/>
  <c r="D741" i="1"/>
  <c r="E741" i="1"/>
  <c r="A752" i="1"/>
  <c r="B752" i="1"/>
  <c r="C752" i="1"/>
  <c r="D752" i="1"/>
  <c r="E752" i="1"/>
  <c r="A1136" i="1"/>
  <c r="B1136" i="1"/>
  <c r="C1136" i="1"/>
  <c r="D1136" i="1"/>
  <c r="E1136" i="1"/>
  <c r="A370" i="1"/>
  <c r="B370" i="1"/>
  <c r="C370" i="1"/>
  <c r="D370" i="1"/>
  <c r="E370" i="1"/>
  <c r="A371" i="1"/>
  <c r="B371" i="1"/>
  <c r="C371" i="1"/>
  <c r="D371" i="1"/>
  <c r="E371" i="1"/>
  <c r="A372" i="1"/>
  <c r="B372" i="1"/>
  <c r="C372" i="1"/>
  <c r="D372" i="1"/>
  <c r="E372" i="1"/>
  <c r="A373" i="1"/>
  <c r="B373" i="1"/>
  <c r="C373" i="1"/>
  <c r="D373" i="1"/>
  <c r="E373" i="1"/>
  <c r="A380" i="1"/>
  <c r="B380" i="1"/>
  <c r="C380" i="1"/>
  <c r="D380" i="1"/>
  <c r="E380" i="1"/>
  <c r="A381" i="1"/>
  <c r="B381" i="1"/>
  <c r="C381" i="1"/>
  <c r="D381" i="1"/>
  <c r="E381" i="1"/>
  <c r="A108" i="1"/>
  <c r="B108" i="1"/>
  <c r="C108" i="1"/>
  <c r="D108" i="1"/>
  <c r="E108" i="1"/>
  <c r="A120" i="1"/>
  <c r="B120" i="1"/>
  <c r="C120" i="1"/>
  <c r="D120" i="1"/>
  <c r="E120" i="1"/>
  <c r="A117" i="1"/>
  <c r="B117" i="1"/>
  <c r="C117" i="1"/>
  <c r="D117" i="1"/>
  <c r="E117" i="1"/>
  <c r="A341" i="1"/>
  <c r="B341" i="1"/>
  <c r="C341" i="1"/>
  <c r="D341" i="1"/>
  <c r="E341" i="1"/>
  <c r="A343" i="1"/>
  <c r="B343" i="1"/>
  <c r="C343" i="1"/>
  <c r="D343" i="1"/>
  <c r="E343" i="1"/>
  <c r="A344" i="1"/>
  <c r="B344" i="1"/>
  <c r="C344" i="1"/>
  <c r="D344" i="1"/>
  <c r="E344" i="1"/>
  <c r="A354" i="1"/>
  <c r="B354" i="1"/>
  <c r="C354" i="1"/>
  <c r="D354" i="1"/>
  <c r="E354" i="1"/>
  <c r="A327" i="1"/>
  <c r="B327" i="1"/>
  <c r="C327" i="1"/>
  <c r="D327" i="1"/>
  <c r="E327" i="1"/>
  <c r="A303" i="1"/>
  <c r="B303" i="1"/>
  <c r="C303" i="1"/>
  <c r="D303" i="1"/>
  <c r="E303" i="1"/>
  <c r="A306" i="1"/>
  <c r="B306" i="1"/>
  <c r="C306" i="1"/>
  <c r="D306" i="1"/>
  <c r="E306" i="1"/>
  <c r="A622" i="1"/>
  <c r="B622" i="1"/>
  <c r="C622" i="1"/>
  <c r="D622" i="1"/>
  <c r="E622" i="1"/>
  <c r="A623" i="1"/>
  <c r="B623" i="1"/>
  <c r="C623" i="1"/>
  <c r="D623" i="1"/>
  <c r="E623" i="1"/>
  <c r="A624" i="1"/>
  <c r="B624" i="1"/>
  <c r="C624" i="1"/>
  <c r="D624" i="1"/>
  <c r="E624" i="1"/>
  <c r="A52" i="1"/>
  <c r="B52" i="1"/>
  <c r="C52" i="1"/>
  <c r="D52" i="1"/>
  <c r="E52" i="1"/>
  <c r="A54" i="1"/>
  <c r="B54" i="1"/>
  <c r="C54" i="1"/>
  <c r="D54" i="1"/>
  <c r="E54" i="1"/>
  <c r="A55" i="1"/>
  <c r="B55" i="1"/>
  <c r="C55" i="1"/>
  <c r="D55" i="1"/>
  <c r="E55" i="1"/>
  <c r="A1140" i="1"/>
  <c r="B1140" i="1"/>
  <c r="C1140" i="1"/>
  <c r="D1140" i="1"/>
  <c r="E1140" i="1"/>
  <c r="A718" i="1"/>
  <c r="B718" i="1"/>
  <c r="C718" i="1"/>
  <c r="D718" i="1"/>
  <c r="E718" i="1"/>
  <c r="A719" i="1"/>
  <c r="B719" i="1"/>
  <c r="C719" i="1"/>
  <c r="D719" i="1"/>
  <c r="E719" i="1"/>
  <c r="A198" i="1"/>
  <c r="B198" i="1"/>
  <c r="C198" i="1"/>
  <c r="D198" i="1"/>
  <c r="E198" i="1"/>
  <c r="A197" i="1"/>
  <c r="B197" i="1"/>
  <c r="C197" i="1"/>
  <c r="D197" i="1"/>
  <c r="E197" i="1"/>
  <c r="A314" i="1"/>
  <c r="B314" i="1"/>
  <c r="C314" i="1"/>
  <c r="D314" i="1"/>
  <c r="E314" i="1"/>
  <c r="A340" i="1"/>
  <c r="B340" i="1"/>
  <c r="C340" i="1"/>
  <c r="D340" i="1"/>
  <c r="E340" i="1"/>
</calcChain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<sst xmlns="http://schemas.openxmlformats.org/spreadsheetml/2006/main" count="46" uniqueCount="46">
  <si>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</si>
  <si>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</si>
  <si>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</si>
  <si>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</si>
  <si>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</si>
  <si>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</si>
  <si>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</si>
  <si>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</si>
  <si>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</si>
  <si>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</si>
  <si>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</si>
  <si>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</si>
  <si>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</si>
  <si>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</si>
  <si>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</si>
  <si>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</si>
  <si>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</si>
  <si>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</si>
  <si>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</si>
  <si>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</si>
  <si>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</si>
  <si>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كمك هزينه غذا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</si>
  <si>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</si>
  <si>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</si>
  <si>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</si>
  <si>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</si>
  <si>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</si>
  <si>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</si>
  <si>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</si>
  <si>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</si>
  <si>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</si>
  <si>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</si>
  <si>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</si>
  <si>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</si>
  <si>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</si>
  <si>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</si>
  <si>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</si>
  <si>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</si>
  <si>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</si>
  <si>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</si>
  <si>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</si>
  <si>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نوبت کاري 1</t>
  </si>
  <si>
    <t>مبلغ جمع حقوق و مزايا</t>
  </si>
  <si>
    <t>مبلغ جمع كسور</t>
  </si>
  <si>
    <t>مبلغ خالص پرداختي</t>
  </si>
  <si>
    <t>جمع هزینه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</si>
</sst>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43"/>
  <sheetViews>
    <sheetView rightToLeft="1" tabSelected="1" topLeftCell="AR1118" workbookViewId="0">
      <selection activeCell="AT1143" sqref="AT1143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17.42578125" style="1" bestFit="1" customWidth="1"/>
    <col min="5" max="5" width="28.85546875" style="1" bestFit="1" customWidth="1"/>
    <col min="6" max="6" width="16.7109375" style="1" bestFit="1" customWidth="1"/>
    <col min="7" max="7" width="18" style="1" bestFit="1" customWidth="1"/>
    <col min="8" max="8" width="19.28515625" style="1" bestFit="1" customWidth="1"/>
    <col min="9" max="9" width="22.7109375" style="1" bestFit="1" customWidth="1"/>
    <col min="10" max="10" width="19.5703125" style="1" bestFit="1" customWidth="1"/>
    <col min="11" max="11" width="19" style="1" bestFit="1" customWidth="1"/>
    <col min="12" max="12" width="19.85546875" style="1" bestFit="1" customWidth="1"/>
    <col min="13" max="13" width="25.140625" style="1" bestFit="1" customWidth="1"/>
    <col min="14" max="14" width="19.5703125" style="1" bestFit="1" customWidth="1"/>
    <col min="15" max="15" width="18.42578125" style="1" bestFit="1" customWidth="1"/>
    <col min="16" max="16" width="20.28515625" style="1" bestFit="1" customWidth="1"/>
    <col min="17" max="17" width="27.7109375" style="1" bestFit="1" customWidth="1"/>
    <col min="18" max="18" width="20.140625" style="1" bestFit="1" customWidth="1"/>
    <col min="19" max="19" width="22.85546875" style="1" bestFit="1" customWidth="1"/>
    <col min="20" max="20" width="21.42578125" style="1" bestFit="1" customWidth="1"/>
    <col min="21" max="21" width="29.42578125" style="1" bestFit="1" customWidth="1"/>
    <col min="22" max="22" width="19.7109375" style="1" bestFit="1" customWidth="1"/>
    <col min="23" max="23" width="9" style="1" bestFit="1" customWidth="1"/>
    <col min="24" max="24" width="15" style="1" bestFit="1" customWidth="1"/>
    <col min="25" max="25" width="15.140625" style="1" bestFit="1" customWidth="1"/>
    <col min="26" max="26" width="19.140625" style="1" bestFit="1" customWidth="1"/>
    <col min="27" max="27" width="24.42578125" style="1" bestFit="1" customWidth="1"/>
    <col min="28" max="28" width="16.42578125" style="1" bestFit="1" customWidth="1"/>
    <col min="29" max="29" width="20.42578125" style="1" bestFit="1" customWidth="1"/>
    <col min="30" max="30" width="18.7109375" style="1" bestFit="1" customWidth="1"/>
    <col min="31" max="31" width="27.42578125" style="1" bestFit="1" customWidth="1"/>
    <col min="32" max="32" width="17.85546875" style="1" bestFit="1" customWidth="1"/>
    <col min="33" max="33" width="26.28515625" style="1" bestFit="1" customWidth="1"/>
    <col min="34" max="34" width="11.28515625" style="1" bestFit="1" customWidth="1"/>
    <col min="35" max="35" width="28.42578125" style="1" bestFit="1" customWidth="1"/>
    <col min="36" max="36" width="17.85546875" style="1" bestFit="1" customWidth="1"/>
    <col min="37" max="37" width="22.140625" style="1" bestFit="1" customWidth="1"/>
    <col min="38" max="38" width="23.7109375" style="1" bestFit="1" customWidth="1"/>
    <col min="39" max="39" width="12.42578125" style="1" bestFit="1" customWidth="1"/>
    <col min="40" max="40" width="18.7109375" style="1" bestFit="1" customWidth="1"/>
    <col min="41" max="41" width="24.5703125" style="1" bestFit="1" customWidth="1"/>
    <col min="42" max="42" width="17.140625" style="1" bestFit="1" customWidth="1"/>
    <col min="43" max="43" width="21.85546875" style="1" bestFit="1" customWidth="1"/>
    <col min="44" max="44" width="40.7109375" style="1" bestFit="1" customWidth="1"/>
    <col min="45" max="45" width="18.28515625" style="1" bestFit="1" customWidth="1"/>
    <col min="46" max="46" width="13.7109375" style="1" bestFit="1" customWidth="1"/>
    <col min="47" max="16384" width="9.140625" style="1"/>
  </cols>
  <sheetData>
    <row r="1" spans="1:4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44</v>
      </c>
      <c r="AR1" s="2" t="s">
        <v>5</v>
      </c>
      <c r="AS1" s="2" t="s">
        <v>6</v>
      </c>
      <c r="AT1" s="1" t="s">
        <v>45</v>
      </c>
    </row>
    <row r="2" spans="1:46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18543993</v>
      </c>
      <c r="G2" s="1">
        <v>6083478</v>
      </c>
      <c r="H2" s="1">
        <v>0</v>
      </c>
      <c r="I2" s="1">
        <v>27246955</v>
      </c>
      <c r="J2" s="1">
        <v>0</v>
      </c>
      <c r="K2" s="1">
        <v>4620000</v>
      </c>
      <c r="L2" s="1">
        <v>0</v>
      </c>
      <c r="M2" s="1">
        <v>1000000</v>
      </c>
      <c r="N2" s="1">
        <v>3611314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26745837</v>
      </c>
      <c r="W2" s="1">
        <v>1900000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2579510</v>
      </c>
      <c r="AF2" s="1">
        <v>3033762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8460793</v>
      </c>
      <c r="AM2" s="1">
        <v>0</v>
      </c>
      <c r="AN2" s="1">
        <v>0</v>
      </c>
      <c r="AO2" s="1">
        <v>103825642</v>
      </c>
      <c r="AP2" s="1">
        <v>46213792</v>
      </c>
      <c r="AQ2" s="1">
        <v>57611850</v>
      </c>
      <c r="AR2" s="1">
        <v>18670187</v>
      </c>
      <c r="AS2" s="1">
        <v>2800528</v>
      </c>
      <c r="AT2" s="1">
        <f>AO2+AR2+AS2</f>
        <v>125296357</v>
      </c>
    </row>
    <row r="3" spans="1:46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10038085</v>
      </c>
      <c r="G3" s="1">
        <v>9282121</v>
      </c>
      <c r="H3" s="1">
        <v>0</v>
      </c>
      <c r="I3" s="1">
        <v>9435800</v>
      </c>
      <c r="J3" s="1">
        <v>0</v>
      </c>
      <c r="K3" s="1">
        <v>0</v>
      </c>
      <c r="L3" s="1">
        <v>7462913</v>
      </c>
      <c r="M3" s="1">
        <v>1000000</v>
      </c>
      <c r="N3" s="1">
        <v>5353645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11556528</v>
      </c>
      <c r="W3" s="1">
        <v>1900000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56029092</v>
      </c>
      <c r="AP3" s="1">
        <v>8452607</v>
      </c>
      <c r="AQ3" s="1">
        <v>47576485</v>
      </c>
      <c r="AR3" s="1">
        <v>11205818</v>
      </c>
      <c r="AS3" s="1">
        <v>1680873</v>
      </c>
      <c r="AT3" s="1">
        <f t="shared" ref="AT3:AT66" si="2">AO3+AR3+AS3</f>
        <v>68915783</v>
      </c>
    </row>
    <row r="4" spans="1:46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7599785</v>
      </c>
      <c r="G4" s="1">
        <v>5679430</v>
      </c>
      <c r="H4" s="1">
        <v>0</v>
      </c>
      <c r="I4" s="1">
        <v>7371792</v>
      </c>
      <c r="J4" s="1">
        <v>0</v>
      </c>
      <c r="K4" s="1">
        <v>0</v>
      </c>
      <c r="L4" s="1">
        <v>7672721</v>
      </c>
      <c r="M4" s="1">
        <v>1000000</v>
      </c>
      <c r="N4" s="1">
        <v>3999887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6891498</v>
      </c>
      <c r="W4" s="1">
        <v>1900000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3996628</v>
      </c>
      <c r="AE4" s="1">
        <v>0</v>
      </c>
      <c r="AF4" s="1">
        <v>1516881</v>
      </c>
      <c r="AG4" s="1">
        <v>0</v>
      </c>
      <c r="AH4" s="1">
        <v>0</v>
      </c>
      <c r="AI4" s="1">
        <v>2500000</v>
      </c>
      <c r="AJ4" s="1">
        <v>3029029</v>
      </c>
      <c r="AK4" s="1">
        <v>0</v>
      </c>
      <c r="AL4" s="1">
        <v>0</v>
      </c>
      <c r="AM4" s="1">
        <v>0</v>
      </c>
      <c r="AN4" s="1">
        <v>0</v>
      </c>
      <c r="AO4" s="1">
        <v>53157651</v>
      </c>
      <c r="AP4" s="1">
        <v>9762746</v>
      </c>
      <c r="AQ4" s="1">
        <v>43394905</v>
      </c>
      <c r="AR4" s="1">
        <v>9828154</v>
      </c>
      <c r="AS4" s="1">
        <v>1474223</v>
      </c>
      <c r="AT4" s="1">
        <f t="shared" si="2"/>
        <v>64460028</v>
      </c>
    </row>
    <row r="5" spans="1:46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7915155</v>
      </c>
      <c r="G5" s="1">
        <v>2491386</v>
      </c>
      <c r="H5" s="1">
        <v>0</v>
      </c>
      <c r="I5" s="1">
        <v>6648730</v>
      </c>
      <c r="J5" s="1">
        <v>0</v>
      </c>
      <c r="K5" s="1">
        <v>0</v>
      </c>
      <c r="L5" s="1">
        <v>7653622</v>
      </c>
      <c r="M5" s="1">
        <v>1000000</v>
      </c>
      <c r="N5" s="1">
        <v>3957578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13054358</v>
      </c>
      <c r="W5" s="1">
        <v>1900000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3926263</v>
      </c>
      <c r="AE5" s="1">
        <v>0</v>
      </c>
      <c r="AF5" s="1">
        <v>3033762</v>
      </c>
      <c r="AG5" s="1">
        <v>0</v>
      </c>
      <c r="AH5" s="1">
        <v>0</v>
      </c>
      <c r="AI5" s="1">
        <v>0</v>
      </c>
      <c r="AJ5" s="1">
        <v>3543305</v>
      </c>
      <c r="AK5" s="1">
        <v>0</v>
      </c>
      <c r="AL5" s="1">
        <v>0</v>
      </c>
      <c r="AM5" s="1">
        <v>0</v>
      </c>
      <c r="AN5" s="1">
        <v>0</v>
      </c>
      <c r="AO5" s="1">
        <v>55124159</v>
      </c>
      <c r="AP5" s="1">
        <v>8723075</v>
      </c>
      <c r="AQ5" s="1">
        <v>46401084</v>
      </c>
      <c r="AR5" s="1">
        <v>10418079</v>
      </c>
      <c r="AS5" s="1">
        <v>1562712</v>
      </c>
      <c r="AT5" s="1">
        <f t="shared" si="2"/>
        <v>67104950</v>
      </c>
    </row>
    <row r="6" spans="1:46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8199605</v>
      </c>
      <c r="G6" s="1">
        <v>1175754</v>
      </c>
      <c r="H6" s="1">
        <v>0</v>
      </c>
      <c r="I6" s="1">
        <v>7707629</v>
      </c>
      <c r="J6" s="1">
        <v>0</v>
      </c>
      <c r="K6" s="1">
        <v>0</v>
      </c>
      <c r="L6" s="1">
        <v>7628143</v>
      </c>
      <c r="M6" s="1">
        <v>1000000</v>
      </c>
      <c r="N6" s="1">
        <v>4315582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13804313</v>
      </c>
      <c r="W6" s="1">
        <v>1900000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4177644</v>
      </c>
      <c r="AE6" s="1">
        <v>0</v>
      </c>
      <c r="AF6" s="1">
        <v>4550643</v>
      </c>
      <c r="AG6" s="1">
        <v>0</v>
      </c>
      <c r="AH6" s="1">
        <v>0</v>
      </c>
      <c r="AI6" s="1">
        <v>0</v>
      </c>
      <c r="AJ6" s="1">
        <v>3762412</v>
      </c>
      <c r="AK6" s="1">
        <v>0</v>
      </c>
      <c r="AL6" s="1">
        <v>0</v>
      </c>
      <c r="AM6" s="1">
        <v>0</v>
      </c>
      <c r="AN6" s="1">
        <v>0</v>
      </c>
      <c r="AO6" s="1">
        <v>58221725</v>
      </c>
      <c r="AP6" s="1">
        <v>15740695</v>
      </c>
      <c r="AQ6" s="1">
        <v>42481030</v>
      </c>
      <c r="AR6" s="1">
        <v>10734216</v>
      </c>
      <c r="AS6" s="1">
        <v>1610132</v>
      </c>
      <c r="AT6" s="1">
        <f t="shared" si="2"/>
        <v>70566073</v>
      </c>
    </row>
    <row r="7" spans="1:46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7719472</v>
      </c>
      <c r="G7" s="1">
        <v>6117712</v>
      </c>
      <c r="H7" s="1">
        <v>0</v>
      </c>
      <c r="I7" s="1">
        <v>7024720</v>
      </c>
      <c r="J7" s="1">
        <v>0</v>
      </c>
      <c r="K7" s="1">
        <v>0</v>
      </c>
      <c r="L7" s="1">
        <v>7628143</v>
      </c>
      <c r="M7" s="1">
        <v>1000000</v>
      </c>
      <c r="N7" s="1">
        <v>4117051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6855507</v>
      </c>
      <c r="W7" s="1">
        <v>1900000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3973408</v>
      </c>
      <c r="AE7" s="1">
        <v>0</v>
      </c>
      <c r="AF7" s="1">
        <v>3033762</v>
      </c>
      <c r="AG7" s="1">
        <v>0</v>
      </c>
      <c r="AH7" s="1">
        <v>0</v>
      </c>
      <c r="AI7" s="1">
        <v>0</v>
      </c>
      <c r="AJ7" s="1">
        <v>3011797</v>
      </c>
      <c r="AK7" s="1">
        <v>0</v>
      </c>
      <c r="AL7" s="1">
        <v>0</v>
      </c>
      <c r="AM7" s="1">
        <v>0</v>
      </c>
      <c r="AN7" s="1">
        <v>0</v>
      </c>
      <c r="AO7" s="1">
        <v>52381572</v>
      </c>
      <c r="AP7" s="1">
        <v>11084645</v>
      </c>
      <c r="AQ7" s="1">
        <v>41296927</v>
      </c>
      <c r="AR7" s="1">
        <v>9869562</v>
      </c>
      <c r="AS7" s="1">
        <v>1480434</v>
      </c>
      <c r="AT7" s="1">
        <f t="shared" si="2"/>
        <v>63731568</v>
      </c>
    </row>
    <row r="8" spans="1:46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11028777</v>
      </c>
      <c r="G8" s="1">
        <v>12032492</v>
      </c>
      <c r="H8" s="1">
        <v>0</v>
      </c>
      <c r="I8" s="1">
        <v>9264173</v>
      </c>
      <c r="J8" s="1">
        <v>0</v>
      </c>
      <c r="K8" s="1">
        <v>0</v>
      </c>
      <c r="L8" s="1">
        <v>7628143</v>
      </c>
      <c r="M8" s="1">
        <v>1000000</v>
      </c>
      <c r="N8" s="1">
        <v>5692272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13478657</v>
      </c>
      <c r="W8" s="1">
        <v>1900000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1627293</v>
      </c>
      <c r="AD8" s="1">
        <v>0</v>
      </c>
      <c r="AE8" s="1">
        <v>0</v>
      </c>
      <c r="AF8" s="1">
        <v>4550643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68202450</v>
      </c>
      <c r="AP8" s="1">
        <v>20071999</v>
      </c>
      <c r="AQ8" s="1">
        <v>48130451</v>
      </c>
      <c r="AR8" s="1">
        <v>12730361</v>
      </c>
      <c r="AS8" s="1">
        <v>1909554</v>
      </c>
      <c r="AT8" s="1">
        <f t="shared" si="2"/>
        <v>82842365</v>
      </c>
    </row>
    <row r="9" spans="1:46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7936798</v>
      </c>
      <c r="G9" s="1">
        <v>2084144</v>
      </c>
      <c r="H9" s="1">
        <v>0</v>
      </c>
      <c r="I9" s="1">
        <v>7301854</v>
      </c>
      <c r="J9" s="1">
        <v>0</v>
      </c>
      <c r="K9" s="1">
        <v>0</v>
      </c>
      <c r="L9" s="1">
        <v>7628143</v>
      </c>
      <c r="M9" s="1">
        <v>1000000</v>
      </c>
      <c r="N9" s="1">
        <v>4204926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9847397</v>
      </c>
      <c r="W9" s="1">
        <v>1900000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1516881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43420143</v>
      </c>
      <c r="AP9" s="1">
        <v>9862548</v>
      </c>
      <c r="AQ9" s="1">
        <v>33557595</v>
      </c>
      <c r="AR9" s="1">
        <v>8380652</v>
      </c>
      <c r="AS9" s="1">
        <v>1257098</v>
      </c>
      <c r="AT9" s="1">
        <f t="shared" si="2"/>
        <v>53057893</v>
      </c>
    </row>
    <row r="10" spans="1:46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8391382</v>
      </c>
      <c r="G10" s="1">
        <v>10147828</v>
      </c>
      <c r="H10" s="1">
        <v>0</v>
      </c>
      <c r="I10" s="1">
        <v>8139641</v>
      </c>
      <c r="J10" s="1">
        <v>0</v>
      </c>
      <c r="K10" s="1">
        <v>0</v>
      </c>
      <c r="L10" s="1">
        <v>7628143</v>
      </c>
      <c r="M10" s="1">
        <v>1000000</v>
      </c>
      <c r="N10" s="1">
        <v>4445766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7347372</v>
      </c>
      <c r="W10" s="1">
        <v>1900000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4290740</v>
      </c>
      <c r="AE10" s="1">
        <v>0</v>
      </c>
      <c r="AF10" s="1">
        <v>6067524</v>
      </c>
      <c r="AG10" s="1">
        <v>0</v>
      </c>
      <c r="AH10" s="1">
        <v>0</v>
      </c>
      <c r="AI10" s="1">
        <v>0</v>
      </c>
      <c r="AJ10" s="1">
        <v>4870957</v>
      </c>
      <c r="AK10" s="1">
        <v>0</v>
      </c>
      <c r="AL10" s="1">
        <v>0</v>
      </c>
      <c r="AM10" s="1">
        <v>0</v>
      </c>
      <c r="AN10" s="1">
        <v>0</v>
      </c>
      <c r="AO10" s="1">
        <v>64229353</v>
      </c>
      <c r="AP10" s="1">
        <v>10095647</v>
      </c>
      <c r="AQ10" s="1">
        <v>54133706</v>
      </c>
      <c r="AR10" s="1">
        <v>11632366</v>
      </c>
      <c r="AS10" s="1">
        <v>1744855</v>
      </c>
      <c r="AT10" s="1">
        <f t="shared" si="2"/>
        <v>77606574</v>
      </c>
    </row>
    <row r="11" spans="1:46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7531764</v>
      </c>
      <c r="G11" s="1">
        <v>5042006</v>
      </c>
      <c r="H11" s="1">
        <v>0</v>
      </c>
      <c r="I11" s="1">
        <v>7004541</v>
      </c>
      <c r="J11" s="1">
        <v>0</v>
      </c>
      <c r="K11" s="1">
        <v>0</v>
      </c>
      <c r="L11" s="1">
        <v>7672721</v>
      </c>
      <c r="M11" s="1">
        <v>1000000</v>
      </c>
      <c r="N11" s="1">
        <v>3964086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9553103</v>
      </c>
      <c r="W11" s="1">
        <v>1900000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3033762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46701983</v>
      </c>
      <c r="AP11" s="1">
        <v>8698659</v>
      </c>
      <c r="AQ11" s="1">
        <v>38003324</v>
      </c>
      <c r="AR11" s="1">
        <v>8733644</v>
      </c>
      <c r="AS11" s="1">
        <v>1310047</v>
      </c>
      <c r="AT11" s="1">
        <f t="shared" si="2"/>
        <v>56745674</v>
      </c>
    </row>
    <row r="12" spans="1:46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13708785</v>
      </c>
      <c r="G12" s="1">
        <v>11665453</v>
      </c>
      <c r="H12" s="1">
        <v>0</v>
      </c>
      <c r="I12" s="1">
        <v>12612084</v>
      </c>
      <c r="J12" s="1">
        <v>0</v>
      </c>
      <c r="K12" s="1">
        <v>0</v>
      </c>
      <c r="L12" s="1">
        <v>27061908</v>
      </c>
      <c r="M12" s="1">
        <v>4000000</v>
      </c>
      <c r="N12" s="1">
        <v>7121439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23519133</v>
      </c>
      <c r="W12" s="1">
        <v>5900000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9075633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10577464</v>
      </c>
      <c r="AK12" s="1">
        <v>0</v>
      </c>
      <c r="AL12" s="1">
        <v>0</v>
      </c>
      <c r="AM12" s="1">
        <v>0</v>
      </c>
      <c r="AN12" s="1">
        <v>0</v>
      </c>
      <c r="AO12" s="1">
        <v>125241899</v>
      </c>
      <c r="AP12" s="1">
        <v>22480851</v>
      </c>
      <c r="AQ12" s="1">
        <v>102761048</v>
      </c>
      <c r="AR12" s="1">
        <v>25048378</v>
      </c>
      <c r="AS12" s="1">
        <v>3757257</v>
      </c>
      <c r="AT12" s="1">
        <f t="shared" si="2"/>
        <v>154047534</v>
      </c>
    </row>
    <row r="13" spans="1:46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9675748</v>
      </c>
      <c r="G13" s="1">
        <v>1491359</v>
      </c>
      <c r="H13" s="1">
        <v>0</v>
      </c>
      <c r="I13" s="1">
        <v>8611416</v>
      </c>
      <c r="J13" s="1">
        <v>0</v>
      </c>
      <c r="K13" s="1">
        <v>0</v>
      </c>
      <c r="L13" s="1">
        <v>7462913</v>
      </c>
      <c r="M13" s="1">
        <v>1000000</v>
      </c>
      <c r="N13" s="1">
        <v>5160398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11358893</v>
      </c>
      <c r="W13" s="1">
        <v>1900000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3033762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49694489</v>
      </c>
      <c r="AP13" s="1">
        <v>7588039</v>
      </c>
      <c r="AQ13" s="1">
        <v>42106450</v>
      </c>
      <c r="AR13" s="1">
        <v>9332145</v>
      </c>
      <c r="AS13" s="1">
        <v>1399822</v>
      </c>
      <c r="AT13" s="1">
        <f t="shared" si="2"/>
        <v>60426456</v>
      </c>
    </row>
    <row r="14" spans="1:46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9803236</v>
      </c>
      <c r="G14" s="1">
        <v>5061984</v>
      </c>
      <c r="H14" s="1">
        <v>0</v>
      </c>
      <c r="I14" s="1">
        <v>6666201</v>
      </c>
      <c r="J14" s="1">
        <v>0</v>
      </c>
      <c r="K14" s="1">
        <v>0</v>
      </c>
      <c r="L14" s="1">
        <v>7462913</v>
      </c>
      <c r="M14" s="1">
        <v>1000000</v>
      </c>
      <c r="N14" s="1">
        <v>5228392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10692339</v>
      </c>
      <c r="W14" s="1">
        <v>1900000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4374111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5399450</v>
      </c>
      <c r="AK14" s="1">
        <v>0</v>
      </c>
      <c r="AL14" s="1">
        <v>0</v>
      </c>
      <c r="AM14" s="1">
        <v>0</v>
      </c>
      <c r="AN14" s="1">
        <v>0</v>
      </c>
      <c r="AO14" s="1">
        <v>57588626</v>
      </c>
      <c r="AP14" s="1">
        <v>15164299</v>
      </c>
      <c r="AQ14" s="1">
        <v>42424327</v>
      </c>
      <c r="AR14" s="1">
        <v>11517725</v>
      </c>
      <c r="AS14" s="1">
        <v>1727659</v>
      </c>
      <c r="AT14" s="1">
        <f t="shared" si="2"/>
        <v>70834010</v>
      </c>
    </row>
    <row r="15" spans="1:46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7882609</v>
      </c>
      <c r="G15" s="1">
        <v>10634529</v>
      </c>
      <c r="H15" s="1">
        <v>0</v>
      </c>
      <c r="I15" s="1">
        <v>7488479</v>
      </c>
      <c r="J15" s="1">
        <v>0</v>
      </c>
      <c r="K15" s="1">
        <v>0</v>
      </c>
      <c r="L15" s="1">
        <v>7672721</v>
      </c>
      <c r="M15" s="1">
        <v>1000000</v>
      </c>
      <c r="N15" s="1">
        <v>3941305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7270087</v>
      </c>
      <c r="W15" s="1">
        <v>1900000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1627293</v>
      </c>
      <c r="AD15" s="1">
        <v>0</v>
      </c>
      <c r="AE15" s="1">
        <v>0</v>
      </c>
      <c r="AF15" s="1">
        <v>1516881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50933904</v>
      </c>
      <c r="AP15" s="1">
        <v>6118598</v>
      </c>
      <c r="AQ15" s="1">
        <v>44815306</v>
      </c>
      <c r="AR15" s="1">
        <v>9883405</v>
      </c>
      <c r="AS15" s="1">
        <v>1482511</v>
      </c>
      <c r="AT15" s="1">
        <f t="shared" si="2"/>
        <v>62299820</v>
      </c>
    </row>
    <row r="16" spans="1:46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6307389</v>
      </c>
      <c r="G16" s="1">
        <v>0</v>
      </c>
      <c r="H16" s="1">
        <v>0</v>
      </c>
      <c r="I16" s="1">
        <v>5424354</v>
      </c>
      <c r="J16" s="1">
        <v>0</v>
      </c>
      <c r="K16" s="1">
        <v>0</v>
      </c>
      <c r="L16" s="1">
        <v>7672721</v>
      </c>
      <c r="M16" s="1">
        <v>1000000</v>
      </c>
      <c r="N16" s="1">
        <v>2956588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6593008</v>
      </c>
      <c r="W16" s="1">
        <v>1900000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3033762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34887822</v>
      </c>
      <c r="AP16" s="1">
        <v>15991029</v>
      </c>
      <c r="AQ16" s="1">
        <v>18896793</v>
      </c>
      <c r="AR16" s="1">
        <v>6370812</v>
      </c>
      <c r="AS16" s="1">
        <v>955622</v>
      </c>
      <c r="AT16" s="1">
        <f t="shared" si="2"/>
        <v>42214256</v>
      </c>
    </row>
    <row r="17" spans="1:46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8397485</v>
      </c>
      <c r="G17" s="1">
        <v>3718719</v>
      </c>
      <c r="H17" s="1">
        <v>0</v>
      </c>
      <c r="I17" s="1">
        <v>7557736</v>
      </c>
      <c r="J17" s="1">
        <v>0</v>
      </c>
      <c r="K17" s="1">
        <v>0</v>
      </c>
      <c r="L17" s="1">
        <v>7628143</v>
      </c>
      <c r="M17" s="1">
        <v>1000000</v>
      </c>
      <c r="N17" s="1">
        <v>4419730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7129944</v>
      </c>
      <c r="W17" s="1">
        <v>1900000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3033762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44785519</v>
      </c>
      <c r="AP17" s="1">
        <v>4208912</v>
      </c>
      <c r="AQ17" s="1">
        <v>40576607</v>
      </c>
      <c r="AR17" s="1">
        <v>8350351</v>
      </c>
      <c r="AS17" s="1">
        <v>1252553</v>
      </c>
      <c r="AT17" s="1">
        <f t="shared" si="2"/>
        <v>54388423</v>
      </c>
    </row>
    <row r="18" spans="1:46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10608431</v>
      </c>
      <c r="G18" s="1">
        <v>12126105</v>
      </c>
      <c r="H18" s="1">
        <v>0</v>
      </c>
      <c r="I18" s="1">
        <v>8911082</v>
      </c>
      <c r="J18" s="1">
        <v>0</v>
      </c>
      <c r="K18" s="1">
        <v>0</v>
      </c>
      <c r="L18" s="1">
        <v>7462913</v>
      </c>
      <c r="M18" s="1">
        <v>1000000</v>
      </c>
      <c r="N18" s="1">
        <v>5475318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12197322</v>
      </c>
      <c r="W18" s="1">
        <v>1900000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1789320</v>
      </c>
      <c r="AD18" s="1">
        <v>0</v>
      </c>
      <c r="AE18" s="1">
        <v>0</v>
      </c>
      <c r="AF18" s="1">
        <v>1516881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62987372</v>
      </c>
      <c r="AP18" s="1">
        <v>9398547</v>
      </c>
      <c r="AQ18" s="1">
        <v>53588825</v>
      </c>
      <c r="AR18" s="1">
        <v>12294098</v>
      </c>
      <c r="AS18" s="1">
        <v>1844115</v>
      </c>
      <c r="AT18" s="1">
        <f t="shared" si="2"/>
        <v>77125585</v>
      </c>
    </row>
    <row r="19" spans="1:46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8885022</v>
      </c>
      <c r="G19" s="1">
        <v>9777241</v>
      </c>
      <c r="H19" s="1">
        <v>0</v>
      </c>
      <c r="I19" s="1">
        <v>8707321</v>
      </c>
      <c r="J19" s="1">
        <v>0</v>
      </c>
      <c r="K19" s="1">
        <v>0</v>
      </c>
      <c r="L19" s="1">
        <v>7628143</v>
      </c>
      <c r="M19" s="1">
        <v>1000000</v>
      </c>
      <c r="N19" s="1">
        <v>4738679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10793034</v>
      </c>
      <c r="W19" s="1">
        <v>1900000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3033762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56463202</v>
      </c>
      <c r="AP19" s="1">
        <v>12648556</v>
      </c>
      <c r="AQ19" s="1">
        <v>43814646</v>
      </c>
      <c r="AR19" s="1">
        <v>10685888</v>
      </c>
      <c r="AS19" s="1">
        <v>1602883</v>
      </c>
      <c r="AT19" s="1">
        <f t="shared" si="2"/>
        <v>68751973</v>
      </c>
    </row>
    <row r="20" spans="1:46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9282122</v>
      </c>
      <c r="G20" s="1">
        <v>10916526</v>
      </c>
      <c r="H20" s="1">
        <v>0</v>
      </c>
      <c r="I20" s="1">
        <v>8446731</v>
      </c>
      <c r="J20" s="1">
        <v>0</v>
      </c>
      <c r="K20" s="1">
        <v>0</v>
      </c>
      <c r="L20" s="1">
        <v>7628143</v>
      </c>
      <c r="M20" s="1">
        <v>1000000</v>
      </c>
      <c r="N20" s="1">
        <v>4917681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8401014</v>
      </c>
      <c r="W20" s="1">
        <v>1900000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1516881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54009098</v>
      </c>
      <c r="AP20" s="1">
        <v>19872548</v>
      </c>
      <c r="AQ20" s="1">
        <v>34136550</v>
      </c>
      <c r="AR20" s="1">
        <v>10498443</v>
      </c>
      <c r="AS20" s="1">
        <v>1574767</v>
      </c>
      <c r="AT20" s="1">
        <f t="shared" si="2"/>
        <v>66082308</v>
      </c>
    </row>
    <row r="21" spans="1:46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16313895</v>
      </c>
      <c r="G21" s="1">
        <v>6485806</v>
      </c>
      <c r="H21" s="1">
        <v>0</v>
      </c>
      <c r="I21" s="1">
        <v>13191502</v>
      </c>
      <c r="J21" s="1">
        <v>0</v>
      </c>
      <c r="K21" s="1">
        <v>4620000</v>
      </c>
      <c r="L21" s="1">
        <v>0</v>
      </c>
      <c r="M21" s="1">
        <v>1000000</v>
      </c>
      <c r="N21" s="1">
        <v>3187310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9883134</v>
      </c>
      <c r="W21" s="1">
        <v>1900000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2276650</v>
      </c>
      <c r="AF21" s="1">
        <v>1516881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6210364</v>
      </c>
      <c r="AM21" s="1">
        <v>0</v>
      </c>
      <c r="AN21" s="1">
        <v>0</v>
      </c>
      <c r="AO21" s="1">
        <v>66585542</v>
      </c>
      <c r="AP21" s="1">
        <v>15182691</v>
      </c>
      <c r="AQ21" s="1">
        <v>51402851</v>
      </c>
      <c r="AR21" s="1">
        <v>13013732</v>
      </c>
      <c r="AS21" s="1">
        <v>1952060</v>
      </c>
      <c r="AT21" s="1">
        <f t="shared" si="2"/>
        <v>81551334</v>
      </c>
    </row>
    <row r="22" spans="1:46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9112112</v>
      </c>
      <c r="G22" s="1">
        <v>2133057</v>
      </c>
      <c r="H22" s="1">
        <v>0</v>
      </c>
      <c r="I22" s="1">
        <v>7471932</v>
      </c>
      <c r="J22" s="1">
        <v>0</v>
      </c>
      <c r="K22" s="1">
        <v>0</v>
      </c>
      <c r="L22" s="1">
        <v>7462913</v>
      </c>
      <c r="M22" s="1">
        <v>1000000</v>
      </c>
      <c r="N22" s="1">
        <v>4859794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14276779</v>
      </c>
      <c r="W22" s="1">
        <v>1900000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4336013</v>
      </c>
      <c r="AE22" s="1">
        <v>0</v>
      </c>
      <c r="AF22" s="1">
        <v>6573151</v>
      </c>
      <c r="AG22" s="1">
        <v>0</v>
      </c>
      <c r="AH22" s="1">
        <v>0</v>
      </c>
      <c r="AI22" s="1">
        <v>0</v>
      </c>
      <c r="AJ22" s="1">
        <v>3900448</v>
      </c>
      <c r="AK22" s="1">
        <v>0</v>
      </c>
      <c r="AL22" s="1">
        <v>0</v>
      </c>
      <c r="AM22" s="1">
        <v>0</v>
      </c>
      <c r="AN22" s="1">
        <v>0</v>
      </c>
      <c r="AO22" s="1">
        <v>63026199</v>
      </c>
      <c r="AP22" s="1">
        <v>10337325</v>
      </c>
      <c r="AQ22" s="1">
        <v>52688874</v>
      </c>
      <c r="AR22" s="1">
        <v>11290610</v>
      </c>
      <c r="AS22" s="1">
        <v>1693591</v>
      </c>
      <c r="AT22" s="1">
        <f t="shared" si="2"/>
        <v>76010400</v>
      </c>
    </row>
    <row r="23" spans="1:46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8618146</v>
      </c>
      <c r="G23" s="1">
        <v>5564040</v>
      </c>
      <c r="H23" s="1">
        <v>0</v>
      </c>
      <c r="I23" s="1">
        <v>8359602</v>
      </c>
      <c r="J23" s="1">
        <v>0</v>
      </c>
      <c r="K23" s="1">
        <v>0</v>
      </c>
      <c r="L23" s="1">
        <v>7672721</v>
      </c>
      <c r="M23" s="1">
        <v>1000000</v>
      </c>
      <c r="N23" s="1">
        <v>4309072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10465658</v>
      </c>
      <c r="W23" s="1">
        <v>1900000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3033762</v>
      </c>
      <c r="AG23" s="1">
        <v>0</v>
      </c>
      <c r="AH23" s="1">
        <v>0</v>
      </c>
      <c r="AI23" s="1">
        <v>0</v>
      </c>
      <c r="AJ23" s="1">
        <v>5341479</v>
      </c>
      <c r="AK23" s="1">
        <v>0</v>
      </c>
      <c r="AL23" s="1">
        <v>0</v>
      </c>
      <c r="AM23" s="1">
        <v>0</v>
      </c>
      <c r="AN23" s="1">
        <v>2895954</v>
      </c>
      <c r="AO23" s="1">
        <v>59160434</v>
      </c>
      <c r="AP23" s="1">
        <v>9233597</v>
      </c>
      <c r="AQ23" s="1">
        <v>49926837</v>
      </c>
      <c r="AR23" s="1">
        <v>11225334</v>
      </c>
      <c r="AS23" s="1">
        <v>1683800</v>
      </c>
      <c r="AT23" s="1">
        <f t="shared" si="2"/>
        <v>72069568</v>
      </c>
    </row>
    <row r="24" spans="1:46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15523064</v>
      </c>
      <c r="G24" s="1">
        <v>6043100</v>
      </c>
      <c r="H24" s="1">
        <v>0</v>
      </c>
      <c r="I24" s="1">
        <v>13950694</v>
      </c>
      <c r="J24" s="1">
        <v>0</v>
      </c>
      <c r="K24" s="1">
        <v>4620000</v>
      </c>
      <c r="L24" s="1">
        <v>0</v>
      </c>
      <c r="M24" s="1">
        <v>1000000</v>
      </c>
      <c r="N24" s="1">
        <v>2910520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16520629</v>
      </c>
      <c r="W24" s="1">
        <v>1900000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2078943</v>
      </c>
      <c r="AF24" s="1">
        <v>3033762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10187126</v>
      </c>
      <c r="AM24" s="1">
        <v>0</v>
      </c>
      <c r="AN24" s="1">
        <v>0</v>
      </c>
      <c r="AO24" s="1">
        <v>77767838</v>
      </c>
      <c r="AP24" s="1">
        <v>15185784</v>
      </c>
      <c r="AQ24" s="1">
        <v>62582054</v>
      </c>
      <c r="AR24" s="1">
        <v>14946815</v>
      </c>
      <c r="AS24" s="1">
        <v>2242022</v>
      </c>
      <c r="AT24" s="1">
        <f t="shared" si="2"/>
        <v>94956675</v>
      </c>
    </row>
    <row r="25" spans="1:46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15608500</v>
      </c>
      <c r="G25" s="1">
        <v>802358</v>
      </c>
      <c r="H25" s="1">
        <v>0</v>
      </c>
      <c r="I25" s="1">
        <v>13906797</v>
      </c>
      <c r="J25" s="1">
        <v>0</v>
      </c>
      <c r="K25" s="1">
        <v>4620000</v>
      </c>
      <c r="L25" s="1">
        <v>0</v>
      </c>
      <c r="M25" s="1">
        <v>1000000</v>
      </c>
      <c r="N25" s="1">
        <v>2940422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1606000</v>
      </c>
      <c r="U25" s="1">
        <v>0</v>
      </c>
      <c r="V25" s="1">
        <v>14739607</v>
      </c>
      <c r="W25" s="1">
        <v>1900000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2100302</v>
      </c>
      <c r="AF25" s="1">
        <v>1516881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7557143</v>
      </c>
      <c r="AM25" s="1">
        <v>0</v>
      </c>
      <c r="AN25" s="1">
        <v>0</v>
      </c>
      <c r="AO25" s="1">
        <v>68298010</v>
      </c>
      <c r="AP25" s="1">
        <v>15176752</v>
      </c>
      <c r="AQ25" s="1">
        <v>53121258</v>
      </c>
      <c r="AR25" s="1">
        <v>13035026</v>
      </c>
      <c r="AS25" s="1">
        <v>1955254</v>
      </c>
      <c r="AT25" s="1">
        <f t="shared" si="2"/>
        <v>83288290</v>
      </c>
    </row>
    <row r="26" spans="1:46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8143952</v>
      </c>
      <c r="G26" s="1">
        <v>2554573</v>
      </c>
      <c r="H26" s="1">
        <v>0</v>
      </c>
      <c r="I26" s="1">
        <v>6759481</v>
      </c>
      <c r="J26" s="1">
        <v>0</v>
      </c>
      <c r="K26" s="1">
        <v>0</v>
      </c>
      <c r="L26" s="1">
        <v>7672721</v>
      </c>
      <c r="M26" s="1">
        <v>1000000</v>
      </c>
      <c r="N26" s="1">
        <v>4286289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13361952</v>
      </c>
      <c r="W26" s="1">
        <v>1900000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4029367</v>
      </c>
      <c r="AE26" s="1">
        <v>0</v>
      </c>
      <c r="AF26" s="1">
        <v>6067524</v>
      </c>
      <c r="AG26" s="1">
        <v>0</v>
      </c>
      <c r="AH26" s="1">
        <v>0</v>
      </c>
      <c r="AI26" s="1">
        <v>0</v>
      </c>
      <c r="AJ26" s="1">
        <v>5449757</v>
      </c>
      <c r="AK26" s="1">
        <v>0</v>
      </c>
      <c r="AL26" s="1">
        <v>0</v>
      </c>
      <c r="AM26" s="1">
        <v>0</v>
      </c>
      <c r="AN26" s="1">
        <v>0</v>
      </c>
      <c r="AO26" s="1">
        <v>61225616</v>
      </c>
      <c r="AP26" s="1">
        <v>11323685</v>
      </c>
      <c r="AQ26" s="1">
        <v>49901931</v>
      </c>
      <c r="AR26" s="1">
        <v>11031618</v>
      </c>
      <c r="AS26" s="1">
        <v>1654743</v>
      </c>
      <c r="AT26" s="1">
        <f t="shared" si="2"/>
        <v>73911977</v>
      </c>
    </row>
    <row r="27" spans="1:46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6678412</v>
      </c>
      <c r="G27" s="1">
        <v>455382</v>
      </c>
      <c r="H27" s="1">
        <v>0</v>
      </c>
      <c r="I27" s="1">
        <v>5877003</v>
      </c>
      <c r="J27" s="1">
        <v>0</v>
      </c>
      <c r="K27" s="1">
        <v>0</v>
      </c>
      <c r="L27" s="1">
        <v>7672721</v>
      </c>
      <c r="M27" s="1">
        <v>1000000</v>
      </c>
      <c r="N27" s="1">
        <v>3339204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8699713</v>
      </c>
      <c r="W27" s="1">
        <v>1900000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1516881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37139316</v>
      </c>
      <c r="AP27" s="1">
        <v>10396346</v>
      </c>
      <c r="AQ27" s="1">
        <v>26742970</v>
      </c>
      <c r="AR27" s="1">
        <v>7124487</v>
      </c>
      <c r="AS27" s="1">
        <v>1068673</v>
      </c>
      <c r="AT27" s="1">
        <f t="shared" si="2"/>
        <v>45332476</v>
      </c>
    </row>
    <row r="28" spans="1:46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7876100</v>
      </c>
      <c r="G28" s="1">
        <v>857208</v>
      </c>
      <c r="H28" s="1">
        <v>0</v>
      </c>
      <c r="I28" s="1">
        <v>7561056</v>
      </c>
      <c r="J28" s="1">
        <v>0</v>
      </c>
      <c r="K28" s="1">
        <v>0</v>
      </c>
      <c r="L28" s="1">
        <v>7672721</v>
      </c>
      <c r="M28" s="1">
        <v>1000000</v>
      </c>
      <c r="N28" s="1">
        <v>3938049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13444955</v>
      </c>
      <c r="W28" s="1">
        <v>1900000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1516881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45766970</v>
      </c>
      <c r="AP28" s="1">
        <v>10867576</v>
      </c>
      <c r="AQ28" s="1">
        <v>34899394</v>
      </c>
      <c r="AR28" s="1">
        <v>8850018</v>
      </c>
      <c r="AS28" s="1">
        <v>1327503</v>
      </c>
      <c r="AT28" s="1">
        <f t="shared" si="2"/>
        <v>55944491</v>
      </c>
    </row>
    <row r="29" spans="1:46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7198576</v>
      </c>
      <c r="G29" s="1">
        <v>8831577</v>
      </c>
      <c r="H29" s="1">
        <v>0</v>
      </c>
      <c r="I29" s="1">
        <v>6838648</v>
      </c>
      <c r="J29" s="1">
        <v>0</v>
      </c>
      <c r="K29" s="1">
        <v>0</v>
      </c>
      <c r="L29" s="1">
        <v>7672721</v>
      </c>
      <c r="M29" s="1">
        <v>1000000</v>
      </c>
      <c r="N29" s="1">
        <v>3739520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9316108</v>
      </c>
      <c r="W29" s="1">
        <v>1900000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3033762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49530912</v>
      </c>
      <c r="AP29" s="1">
        <v>5182412</v>
      </c>
      <c r="AQ29" s="1">
        <v>44348500</v>
      </c>
      <c r="AR29" s="1">
        <v>9299430</v>
      </c>
      <c r="AS29" s="1">
        <v>1394915</v>
      </c>
      <c r="AT29" s="1">
        <f t="shared" si="2"/>
        <v>60225257</v>
      </c>
    </row>
    <row r="30" spans="1:46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15641360</v>
      </c>
      <c r="G30" s="1">
        <v>7190135</v>
      </c>
      <c r="H30" s="1">
        <v>0</v>
      </c>
      <c r="I30" s="1">
        <v>13367382</v>
      </c>
      <c r="J30" s="1">
        <v>0</v>
      </c>
      <c r="K30" s="1">
        <v>3465000</v>
      </c>
      <c r="L30" s="1">
        <v>0</v>
      </c>
      <c r="M30" s="1">
        <v>1000000</v>
      </c>
      <c r="N30" s="1">
        <v>2951923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10678598</v>
      </c>
      <c r="W30" s="1">
        <v>1900000</v>
      </c>
      <c r="X30" s="1">
        <v>2270520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2108517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11860269</v>
      </c>
      <c r="AM30" s="1">
        <v>0</v>
      </c>
      <c r="AN30" s="1">
        <v>0</v>
      </c>
      <c r="AO30" s="1">
        <v>72433704</v>
      </c>
      <c r="AP30" s="1">
        <v>27726369</v>
      </c>
      <c r="AQ30" s="1">
        <v>44707335</v>
      </c>
      <c r="AR30" s="1">
        <v>14486741</v>
      </c>
      <c r="AS30" s="1">
        <v>2173011</v>
      </c>
      <c r="AT30" s="1">
        <f t="shared" si="2"/>
        <v>89093456</v>
      </c>
    </row>
    <row r="31" spans="1:46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16281035</v>
      </c>
      <c r="G31" s="1">
        <v>5694649</v>
      </c>
      <c r="H31" s="1">
        <v>0</v>
      </c>
      <c r="I31" s="1">
        <v>14930921</v>
      </c>
      <c r="J31" s="1">
        <v>0</v>
      </c>
      <c r="K31" s="1">
        <v>4620000</v>
      </c>
      <c r="L31" s="1">
        <v>0</v>
      </c>
      <c r="M31" s="1">
        <v>1000000</v>
      </c>
      <c r="N31" s="1">
        <v>3175809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20460213</v>
      </c>
      <c r="W31" s="1">
        <v>1900000</v>
      </c>
      <c r="X31" s="1">
        <v>2363376</v>
      </c>
      <c r="Y31" s="1">
        <v>3145099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2268435</v>
      </c>
      <c r="AF31" s="1">
        <v>1516881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26786332</v>
      </c>
      <c r="AM31" s="1">
        <v>0</v>
      </c>
      <c r="AN31" s="1">
        <v>0</v>
      </c>
      <c r="AO31" s="1">
        <v>104142750</v>
      </c>
      <c r="AP31" s="1">
        <v>21523948</v>
      </c>
      <c r="AQ31" s="1">
        <v>82618802</v>
      </c>
      <c r="AR31" s="1">
        <v>20320229</v>
      </c>
      <c r="AS31" s="1">
        <v>3048034</v>
      </c>
      <c r="AT31" s="1">
        <f t="shared" si="2"/>
        <v>127511013</v>
      </c>
    </row>
    <row r="32" spans="1:46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1" si="4">"پروژه تعميرات نيروگاه بوشهر"</f>
        <v>پروژه تعميرات نيروگاه بوشهر</v>
      </c>
      <c r="F32" s="1">
        <v>8440526</v>
      </c>
      <c r="G32" s="1">
        <v>8011509</v>
      </c>
      <c r="H32" s="1">
        <v>0</v>
      </c>
      <c r="I32" s="1">
        <v>7680879</v>
      </c>
      <c r="J32" s="1">
        <v>0</v>
      </c>
      <c r="K32" s="1">
        <v>0</v>
      </c>
      <c r="L32" s="1">
        <v>7628143</v>
      </c>
      <c r="M32" s="1">
        <v>1000000</v>
      </c>
      <c r="N32" s="1">
        <v>4471804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7258189</v>
      </c>
      <c r="W32" s="1">
        <v>1900000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4233203</v>
      </c>
      <c r="AE32" s="1">
        <v>0</v>
      </c>
      <c r="AF32" s="1">
        <v>1516881</v>
      </c>
      <c r="AG32" s="1">
        <v>0</v>
      </c>
      <c r="AH32" s="1">
        <v>0</v>
      </c>
      <c r="AI32" s="1">
        <v>0</v>
      </c>
      <c r="AJ32" s="1">
        <v>4806906</v>
      </c>
      <c r="AK32" s="1">
        <v>0</v>
      </c>
      <c r="AL32" s="1">
        <v>0</v>
      </c>
      <c r="AM32" s="1">
        <v>0</v>
      </c>
      <c r="AN32" s="1">
        <v>0</v>
      </c>
      <c r="AO32" s="1">
        <v>56948040</v>
      </c>
      <c r="AP32" s="1">
        <v>7656331</v>
      </c>
      <c r="AQ32" s="1">
        <v>49291709</v>
      </c>
      <c r="AR32" s="1">
        <v>11086232</v>
      </c>
      <c r="AS32" s="1">
        <v>1662935</v>
      </c>
      <c r="AT32" s="1">
        <f t="shared" si="2"/>
        <v>69697207</v>
      </c>
    </row>
    <row r="33" spans="1:46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8075931</v>
      </c>
      <c r="G33" s="1">
        <v>4934862</v>
      </c>
      <c r="H33" s="1">
        <v>0</v>
      </c>
      <c r="I33" s="1">
        <v>6864542</v>
      </c>
      <c r="J33" s="1">
        <v>0</v>
      </c>
      <c r="K33" s="1">
        <v>0</v>
      </c>
      <c r="L33" s="1">
        <v>7628143</v>
      </c>
      <c r="M33" s="1">
        <v>1000000</v>
      </c>
      <c r="N33" s="1">
        <v>4250489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9988284</v>
      </c>
      <c r="W33" s="1">
        <v>1900000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44642251</v>
      </c>
      <c r="AP33" s="1">
        <v>7678526</v>
      </c>
      <c r="AQ33" s="1">
        <v>36963725</v>
      </c>
      <c r="AR33" s="1">
        <v>8928450</v>
      </c>
      <c r="AS33" s="1">
        <v>1339268</v>
      </c>
      <c r="AT33" s="1">
        <f t="shared" si="2"/>
        <v>54909969</v>
      </c>
    </row>
    <row r="34" spans="1:46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8410878</v>
      </c>
      <c r="G34" s="1">
        <v>9061058</v>
      </c>
      <c r="H34" s="1">
        <v>0</v>
      </c>
      <c r="I34" s="1">
        <v>8074443</v>
      </c>
      <c r="J34" s="1">
        <v>0</v>
      </c>
      <c r="K34" s="1">
        <v>0</v>
      </c>
      <c r="L34" s="1">
        <v>7462913</v>
      </c>
      <c r="M34" s="1">
        <v>1000000</v>
      </c>
      <c r="N34" s="1">
        <v>4426777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7293915</v>
      </c>
      <c r="W34" s="1">
        <v>1900000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4256252</v>
      </c>
      <c r="AE34" s="1">
        <v>0</v>
      </c>
      <c r="AF34" s="1">
        <v>3033762</v>
      </c>
      <c r="AG34" s="1">
        <v>0</v>
      </c>
      <c r="AH34" s="1">
        <v>0</v>
      </c>
      <c r="AI34" s="1">
        <v>0</v>
      </c>
      <c r="AJ34" s="1">
        <v>3221709</v>
      </c>
      <c r="AK34" s="1">
        <v>0</v>
      </c>
      <c r="AL34" s="1">
        <v>0</v>
      </c>
      <c r="AM34" s="1">
        <v>0</v>
      </c>
      <c r="AN34" s="1">
        <v>0</v>
      </c>
      <c r="AO34" s="1">
        <v>58141707</v>
      </c>
      <c r="AP34" s="1">
        <v>6580371</v>
      </c>
      <c r="AQ34" s="1">
        <v>51561336</v>
      </c>
      <c r="AR34" s="1">
        <v>11021589</v>
      </c>
      <c r="AS34" s="1">
        <v>1653238</v>
      </c>
      <c r="AT34" s="1">
        <f t="shared" si="2"/>
        <v>70816534</v>
      </c>
    </row>
    <row r="35" spans="1:46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7980246</v>
      </c>
      <c r="G35" s="1">
        <v>0</v>
      </c>
      <c r="H35" s="1">
        <v>0</v>
      </c>
      <c r="I35" s="1">
        <v>7421629</v>
      </c>
      <c r="J35" s="1">
        <v>0</v>
      </c>
      <c r="K35" s="1">
        <v>0</v>
      </c>
      <c r="L35" s="1">
        <v>7672721</v>
      </c>
      <c r="M35" s="1">
        <v>1000000</v>
      </c>
      <c r="N35" s="1">
        <v>3990122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10596639</v>
      </c>
      <c r="W35" s="1">
        <v>1900000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3033762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43595119</v>
      </c>
      <c r="AP35" s="1">
        <v>8764242</v>
      </c>
      <c r="AQ35" s="1">
        <v>34830877</v>
      </c>
      <c r="AR35" s="1">
        <v>8112271</v>
      </c>
      <c r="AS35" s="1">
        <v>1216841</v>
      </c>
      <c r="AT35" s="1">
        <f t="shared" si="2"/>
        <v>52924231</v>
      </c>
    </row>
    <row r="36" spans="1:46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9005685</v>
      </c>
      <c r="G36" s="1">
        <v>8520575</v>
      </c>
      <c r="H36" s="1">
        <v>0</v>
      </c>
      <c r="I36" s="1">
        <v>8645458</v>
      </c>
      <c r="J36" s="1">
        <v>0</v>
      </c>
      <c r="K36" s="1">
        <v>0</v>
      </c>
      <c r="L36" s="1">
        <v>7628143</v>
      </c>
      <c r="M36" s="1">
        <v>1000000</v>
      </c>
      <c r="N36" s="1">
        <v>4771222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7683469</v>
      </c>
      <c r="W36" s="1">
        <v>1900000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4507576</v>
      </c>
      <c r="AE36" s="1">
        <v>0</v>
      </c>
      <c r="AF36" s="1">
        <v>1516881</v>
      </c>
      <c r="AG36" s="1">
        <v>0</v>
      </c>
      <c r="AH36" s="1">
        <v>0</v>
      </c>
      <c r="AI36" s="1">
        <v>0</v>
      </c>
      <c r="AJ36" s="1">
        <v>5112345</v>
      </c>
      <c r="AK36" s="1">
        <v>0</v>
      </c>
      <c r="AL36" s="1">
        <v>0</v>
      </c>
      <c r="AM36" s="1">
        <v>0</v>
      </c>
      <c r="AN36" s="1">
        <v>0</v>
      </c>
      <c r="AO36" s="1">
        <v>60291354</v>
      </c>
      <c r="AP36" s="1">
        <v>18157496</v>
      </c>
      <c r="AQ36" s="1">
        <v>42133858</v>
      </c>
      <c r="AR36" s="1">
        <v>11754895</v>
      </c>
      <c r="AS36" s="1">
        <v>1763234</v>
      </c>
      <c r="AT36" s="1">
        <f t="shared" si="2"/>
        <v>73809483</v>
      </c>
    </row>
    <row r="37" spans="1:46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7581234</v>
      </c>
      <c r="G37" s="1">
        <v>2470716</v>
      </c>
      <c r="H37" s="1">
        <v>0</v>
      </c>
      <c r="I37" s="1">
        <v>7732859</v>
      </c>
      <c r="J37" s="1">
        <v>0</v>
      </c>
      <c r="K37" s="1">
        <v>0</v>
      </c>
      <c r="L37" s="1">
        <v>7628143</v>
      </c>
      <c r="M37" s="1">
        <v>1000000</v>
      </c>
      <c r="N37" s="1">
        <v>3990122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11971610</v>
      </c>
      <c r="W37" s="1">
        <v>1900000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4039854</v>
      </c>
      <c r="AE37" s="1">
        <v>0</v>
      </c>
      <c r="AF37" s="1">
        <v>3033762</v>
      </c>
      <c r="AG37" s="1">
        <v>0</v>
      </c>
      <c r="AH37" s="1">
        <v>0</v>
      </c>
      <c r="AI37" s="1">
        <v>0</v>
      </c>
      <c r="AJ37" s="1">
        <v>3513907</v>
      </c>
      <c r="AK37" s="1">
        <v>0</v>
      </c>
      <c r="AL37" s="1">
        <v>0</v>
      </c>
      <c r="AM37" s="1">
        <v>0</v>
      </c>
      <c r="AN37" s="1">
        <v>0</v>
      </c>
      <c r="AO37" s="1">
        <v>54862207</v>
      </c>
      <c r="AP37" s="1">
        <v>9376481</v>
      </c>
      <c r="AQ37" s="1">
        <v>45485726</v>
      </c>
      <c r="AR37" s="1">
        <v>10365689</v>
      </c>
      <c r="AS37" s="1">
        <v>1554853</v>
      </c>
      <c r="AT37" s="1">
        <f t="shared" si="2"/>
        <v>66782749</v>
      </c>
    </row>
    <row r="38" spans="1:46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8904104</v>
      </c>
      <c r="G38" s="1">
        <v>10144484</v>
      </c>
      <c r="H38" s="1">
        <v>0</v>
      </c>
      <c r="I38" s="1">
        <v>7479448</v>
      </c>
      <c r="J38" s="1">
        <v>0</v>
      </c>
      <c r="K38" s="1">
        <v>0</v>
      </c>
      <c r="L38" s="1">
        <v>7462913</v>
      </c>
      <c r="M38" s="1">
        <v>1000000</v>
      </c>
      <c r="N38" s="1">
        <v>4748855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7345137</v>
      </c>
      <c r="W38" s="1">
        <v>1900000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4289298</v>
      </c>
      <c r="AE38" s="1">
        <v>0</v>
      </c>
      <c r="AF38" s="1">
        <v>4550643</v>
      </c>
      <c r="AG38" s="1">
        <v>0</v>
      </c>
      <c r="AH38" s="1">
        <v>0</v>
      </c>
      <c r="AI38" s="1">
        <v>0</v>
      </c>
      <c r="AJ38" s="1">
        <v>3246235</v>
      </c>
      <c r="AK38" s="1">
        <v>0</v>
      </c>
      <c r="AL38" s="1">
        <v>0</v>
      </c>
      <c r="AM38" s="1">
        <v>0</v>
      </c>
      <c r="AN38" s="1">
        <v>0</v>
      </c>
      <c r="AO38" s="1">
        <v>61071117</v>
      </c>
      <c r="AP38" s="1">
        <v>12737284</v>
      </c>
      <c r="AQ38" s="1">
        <v>48333833</v>
      </c>
      <c r="AR38" s="1">
        <v>11304095</v>
      </c>
      <c r="AS38" s="1">
        <v>1695614</v>
      </c>
      <c r="AT38" s="1">
        <f t="shared" si="2"/>
        <v>74070826</v>
      </c>
    </row>
    <row r="39" spans="1:46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10865467</v>
      </c>
      <c r="G39" s="1">
        <v>6557185</v>
      </c>
      <c r="H39" s="1">
        <v>0</v>
      </c>
      <c r="I39" s="1">
        <v>10213539</v>
      </c>
      <c r="J39" s="1">
        <v>0</v>
      </c>
      <c r="K39" s="1">
        <v>0</v>
      </c>
      <c r="L39" s="1">
        <v>7462913</v>
      </c>
      <c r="M39" s="1">
        <v>1000000</v>
      </c>
      <c r="N39" s="1">
        <v>5718667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12201750</v>
      </c>
      <c r="W39" s="1">
        <v>1900000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3033762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58953283</v>
      </c>
      <c r="AP39" s="1">
        <v>13563087</v>
      </c>
      <c r="AQ39" s="1">
        <v>45390196</v>
      </c>
      <c r="AR39" s="1">
        <v>11183904</v>
      </c>
      <c r="AS39" s="1">
        <v>1677586</v>
      </c>
      <c r="AT39" s="1">
        <f t="shared" si="2"/>
        <v>71814773</v>
      </c>
    </row>
    <row r="40" spans="1:46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8692391</v>
      </c>
      <c r="G40" s="1">
        <v>8959959</v>
      </c>
      <c r="H40" s="1">
        <v>0</v>
      </c>
      <c r="I40" s="1">
        <v>6780065</v>
      </c>
      <c r="J40" s="1">
        <v>0</v>
      </c>
      <c r="K40" s="1">
        <v>0</v>
      </c>
      <c r="L40" s="1">
        <v>7628143</v>
      </c>
      <c r="M40" s="1">
        <v>1000000</v>
      </c>
      <c r="N40" s="1">
        <v>4605241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11973977</v>
      </c>
      <c r="W40" s="1">
        <v>1900000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6067524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57607300</v>
      </c>
      <c r="AP40" s="1">
        <v>7282699</v>
      </c>
      <c r="AQ40" s="1">
        <v>50324601</v>
      </c>
      <c r="AR40" s="1">
        <v>10307955</v>
      </c>
      <c r="AS40" s="1">
        <v>1546193</v>
      </c>
      <c r="AT40" s="1">
        <f t="shared" si="2"/>
        <v>69461448</v>
      </c>
    </row>
    <row r="41" spans="1:46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7319891</v>
      </c>
      <c r="G41" s="1">
        <v>1213462</v>
      </c>
      <c r="H41" s="1">
        <v>0</v>
      </c>
      <c r="I41" s="1">
        <v>6661100</v>
      </c>
      <c r="J41" s="1">
        <v>0</v>
      </c>
      <c r="K41" s="1">
        <v>0</v>
      </c>
      <c r="L41" s="1">
        <v>7628143</v>
      </c>
      <c r="M41" s="1">
        <v>1000000</v>
      </c>
      <c r="N41" s="1">
        <v>3827394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8956457</v>
      </c>
      <c r="W41" s="1">
        <v>1900000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4550643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43057090</v>
      </c>
      <c r="AP41" s="1">
        <v>8430179</v>
      </c>
      <c r="AQ41" s="1">
        <v>34626911</v>
      </c>
      <c r="AR41" s="1">
        <v>7701289</v>
      </c>
      <c r="AS41" s="1">
        <v>1155193</v>
      </c>
      <c r="AT41" s="1">
        <f t="shared" si="2"/>
        <v>51913572</v>
      </c>
    </row>
    <row r="42" spans="1:46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7853318</v>
      </c>
      <c r="G42" s="1">
        <v>8808770</v>
      </c>
      <c r="H42" s="1">
        <v>0</v>
      </c>
      <c r="I42" s="1">
        <v>7303586</v>
      </c>
      <c r="J42" s="1">
        <v>0</v>
      </c>
      <c r="K42" s="1">
        <v>0</v>
      </c>
      <c r="L42" s="1">
        <v>7628143</v>
      </c>
      <c r="M42" s="1">
        <v>1000000</v>
      </c>
      <c r="N42" s="1">
        <v>4133326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9797175</v>
      </c>
      <c r="W42" s="1">
        <v>1900000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1516881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49941199</v>
      </c>
      <c r="AP42" s="1">
        <v>10189682</v>
      </c>
      <c r="AQ42" s="1">
        <v>39751517</v>
      </c>
      <c r="AR42" s="1">
        <v>9684864</v>
      </c>
      <c r="AS42" s="1">
        <v>1452730</v>
      </c>
      <c r="AT42" s="1">
        <f t="shared" si="2"/>
        <v>61078793</v>
      </c>
    </row>
    <row r="43" spans="1:46" x14ac:dyDescent="0.2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8116126</v>
      </c>
      <c r="G43" s="1">
        <v>1622080</v>
      </c>
      <c r="H43" s="1">
        <v>0</v>
      </c>
      <c r="I43" s="1">
        <v>6005933</v>
      </c>
      <c r="J43" s="1">
        <v>0</v>
      </c>
      <c r="K43" s="1">
        <v>0</v>
      </c>
      <c r="L43" s="1">
        <v>7628143</v>
      </c>
      <c r="M43" s="1">
        <v>1000000</v>
      </c>
      <c r="N43" s="1">
        <v>4328599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6760046</v>
      </c>
      <c r="W43" s="1">
        <v>1900000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1516881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38877808</v>
      </c>
      <c r="AP43" s="1">
        <v>7339119</v>
      </c>
      <c r="AQ43" s="1">
        <v>31538689</v>
      </c>
      <c r="AR43" s="1">
        <v>7472185</v>
      </c>
      <c r="AS43" s="1">
        <v>1120828</v>
      </c>
      <c r="AT43" s="1">
        <f t="shared" si="2"/>
        <v>47470821</v>
      </c>
    </row>
    <row r="44" spans="1:46" x14ac:dyDescent="0.2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7062453</v>
      </c>
      <c r="G44" s="1">
        <v>2908372</v>
      </c>
      <c r="H44" s="1">
        <v>0</v>
      </c>
      <c r="I44" s="1">
        <v>6709330</v>
      </c>
      <c r="J44" s="1">
        <v>0</v>
      </c>
      <c r="K44" s="1">
        <v>0</v>
      </c>
      <c r="L44" s="1">
        <v>7672721</v>
      </c>
      <c r="M44" s="1">
        <v>1000000</v>
      </c>
      <c r="N44" s="1">
        <v>3531226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9370753</v>
      </c>
      <c r="W44" s="1">
        <v>1900000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3746359</v>
      </c>
      <c r="AE44" s="1">
        <v>0</v>
      </c>
      <c r="AF44" s="1">
        <v>3033762</v>
      </c>
      <c r="AG44" s="1">
        <v>0</v>
      </c>
      <c r="AH44" s="1">
        <v>0</v>
      </c>
      <c r="AI44" s="1">
        <v>0</v>
      </c>
      <c r="AJ44" s="1">
        <v>4653394</v>
      </c>
      <c r="AK44" s="1">
        <v>0</v>
      </c>
      <c r="AL44" s="1">
        <v>0</v>
      </c>
      <c r="AM44" s="1">
        <v>0</v>
      </c>
      <c r="AN44" s="1">
        <v>0</v>
      </c>
      <c r="AO44" s="1">
        <v>51588370</v>
      </c>
      <c r="AP44" s="1">
        <v>11058034</v>
      </c>
      <c r="AQ44" s="1">
        <v>40530336</v>
      </c>
      <c r="AR44" s="1">
        <v>9710922</v>
      </c>
      <c r="AS44" s="1">
        <v>1456638</v>
      </c>
      <c r="AT44" s="1">
        <f t="shared" si="2"/>
        <v>62755930</v>
      </c>
    </row>
    <row r="45" spans="1:46" x14ac:dyDescent="0.2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11137317</v>
      </c>
      <c r="G45" s="1">
        <v>6853170</v>
      </c>
      <c r="H45" s="1">
        <v>0</v>
      </c>
      <c r="I45" s="1">
        <v>10246332</v>
      </c>
      <c r="J45" s="1">
        <v>0</v>
      </c>
      <c r="K45" s="1">
        <v>0</v>
      </c>
      <c r="L45" s="1">
        <v>7628143</v>
      </c>
      <c r="M45" s="1">
        <v>1000000</v>
      </c>
      <c r="N45" s="1">
        <v>5900565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13647249</v>
      </c>
      <c r="W45" s="1">
        <v>1900000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3033762</v>
      </c>
      <c r="AG45" s="1">
        <v>0</v>
      </c>
      <c r="AH45" s="1">
        <v>0</v>
      </c>
      <c r="AI45" s="1">
        <v>0</v>
      </c>
      <c r="AJ45" s="1">
        <v>6579043</v>
      </c>
      <c r="AK45" s="1">
        <v>0</v>
      </c>
      <c r="AL45" s="1">
        <v>0</v>
      </c>
      <c r="AM45" s="1">
        <v>0</v>
      </c>
      <c r="AN45" s="1">
        <v>3491236</v>
      </c>
      <c r="AO45" s="1">
        <v>71416817</v>
      </c>
      <c r="AP45" s="1">
        <v>16642768</v>
      </c>
      <c r="AQ45" s="1">
        <v>54774049</v>
      </c>
      <c r="AR45" s="1">
        <v>13676611</v>
      </c>
      <c r="AS45" s="1">
        <v>2051492</v>
      </c>
      <c r="AT45" s="1">
        <f t="shared" si="2"/>
        <v>87144920</v>
      </c>
    </row>
    <row r="46" spans="1:46" x14ac:dyDescent="0.2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8616518</v>
      </c>
      <c r="G46" s="1">
        <v>3015382</v>
      </c>
      <c r="H46" s="1">
        <v>0</v>
      </c>
      <c r="I46" s="1">
        <v>7754866</v>
      </c>
      <c r="J46" s="1">
        <v>0</v>
      </c>
      <c r="K46" s="1">
        <v>0</v>
      </c>
      <c r="L46" s="1">
        <v>7628143</v>
      </c>
      <c r="M46" s="1">
        <v>1000000</v>
      </c>
      <c r="N46" s="1">
        <v>4595476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14137273</v>
      </c>
      <c r="W46" s="1">
        <v>1900000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4289251</v>
      </c>
      <c r="AE46" s="1">
        <v>0</v>
      </c>
      <c r="AF46" s="1">
        <v>3033762</v>
      </c>
      <c r="AG46" s="1">
        <v>0</v>
      </c>
      <c r="AH46" s="1">
        <v>0</v>
      </c>
      <c r="AI46" s="1">
        <v>0</v>
      </c>
      <c r="AJ46" s="1">
        <v>5789534</v>
      </c>
      <c r="AK46" s="1">
        <v>0</v>
      </c>
      <c r="AL46" s="1">
        <v>0</v>
      </c>
      <c r="AM46" s="1">
        <v>0</v>
      </c>
      <c r="AN46" s="1">
        <v>0</v>
      </c>
      <c r="AO46" s="1">
        <v>61760205</v>
      </c>
      <c r="AP46" s="1">
        <v>19322319</v>
      </c>
      <c r="AQ46" s="1">
        <v>42437886</v>
      </c>
      <c r="AR46" s="1">
        <v>11745289</v>
      </c>
      <c r="AS46" s="1">
        <v>1761793</v>
      </c>
      <c r="AT46" s="1">
        <f t="shared" si="2"/>
        <v>75267287</v>
      </c>
    </row>
    <row r="47" spans="1:46" x14ac:dyDescent="0.2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8006283</v>
      </c>
      <c r="G47" s="1">
        <v>14060342</v>
      </c>
      <c r="H47" s="1">
        <v>0</v>
      </c>
      <c r="I47" s="1">
        <v>7205654</v>
      </c>
      <c r="J47" s="1">
        <v>0</v>
      </c>
      <c r="K47" s="1">
        <v>0</v>
      </c>
      <c r="L47" s="1">
        <v>7672721</v>
      </c>
      <c r="M47" s="1">
        <v>1000000</v>
      </c>
      <c r="N47" s="1">
        <v>4003143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10011297</v>
      </c>
      <c r="W47" s="1">
        <v>1900000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3033762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56893202</v>
      </c>
      <c r="AP47" s="1">
        <v>32024805</v>
      </c>
      <c r="AQ47" s="1">
        <v>24868397</v>
      </c>
      <c r="AR47" s="1">
        <v>10771888</v>
      </c>
      <c r="AS47" s="1">
        <v>1615783</v>
      </c>
      <c r="AT47" s="1">
        <f t="shared" si="2"/>
        <v>69280873</v>
      </c>
    </row>
    <row r="48" spans="1:46" x14ac:dyDescent="0.2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17667727</v>
      </c>
      <c r="G48" s="1">
        <v>2457069</v>
      </c>
      <c r="H48" s="1">
        <v>0</v>
      </c>
      <c r="I48" s="1">
        <v>16156539</v>
      </c>
      <c r="J48" s="1">
        <v>0</v>
      </c>
      <c r="K48" s="1">
        <v>4620000</v>
      </c>
      <c r="L48" s="1">
        <v>0</v>
      </c>
      <c r="M48" s="1">
        <v>1000000</v>
      </c>
      <c r="N48" s="1">
        <v>3304621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18807981</v>
      </c>
      <c r="W48" s="1">
        <v>1900000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2360443</v>
      </c>
      <c r="AF48" s="1">
        <v>1516881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11343053</v>
      </c>
      <c r="AM48" s="1">
        <v>0</v>
      </c>
      <c r="AN48" s="1">
        <v>0</v>
      </c>
      <c r="AO48" s="1">
        <v>81134314</v>
      </c>
      <c r="AP48" s="1">
        <v>19010967</v>
      </c>
      <c r="AQ48" s="1">
        <v>62123347</v>
      </c>
      <c r="AR48" s="1">
        <v>15923487</v>
      </c>
      <c r="AS48" s="1">
        <v>2388523</v>
      </c>
      <c r="AT48" s="1">
        <f t="shared" si="2"/>
        <v>99446324</v>
      </c>
    </row>
    <row r="49" spans="1:46" x14ac:dyDescent="0.2">
      <c r="A49" s="1" t="str">
        <f>"00055"</f>
        <v>00055</v>
      </c>
      <c r="B49" s="1" t="str">
        <f>"سجاد"</f>
        <v>سجاد</v>
      </c>
      <c r="C49" s="1" t="str">
        <f>"نيسني"</f>
        <v>نيسني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12688516</v>
      </c>
      <c r="G49" s="1">
        <v>7178509</v>
      </c>
      <c r="H49" s="1">
        <v>0</v>
      </c>
      <c r="I49" s="1">
        <v>10658353</v>
      </c>
      <c r="J49" s="1">
        <v>0</v>
      </c>
      <c r="K49" s="1">
        <v>0</v>
      </c>
      <c r="L49" s="1">
        <v>7462913</v>
      </c>
      <c r="M49" s="1">
        <v>1000000</v>
      </c>
      <c r="N49" s="1">
        <v>6767209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13287872</v>
      </c>
      <c r="W49" s="1">
        <v>1900000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1516881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62460253</v>
      </c>
      <c r="AP49" s="1">
        <v>17757477</v>
      </c>
      <c r="AQ49" s="1">
        <v>44702776</v>
      </c>
      <c r="AR49" s="1">
        <v>12188674</v>
      </c>
      <c r="AS49" s="1">
        <v>1828301</v>
      </c>
      <c r="AT49" s="1">
        <f t="shared" si="2"/>
        <v>76477228</v>
      </c>
    </row>
    <row r="50" spans="1:46" x14ac:dyDescent="0.2">
      <c r="A50" s="1" t="str">
        <f>"00056"</f>
        <v>00056</v>
      </c>
      <c r="B50" s="1" t="str">
        <f>"حسن"</f>
        <v>حسن</v>
      </c>
      <c r="C50" s="1" t="str">
        <f>"عبدشاه"</f>
        <v>عبدشاه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7662193</v>
      </c>
      <c r="G50" s="1">
        <v>9659342</v>
      </c>
      <c r="H50" s="1">
        <v>0</v>
      </c>
      <c r="I50" s="1">
        <v>7125839</v>
      </c>
      <c r="J50" s="1">
        <v>0</v>
      </c>
      <c r="K50" s="1">
        <v>0</v>
      </c>
      <c r="L50" s="1">
        <v>7628143</v>
      </c>
      <c r="M50" s="1">
        <v>1000000</v>
      </c>
      <c r="N50" s="1">
        <v>3980361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9626273</v>
      </c>
      <c r="W50" s="1">
        <v>1900000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3033762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51615913</v>
      </c>
      <c r="AP50" s="1">
        <v>8189206</v>
      </c>
      <c r="AQ50" s="1">
        <v>43426707</v>
      </c>
      <c r="AR50" s="1">
        <v>9716430</v>
      </c>
      <c r="AS50" s="1">
        <v>1457465</v>
      </c>
      <c r="AT50" s="1">
        <f t="shared" si="2"/>
        <v>62789808</v>
      </c>
    </row>
    <row r="51" spans="1:46" x14ac:dyDescent="0.2">
      <c r="A51" s="1" t="str">
        <f>"00057"</f>
        <v>00057</v>
      </c>
      <c r="B51" s="1" t="str">
        <f>"بهنام"</f>
        <v>بهنام</v>
      </c>
      <c r="C51" s="1" t="str">
        <f>"خواره"</f>
        <v>خواره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7983827</v>
      </c>
      <c r="G51" s="1">
        <v>10273442</v>
      </c>
      <c r="H51" s="1">
        <v>0</v>
      </c>
      <c r="I51" s="1">
        <v>6945929</v>
      </c>
      <c r="J51" s="1">
        <v>0</v>
      </c>
      <c r="K51" s="1">
        <v>0</v>
      </c>
      <c r="L51" s="1">
        <v>7654642</v>
      </c>
      <c r="M51" s="1">
        <v>1000000</v>
      </c>
      <c r="N51" s="1">
        <v>4094269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9718672</v>
      </c>
      <c r="W51" s="1">
        <v>1900000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1516881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51087662</v>
      </c>
      <c r="AP51" s="1">
        <v>9445591</v>
      </c>
      <c r="AQ51" s="1">
        <v>41642071</v>
      </c>
      <c r="AR51" s="1">
        <v>9914156</v>
      </c>
      <c r="AS51" s="1">
        <v>1487123</v>
      </c>
      <c r="AT51" s="1">
        <f t="shared" si="2"/>
        <v>62488941</v>
      </c>
    </row>
    <row r="52" spans="1:46" x14ac:dyDescent="0.2">
      <c r="A52" s="1" t="str">
        <f>"00058"</f>
        <v>00058</v>
      </c>
      <c r="B52" s="1" t="str">
        <f>"سيدموسي"</f>
        <v>سيدموسي</v>
      </c>
      <c r="C52" s="1" t="str">
        <f>"ميرعباسي"</f>
        <v>ميرعباسي</v>
      </c>
      <c r="D52" s="1" t="str">
        <f>"قراردادي بهره بردار"</f>
        <v>قراردادي بهره بردار</v>
      </c>
      <c r="E52" s="1" t="str">
        <f>"پروژه دفتر مركزي"</f>
        <v>پروژه دفتر مركزي</v>
      </c>
      <c r="F52" s="1">
        <v>68426213</v>
      </c>
      <c r="G52" s="1">
        <v>26073698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1390000</v>
      </c>
      <c r="Q52" s="1">
        <v>0</v>
      </c>
      <c r="R52" s="1">
        <v>0</v>
      </c>
      <c r="S52" s="1">
        <v>0</v>
      </c>
      <c r="T52" s="1">
        <v>2280000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98169911</v>
      </c>
      <c r="AP52" s="1">
        <v>22367351</v>
      </c>
      <c r="AQ52" s="1">
        <v>75802560</v>
      </c>
      <c r="AR52" s="1">
        <v>0</v>
      </c>
      <c r="AS52" s="1">
        <v>0</v>
      </c>
      <c r="AT52" s="1">
        <f t="shared" si="2"/>
        <v>98169911</v>
      </c>
    </row>
    <row r="53" spans="1:46" x14ac:dyDescent="0.2">
      <c r="A53" s="1" t="str">
        <f>"00063"</f>
        <v>00063</v>
      </c>
      <c r="B53" s="1" t="str">
        <f>"سالم"</f>
        <v>سالم</v>
      </c>
      <c r="C53" s="1" t="str">
        <f>"تنگسيري"</f>
        <v>تنگسيري</v>
      </c>
      <c r="D53" s="1" t="str">
        <f>"قراردادي کارگري"</f>
        <v>قراردادي کارگري</v>
      </c>
      <c r="E53" s="1" t="str">
        <f>"پروژه تعميرات نيروگاه بوشهر"</f>
        <v>پروژه تعميرات نيروگاه بوشهر</v>
      </c>
      <c r="F53" s="1">
        <v>9535288</v>
      </c>
      <c r="G53" s="1">
        <v>3154054</v>
      </c>
      <c r="H53" s="1">
        <v>0</v>
      </c>
      <c r="I53" s="1">
        <v>7342172</v>
      </c>
      <c r="J53" s="1">
        <v>0</v>
      </c>
      <c r="K53" s="1">
        <v>0</v>
      </c>
      <c r="L53" s="1">
        <v>7628143</v>
      </c>
      <c r="M53" s="1">
        <v>1000000</v>
      </c>
      <c r="N53" s="1">
        <v>5018573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7723700</v>
      </c>
      <c r="W53" s="1">
        <v>1900000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3033762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46335692</v>
      </c>
      <c r="AP53" s="1">
        <v>6889354</v>
      </c>
      <c r="AQ53" s="1">
        <v>39446338</v>
      </c>
      <c r="AR53" s="1">
        <v>8660386</v>
      </c>
      <c r="AS53" s="1">
        <v>1299058</v>
      </c>
      <c r="AT53" s="1">
        <f t="shared" si="2"/>
        <v>56295136</v>
      </c>
    </row>
    <row r="54" spans="1:46" x14ac:dyDescent="0.2">
      <c r="A54" s="1" t="str">
        <f>"00064"</f>
        <v>00064</v>
      </c>
      <c r="B54" s="1" t="str">
        <f>"حسين"</f>
        <v>حسين</v>
      </c>
      <c r="C54" s="1" t="str">
        <f>"عباسي"</f>
        <v>عباسي</v>
      </c>
      <c r="D54" s="1" t="str">
        <f>"قراردادي بهره بردار"</f>
        <v>قراردادي بهره بردار</v>
      </c>
      <c r="E54" s="1" t="str">
        <f>"پروژه دفتر مركزي"</f>
        <v>پروژه دفتر مركزي</v>
      </c>
      <c r="F54" s="1">
        <v>20222044</v>
      </c>
      <c r="G54" s="1">
        <v>25556021</v>
      </c>
      <c r="H54" s="1">
        <v>0</v>
      </c>
      <c r="I54" s="1">
        <v>18367833</v>
      </c>
      <c r="J54" s="1">
        <v>0</v>
      </c>
      <c r="K54" s="1">
        <v>0</v>
      </c>
      <c r="L54" s="1">
        <v>0</v>
      </c>
      <c r="M54" s="1">
        <v>1000000</v>
      </c>
      <c r="N54" s="1">
        <v>0</v>
      </c>
      <c r="O54" s="1">
        <v>0</v>
      </c>
      <c r="P54" s="1">
        <v>1390000</v>
      </c>
      <c r="Q54" s="1">
        <v>0</v>
      </c>
      <c r="R54" s="1">
        <v>0</v>
      </c>
      <c r="S54" s="1">
        <v>0</v>
      </c>
      <c r="T54" s="1">
        <v>2520000</v>
      </c>
      <c r="U54" s="1">
        <v>0</v>
      </c>
      <c r="V54" s="1">
        <v>4572795</v>
      </c>
      <c r="W54" s="1">
        <v>1900000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2957400</v>
      </c>
      <c r="AD54" s="1">
        <v>0</v>
      </c>
      <c r="AE54" s="1">
        <v>0</v>
      </c>
      <c r="AF54" s="1">
        <v>1516881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4180668</v>
      </c>
      <c r="AM54" s="1">
        <v>0</v>
      </c>
      <c r="AN54" s="1">
        <v>0</v>
      </c>
      <c r="AO54" s="1">
        <v>84183642</v>
      </c>
      <c r="AP54" s="1">
        <v>15536043</v>
      </c>
      <c r="AQ54" s="1">
        <v>68647599</v>
      </c>
      <c r="AR54" s="1">
        <v>16029352</v>
      </c>
      <c r="AS54" s="1">
        <v>2404403</v>
      </c>
      <c r="AT54" s="1">
        <f t="shared" si="2"/>
        <v>102617397</v>
      </c>
    </row>
    <row r="55" spans="1:46" x14ac:dyDescent="0.2">
      <c r="A55" s="1" t="str">
        <f>"00068"</f>
        <v>00068</v>
      </c>
      <c r="B55" s="1" t="str">
        <f>"حسين"</f>
        <v>حسين</v>
      </c>
      <c r="C55" s="1" t="str">
        <f>"منجمي"</f>
        <v>منجمي</v>
      </c>
      <c r="D55" s="1" t="str">
        <f>"قراردادي کارگري"</f>
        <v>قراردادي کارگري</v>
      </c>
      <c r="E55" s="1" t="str">
        <f>"پروژه دفتر مركزي"</f>
        <v>پروژه دفتر مركزي</v>
      </c>
      <c r="F55" s="1">
        <v>9032488</v>
      </c>
      <c r="G55" s="1">
        <v>8004719</v>
      </c>
      <c r="H55" s="1">
        <v>0</v>
      </c>
      <c r="I55" s="1">
        <v>8219563</v>
      </c>
      <c r="J55" s="1">
        <v>0</v>
      </c>
      <c r="K55" s="1">
        <v>0</v>
      </c>
      <c r="L55" s="1">
        <v>7628143</v>
      </c>
      <c r="M55" s="1">
        <v>1000000</v>
      </c>
      <c r="N55" s="1">
        <v>0</v>
      </c>
      <c r="O55" s="1">
        <v>0</v>
      </c>
      <c r="P55" s="1">
        <v>1390000</v>
      </c>
      <c r="Q55" s="1">
        <v>0</v>
      </c>
      <c r="R55" s="1">
        <v>0</v>
      </c>
      <c r="S55" s="1">
        <v>0</v>
      </c>
      <c r="T55" s="1">
        <v>2040000</v>
      </c>
      <c r="U55" s="1">
        <v>0</v>
      </c>
      <c r="V55" s="1">
        <v>2787686</v>
      </c>
      <c r="W55" s="1">
        <v>1900000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42002599</v>
      </c>
      <c r="AP55" s="1">
        <v>8362667</v>
      </c>
      <c r="AQ55" s="1">
        <v>33639932</v>
      </c>
      <c r="AR55" s="1">
        <v>7992520</v>
      </c>
      <c r="AS55" s="1">
        <v>1198878</v>
      </c>
      <c r="AT55" s="1">
        <f t="shared" si="2"/>
        <v>51193997</v>
      </c>
    </row>
    <row r="56" spans="1:46" x14ac:dyDescent="0.2">
      <c r="A56" s="1" t="str">
        <f>"00069"</f>
        <v>00069</v>
      </c>
      <c r="B56" s="1" t="str">
        <f>"عبدالرضا"</f>
        <v>عبدالرضا</v>
      </c>
      <c r="C56" s="1" t="str">
        <f>"برخ"</f>
        <v>برخ</v>
      </c>
      <c r="D56" s="1" t="str">
        <f>"قراردادي کارگري"</f>
        <v>قراردادي کارگري</v>
      </c>
      <c r="E56" s="1" t="str">
        <f>"پروژه تعميرات نيروگاه بوشهر"</f>
        <v>پروژه تعميرات نيروگاه بوشهر</v>
      </c>
      <c r="F56" s="1">
        <v>7136007</v>
      </c>
      <c r="G56" s="1">
        <v>1510927</v>
      </c>
      <c r="H56" s="1">
        <v>0</v>
      </c>
      <c r="I56" s="1">
        <v>5209284</v>
      </c>
      <c r="J56" s="1">
        <v>0</v>
      </c>
      <c r="K56" s="1">
        <v>0</v>
      </c>
      <c r="L56" s="1">
        <v>7672721</v>
      </c>
      <c r="M56" s="1">
        <v>1000000</v>
      </c>
      <c r="N56" s="1">
        <v>3755793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11912860</v>
      </c>
      <c r="W56" s="1">
        <v>1900000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3566071</v>
      </c>
      <c r="AE56" s="1">
        <v>0</v>
      </c>
      <c r="AF56" s="1">
        <v>1516881</v>
      </c>
      <c r="AG56" s="1">
        <v>0</v>
      </c>
      <c r="AH56" s="1">
        <v>0</v>
      </c>
      <c r="AI56" s="1">
        <v>0</v>
      </c>
      <c r="AJ56" s="1">
        <v>3223312</v>
      </c>
      <c r="AK56" s="1">
        <v>0</v>
      </c>
      <c r="AL56" s="1">
        <v>0</v>
      </c>
      <c r="AM56" s="1">
        <v>0</v>
      </c>
      <c r="AN56" s="1">
        <v>0</v>
      </c>
      <c r="AO56" s="1">
        <v>48403856</v>
      </c>
      <c r="AP56" s="1">
        <v>14647629</v>
      </c>
      <c r="AQ56" s="1">
        <v>33756227</v>
      </c>
      <c r="AR56" s="1">
        <v>9377395</v>
      </c>
      <c r="AS56" s="1">
        <v>1406609</v>
      </c>
      <c r="AT56" s="1">
        <f t="shared" si="2"/>
        <v>59187860</v>
      </c>
    </row>
    <row r="57" spans="1:46" x14ac:dyDescent="0.2">
      <c r="A57" s="1" t="str">
        <f>"00070"</f>
        <v>00070</v>
      </c>
      <c r="B57" s="1" t="str">
        <f>"موسي"</f>
        <v>موسي</v>
      </c>
      <c r="C57" s="1" t="str">
        <f>"آذري"</f>
        <v>آذري</v>
      </c>
      <c r="D57" s="1" t="str">
        <f t="shared" ref="D57:D96" si="5">"قراردادي بهره بردار"</f>
        <v>قراردادي بهره بردار</v>
      </c>
      <c r="E57" s="1" t="str">
        <f t="shared" ref="E57:E96" si="6">"پروژه بهره برداري نيروگاه بوشهر"</f>
        <v>پروژه بهره برداري نيروگاه بوشهر</v>
      </c>
      <c r="F57" s="1">
        <v>19908779</v>
      </c>
      <c r="G57" s="1">
        <v>24280047</v>
      </c>
      <c r="H57" s="1">
        <v>0</v>
      </c>
      <c r="I57" s="1">
        <v>19028093</v>
      </c>
      <c r="J57" s="1">
        <v>0</v>
      </c>
      <c r="K57" s="1">
        <v>5500000</v>
      </c>
      <c r="L57" s="1">
        <v>0</v>
      </c>
      <c r="M57" s="1">
        <v>1000000</v>
      </c>
      <c r="N57" s="1">
        <v>3425765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5457963</v>
      </c>
      <c r="W57" s="1">
        <v>1900000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5520480</v>
      </c>
      <c r="AD57" s="1">
        <v>0</v>
      </c>
      <c r="AE57" s="1">
        <v>2446975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4249543</v>
      </c>
      <c r="AM57" s="1">
        <v>0</v>
      </c>
      <c r="AN57" s="1">
        <v>0</v>
      </c>
      <c r="AO57" s="1">
        <v>92717645</v>
      </c>
      <c r="AP57" s="1">
        <v>42139227</v>
      </c>
      <c r="AQ57" s="1">
        <v>50578418</v>
      </c>
      <c r="AR57" s="1">
        <v>18543530</v>
      </c>
      <c r="AS57" s="1">
        <v>2781529</v>
      </c>
      <c r="AT57" s="1">
        <f t="shared" si="2"/>
        <v>114042704</v>
      </c>
    </row>
    <row r="58" spans="1:46" x14ac:dyDescent="0.2">
      <c r="A58" s="1" t="str">
        <f>"00071"</f>
        <v>00071</v>
      </c>
      <c r="B58" s="1" t="str">
        <f>"مهرزاد"</f>
        <v>مهرزاد</v>
      </c>
      <c r="C58" s="1" t="str">
        <f>"احمدي"</f>
        <v>احمدي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15963388</v>
      </c>
      <c r="G58" s="1">
        <v>4088887</v>
      </c>
      <c r="H58" s="1">
        <v>0</v>
      </c>
      <c r="I58" s="1">
        <v>15801404</v>
      </c>
      <c r="J58" s="1">
        <v>0</v>
      </c>
      <c r="K58" s="1">
        <v>4620000</v>
      </c>
      <c r="L58" s="1">
        <v>0</v>
      </c>
      <c r="M58" s="1">
        <v>1000000</v>
      </c>
      <c r="N58" s="1">
        <v>3064633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1606000</v>
      </c>
      <c r="U58" s="1">
        <v>0</v>
      </c>
      <c r="V58" s="1">
        <v>22305961</v>
      </c>
      <c r="W58" s="1">
        <v>1900000</v>
      </c>
      <c r="X58" s="1">
        <v>2317266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2189024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13107306</v>
      </c>
      <c r="AM58" s="1">
        <v>0</v>
      </c>
      <c r="AN58" s="1">
        <v>0</v>
      </c>
      <c r="AO58" s="1">
        <v>87963869</v>
      </c>
      <c r="AP58" s="1">
        <v>47972911</v>
      </c>
      <c r="AQ58" s="1">
        <v>39990958</v>
      </c>
      <c r="AR58" s="1">
        <v>17271574</v>
      </c>
      <c r="AS58" s="1">
        <v>2590736</v>
      </c>
      <c r="AT58" s="1">
        <f t="shared" si="2"/>
        <v>107826179</v>
      </c>
    </row>
    <row r="59" spans="1:46" x14ac:dyDescent="0.2">
      <c r="A59" s="1" t="str">
        <f>"00072"</f>
        <v>00072</v>
      </c>
      <c r="B59" s="1" t="str">
        <f>"سعيد"</f>
        <v>سعيد</v>
      </c>
      <c r="C59" s="1" t="str">
        <f>"اردشيرزاده"</f>
        <v>اردشيرزاده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24544229</v>
      </c>
      <c r="G59" s="1">
        <v>10990672</v>
      </c>
      <c r="H59" s="1">
        <v>0</v>
      </c>
      <c r="I59" s="1">
        <v>20826113</v>
      </c>
      <c r="J59" s="1">
        <v>0</v>
      </c>
      <c r="K59" s="1">
        <v>5500000</v>
      </c>
      <c r="L59" s="1">
        <v>0</v>
      </c>
      <c r="M59" s="1">
        <v>1000000</v>
      </c>
      <c r="N59" s="1">
        <v>3918774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20190271</v>
      </c>
      <c r="W59" s="1">
        <v>1900000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2799124</v>
      </c>
      <c r="AF59" s="1">
        <v>1516881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5598249</v>
      </c>
      <c r="AM59" s="1">
        <v>0</v>
      </c>
      <c r="AN59" s="1">
        <v>0</v>
      </c>
      <c r="AO59" s="1">
        <v>98784313</v>
      </c>
      <c r="AP59" s="1">
        <v>31965260</v>
      </c>
      <c r="AQ59" s="1">
        <v>66819053</v>
      </c>
      <c r="AR59" s="1">
        <v>19453486</v>
      </c>
      <c r="AS59" s="1">
        <v>2918023</v>
      </c>
      <c r="AT59" s="1">
        <f t="shared" si="2"/>
        <v>121155822</v>
      </c>
    </row>
    <row r="60" spans="1:46" x14ac:dyDescent="0.2">
      <c r="A60" s="1" t="str">
        <f>"00073"</f>
        <v>00073</v>
      </c>
      <c r="B60" s="1" t="str">
        <f>"عبدالعظيم"</f>
        <v>عبدالعظيم</v>
      </c>
      <c r="C60" s="1" t="str">
        <f>"اژدري"</f>
        <v>اژدري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15742131</v>
      </c>
      <c r="G60" s="1">
        <v>5016033</v>
      </c>
      <c r="H60" s="1">
        <v>0</v>
      </c>
      <c r="I60" s="1">
        <v>15499554</v>
      </c>
      <c r="J60" s="1">
        <v>0</v>
      </c>
      <c r="K60" s="1">
        <v>4620000</v>
      </c>
      <c r="L60" s="1">
        <v>0</v>
      </c>
      <c r="M60" s="1">
        <v>1000000</v>
      </c>
      <c r="N60" s="1">
        <v>2987193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1606000</v>
      </c>
      <c r="U60" s="1">
        <v>0</v>
      </c>
      <c r="V60" s="1">
        <v>21891028</v>
      </c>
      <c r="W60" s="1">
        <v>1900000</v>
      </c>
      <c r="X60" s="1">
        <v>2285148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2133709</v>
      </c>
      <c r="AF60" s="1">
        <v>3033762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12830735</v>
      </c>
      <c r="AM60" s="1">
        <v>0</v>
      </c>
      <c r="AN60" s="1">
        <v>0</v>
      </c>
      <c r="AO60" s="1">
        <v>90545293</v>
      </c>
      <c r="AP60" s="1">
        <v>42636613</v>
      </c>
      <c r="AQ60" s="1">
        <v>47908680</v>
      </c>
      <c r="AR60" s="1">
        <v>17181106</v>
      </c>
      <c r="AS60" s="1">
        <v>2577166</v>
      </c>
      <c r="AT60" s="1">
        <f t="shared" si="2"/>
        <v>110303565</v>
      </c>
    </row>
    <row r="61" spans="1:46" x14ac:dyDescent="0.2">
      <c r="A61" s="1" t="str">
        <f>"00074"</f>
        <v>00074</v>
      </c>
      <c r="B61" s="1" t="str">
        <f>"گل بس"</f>
        <v>گل بس</v>
      </c>
      <c r="C61" s="1" t="str">
        <f>"اسماعيلي"</f>
        <v>اسماعيلي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40422179</v>
      </c>
      <c r="G61" s="1">
        <v>36304359</v>
      </c>
      <c r="H61" s="1">
        <v>0</v>
      </c>
      <c r="I61" s="1">
        <v>45017603</v>
      </c>
      <c r="J61" s="1">
        <v>0</v>
      </c>
      <c r="K61" s="1">
        <v>0</v>
      </c>
      <c r="L61" s="1">
        <v>0</v>
      </c>
      <c r="M61" s="1">
        <v>1000000</v>
      </c>
      <c r="N61" s="1">
        <v>5422339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1606000</v>
      </c>
      <c r="U61" s="1">
        <v>0</v>
      </c>
      <c r="V61" s="1">
        <v>10404905</v>
      </c>
      <c r="W61" s="1">
        <v>1900000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4666120</v>
      </c>
      <c r="AD61" s="1">
        <v>0</v>
      </c>
      <c r="AE61" s="1">
        <v>3873101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4647718</v>
      </c>
      <c r="AM61" s="1">
        <v>0</v>
      </c>
      <c r="AN61" s="1">
        <v>0</v>
      </c>
      <c r="AO61" s="1">
        <v>155264324</v>
      </c>
      <c r="AP61" s="1">
        <v>62777389</v>
      </c>
      <c r="AQ61" s="1">
        <v>92486935</v>
      </c>
      <c r="AR61" s="1">
        <v>21944212</v>
      </c>
      <c r="AS61" s="1">
        <v>3291632</v>
      </c>
      <c r="AT61" s="1">
        <f t="shared" si="2"/>
        <v>180500168</v>
      </c>
    </row>
    <row r="62" spans="1:46" x14ac:dyDescent="0.2">
      <c r="A62" s="1" t="str">
        <f>"00075"</f>
        <v>00075</v>
      </c>
      <c r="B62" s="1" t="str">
        <f>"محمد"</f>
        <v>محمد</v>
      </c>
      <c r="C62" s="1" t="str">
        <f>"اصغرزاده"</f>
        <v>اصغرزاده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25048083</v>
      </c>
      <c r="G62" s="1">
        <v>11213397</v>
      </c>
      <c r="H62" s="1">
        <v>0</v>
      </c>
      <c r="I62" s="1">
        <v>23130266</v>
      </c>
      <c r="J62" s="1">
        <v>0</v>
      </c>
      <c r="K62" s="1">
        <v>5500000</v>
      </c>
      <c r="L62" s="1">
        <v>0</v>
      </c>
      <c r="M62" s="1">
        <v>1000000</v>
      </c>
      <c r="N62" s="1">
        <v>4095123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22588031</v>
      </c>
      <c r="W62" s="1">
        <v>1900000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2925088</v>
      </c>
      <c r="AF62" s="1">
        <v>1516881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5850175</v>
      </c>
      <c r="AM62" s="1">
        <v>0</v>
      </c>
      <c r="AN62" s="1">
        <v>0</v>
      </c>
      <c r="AO62" s="1">
        <v>104767044</v>
      </c>
      <c r="AP62" s="1">
        <v>36546790</v>
      </c>
      <c r="AQ62" s="1">
        <v>68220254</v>
      </c>
      <c r="AR62" s="1">
        <v>20650033</v>
      </c>
      <c r="AS62" s="1">
        <v>3097505</v>
      </c>
      <c r="AT62" s="1">
        <f t="shared" si="2"/>
        <v>128514582</v>
      </c>
    </row>
    <row r="63" spans="1:46" x14ac:dyDescent="0.2">
      <c r="A63" s="1" t="str">
        <f>"00076"</f>
        <v>00076</v>
      </c>
      <c r="B63" s="1" t="str">
        <f>"حسن"</f>
        <v>حسن</v>
      </c>
      <c r="C63" s="1" t="str">
        <f>"افشان مهر"</f>
        <v>افشان مهر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17137585</v>
      </c>
      <c r="G63" s="1">
        <v>8400088</v>
      </c>
      <c r="H63" s="1">
        <v>0</v>
      </c>
      <c r="I63" s="1">
        <v>16872032</v>
      </c>
      <c r="J63" s="1">
        <v>0</v>
      </c>
      <c r="K63" s="1">
        <v>4620000</v>
      </c>
      <c r="L63" s="1">
        <v>0</v>
      </c>
      <c r="M63" s="1">
        <v>1000000</v>
      </c>
      <c r="N63" s="1">
        <v>3475602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1606000</v>
      </c>
      <c r="U63" s="1">
        <v>0</v>
      </c>
      <c r="V63" s="1">
        <v>12584207</v>
      </c>
      <c r="W63" s="1">
        <v>1900000</v>
      </c>
      <c r="X63" s="1">
        <v>2487714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2482573</v>
      </c>
      <c r="AF63" s="1">
        <v>3033762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13582024</v>
      </c>
      <c r="AM63" s="1">
        <v>0</v>
      </c>
      <c r="AN63" s="1">
        <v>0</v>
      </c>
      <c r="AO63" s="1">
        <v>89181587</v>
      </c>
      <c r="AP63" s="1">
        <v>36617185</v>
      </c>
      <c r="AQ63" s="1">
        <v>52564402</v>
      </c>
      <c r="AR63" s="1">
        <v>16908365</v>
      </c>
      <c r="AS63" s="1">
        <v>2536255</v>
      </c>
      <c r="AT63" s="1">
        <f t="shared" si="2"/>
        <v>108626207</v>
      </c>
    </row>
    <row r="64" spans="1:46" x14ac:dyDescent="0.2">
      <c r="A64" s="1" t="str">
        <f>"00077"</f>
        <v>00077</v>
      </c>
      <c r="B64" s="1" t="str">
        <f>"مهراب"</f>
        <v>مهراب</v>
      </c>
      <c r="C64" s="1" t="str">
        <f>"اميدي"</f>
        <v>اميدي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25164188</v>
      </c>
      <c r="G64" s="1">
        <v>16897416</v>
      </c>
      <c r="H64" s="1">
        <v>4452000</v>
      </c>
      <c r="I64" s="1">
        <v>23835333</v>
      </c>
      <c r="J64" s="1">
        <v>0</v>
      </c>
      <c r="K64" s="1">
        <v>5500000</v>
      </c>
      <c r="L64" s="1">
        <v>0</v>
      </c>
      <c r="M64" s="1">
        <v>1000000</v>
      </c>
      <c r="N64" s="1">
        <v>4135760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13970948</v>
      </c>
      <c r="W64" s="1">
        <v>1900000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5520480</v>
      </c>
      <c r="AD64" s="1">
        <v>0</v>
      </c>
      <c r="AE64" s="1">
        <v>2954114</v>
      </c>
      <c r="AF64" s="1">
        <v>1516881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4135760</v>
      </c>
      <c r="AM64" s="1">
        <v>0</v>
      </c>
      <c r="AN64" s="1">
        <v>0</v>
      </c>
      <c r="AO64" s="1">
        <v>110982880</v>
      </c>
      <c r="AP64" s="1">
        <v>36102086</v>
      </c>
      <c r="AQ64" s="1">
        <v>74880794</v>
      </c>
      <c r="AR64" s="1">
        <v>20861928</v>
      </c>
      <c r="AS64" s="1">
        <v>3129289</v>
      </c>
      <c r="AT64" s="1">
        <f t="shared" si="2"/>
        <v>134974097</v>
      </c>
    </row>
    <row r="65" spans="1:46" x14ac:dyDescent="0.2">
      <c r="A65" s="1" t="str">
        <f>"00078"</f>
        <v>00078</v>
      </c>
      <c r="B65" s="1" t="str">
        <f>"مهدي"</f>
        <v>مهدي</v>
      </c>
      <c r="C65" s="1" t="str">
        <f>"اميري"</f>
        <v>اميري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20651415</v>
      </c>
      <c r="G65" s="1">
        <v>10600583</v>
      </c>
      <c r="H65" s="1">
        <v>0</v>
      </c>
      <c r="I65" s="1">
        <v>16751992</v>
      </c>
      <c r="J65" s="1">
        <v>0</v>
      </c>
      <c r="K65" s="1">
        <v>5500000</v>
      </c>
      <c r="L65" s="1">
        <v>0</v>
      </c>
      <c r="M65" s="1">
        <v>1000000</v>
      </c>
      <c r="N65" s="1">
        <v>3490170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12018032</v>
      </c>
      <c r="W65" s="1">
        <v>1900000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2492979</v>
      </c>
      <c r="AF65" s="1">
        <v>1516881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4685574</v>
      </c>
      <c r="AM65" s="1">
        <v>0</v>
      </c>
      <c r="AN65" s="1">
        <v>0</v>
      </c>
      <c r="AO65" s="1">
        <v>80607626</v>
      </c>
      <c r="AP65" s="1">
        <v>14349107</v>
      </c>
      <c r="AQ65" s="1">
        <v>66258519</v>
      </c>
      <c r="AR65" s="1">
        <v>15818149</v>
      </c>
      <c r="AS65" s="1">
        <v>2372722</v>
      </c>
      <c r="AT65" s="1">
        <f t="shared" si="2"/>
        <v>98798497</v>
      </c>
    </row>
    <row r="66" spans="1:46" x14ac:dyDescent="0.2">
      <c r="A66" s="1" t="str">
        <f>"00079"</f>
        <v>00079</v>
      </c>
      <c r="B66" s="1" t="str">
        <f>"رضا"</f>
        <v>رضا</v>
      </c>
      <c r="C66" s="1" t="str">
        <f>"بابااحمدي"</f>
        <v>بابااحمدي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14988541</v>
      </c>
      <c r="G66" s="1">
        <v>9239327</v>
      </c>
      <c r="H66" s="1">
        <v>0</v>
      </c>
      <c r="I66" s="1">
        <v>13383944</v>
      </c>
      <c r="J66" s="1">
        <v>0</v>
      </c>
      <c r="K66" s="1">
        <v>3465000</v>
      </c>
      <c r="L66" s="1">
        <v>0</v>
      </c>
      <c r="M66" s="1">
        <v>1000000</v>
      </c>
      <c r="N66" s="1">
        <v>2723437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1606000</v>
      </c>
      <c r="U66" s="1">
        <v>0</v>
      </c>
      <c r="V66" s="1">
        <v>18976008</v>
      </c>
      <c r="W66" s="1">
        <v>1900000</v>
      </c>
      <c r="X66" s="1">
        <v>2175756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1945312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10332498</v>
      </c>
      <c r="AM66" s="1">
        <v>0</v>
      </c>
      <c r="AN66" s="1">
        <v>0</v>
      </c>
      <c r="AO66" s="1">
        <v>81735823</v>
      </c>
      <c r="AP66" s="1">
        <v>11814698</v>
      </c>
      <c r="AQ66" s="1">
        <v>69921125</v>
      </c>
      <c r="AR66" s="1">
        <v>16025965</v>
      </c>
      <c r="AS66" s="1">
        <v>2403895</v>
      </c>
      <c r="AT66" s="1">
        <f t="shared" si="2"/>
        <v>100165683</v>
      </c>
    </row>
    <row r="67" spans="1:46" x14ac:dyDescent="0.2">
      <c r="A67" s="1" t="str">
        <f>"00081"</f>
        <v>00081</v>
      </c>
      <c r="B67" s="1" t="str">
        <f>"عباس"</f>
        <v>عباس</v>
      </c>
      <c r="C67" s="1" t="str">
        <f>"باقري"</f>
        <v>باقري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24447840</v>
      </c>
      <c r="G67" s="1">
        <v>17625297</v>
      </c>
      <c r="H67" s="1">
        <v>0</v>
      </c>
      <c r="I67" s="1">
        <v>21716583</v>
      </c>
      <c r="J67" s="1">
        <v>0</v>
      </c>
      <c r="K67" s="1">
        <v>5500000</v>
      </c>
      <c r="L67" s="1">
        <v>0</v>
      </c>
      <c r="M67" s="1">
        <v>1000000</v>
      </c>
      <c r="N67" s="1">
        <v>3885038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13978870</v>
      </c>
      <c r="W67" s="1">
        <v>1900000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2775027</v>
      </c>
      <c r="AF67" s="1">
        <v>3033762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6660065</v>
      </c>
      <c r="AM67" s="1">
        <v>0</v>
      </c>
      <c r="AN67" s="1">
        <v>0</v>
      </c>
      <c r="AO67" s="1">
        <v>102522482</v>
      </c>
      <c r="AP67" s="1">
        <v>49543166</v>
      </c>
      <c r="AQ67" s="1">
        <v>52979316</v>
      </c>
      <c r="AR67" s="1">
        <v>19897744</v>
      </c>
      <c r="AS67" s="1">
        <v>2984662</v>
      </c>
      <c r="AT67" s="1">
        <f t="shared" ref="AT67:AT130" si="7">AO67+AR67+AS67</f>
        <v>125404888</v>
      </c>
    </row>
    <row r="68" spans="1:46" x14ac:dyDescent="0.2">
      <c r="A68" s="1" t="str">
        <f>"00082"</f>
        <v>00082</v>
      </c>
      <c r="B68" s="1" t="str">
        <f>"ماه بگم"</f>
        <v>ماه بگم</v>
      </c>
      <c r="C68" s="1" t="str">
        <f>"بخشي"</f>
        <v>بخشي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17604197</v>
      </c>
      <c r="G68" s="1">
        <v>12548678</v>
      </c>
      <c r="H68" s="1">
        <v>0</v>
      </c>
      <c r="I68" s="1">
        <v>14664358</v>
      </c>
      <c r="J68" s="1">
        <v>1100000</v>
      </c>
      <c r="K68" s="1">
        <v>4125000</v>
      </c>
      <c r="L68" s="1">
        <v>0</v>
      </c>
      <c r="M68" s="1">
        <v>1000000</v>
      </c>
      <c r="N68" s="1">
        <v>2619161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1606000</v>
      </c>
      <c r="U68" s="1">
        <v>0</v>
      </c>
      <c r="V68" s="1">
        <v>4041652</v>
      </c>
      <c r="W68" s="1">
        <v>1900000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1870829</v>
      </c>
      <c r="AF68" s="1">
        <v>3033762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3657975</v>
      </c>
      <c r="AM68" s="1">
        <v>0</v>
      </c>
      <c r="AN68" s="1">
        <v>0</v>
      </c>
      <c r="AO68" s="1">
        <v>69771612</v>
      </c>
      <c r="AP68" s="1">
        <v>12866705</v>
      </c>
      <c r="AQ68" s="1">
        <v>56904907</v>
      </c>
      <c r="AR68" s="1">
        <v>12806370</v>
      </c>
      <c r="AS68" s="1">
        <v>1920956</v>
      </c>
      <c r="AT68" s="1">
        <f t="shared" si="7"/>
        <v>84498938</v>
      </c>
    </row>
    <row r="69" spans="1:46" x14ac:dyDescent="0.2">
      <c r="A69" s="1" t="str">
        <f>"00083"</f>
        <v>00083</v>
      </c>
      <c r="B69" s="1" t="str">
        <f>"مريم"</f>
        <v>مريم</v>
      </c>
      <c r="C69" s="1" t="str">
        <f>"فيروزآبادي"</f>
        <v>فيروزآبادي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24371167</v>
      </c>
      <c r="G69" s="1">
        <v>4092322</v>
      </c>
      <c r="H69" s="1">
        <v>0</v>
      </c>
      <c r="I69" s="1">
        <v>22581209</v>
      </c>
      <c r="J69" s="1">
        <v>0</v>
      </c>
      <c r="K69" s="1">
        <v>4125000</v>
      </c>
      <c r="L69" s="1">
        <v>0</v>
      </c>
      <c r="M69" s="1">
        <v>1000000</v>
      </c>
      <c r="N69" s="1">
        <v>3858202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13193943</v>
      </c>
      <c r="W69" s="1">
        <v>1900000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2755859</v>
      </c>
      <c r="AF69" s="1">
        <v>1516881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5732186</v>
      </c>
      <c r="AM69" s="1">
        <v>0</v>
      </c>
      <c r="AN69" s="1">
        <v>0</v>
      </c>
      <c r="AO69" s="1">
        <v>85126769</v>
      </c>
      <c r="AP69" s="1">
        <v>29794109</v>
      </c>
      <c r="AQ69" s="1">
        <v>55332660</v>
      </c>
      <c r="AR69" s="1">
        <v>16721978</v>
      </c>
      <c r="AS69" s="1">
        <v>2508297</v>
      </c>
      <c r="AT69" s="1">
        <f t="shared" si="7"/>
        <v>104357044</v>
      </c>
    </row>
    <row r="70" spans="1:46" x14ac:dyDescent="0.2">
      <c r="A70" s="1" t="str">
        <f>"00084"</f>
        <v>00084</v>
      </c>
      <c r="B70" s="1" t="str">
        <f>"غلامحسين"</f>
        <v>غلامحسين</v>
      </c>
      <c r="C70" s="1" t="str">
        <f>"بشار"</f>
        <v>بشار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16123307</v>
      </c>
      <c r="G70" s="1">
        <v>15485591</v>
      </c>
      <c r="H70" s="1">
        <v>0</v>
      </c>
      <c r="I70" s="1">
        <v>15252052</v>
      </c>
      <c r="J70" s="1">
        <v>0</v>
      </c>
      <c r="K70" s="1">
        <v>4620000</v>
      </c>
      <c r="L70" s="1">
        <v>0</v>
      </c>
      <c r="M70" s="1">
        <v>1000000</v>
      </c>
      <c r="N70" s="1">
        <v>3120605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1606000</v>
      </c>
      <c r="U70" s="1">
        <v>0</v>
      </c>
      <c r="V70" s="1">
        <v>11599515</v>
      </c>
      <c r="W70" s="1">
        <v>1900000</v>
      </c>
      <c r="X70" s="1">
        <v>2340480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2229003</v>
      </c>
      <c r="AF70" s="1">
        <v>1516881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12634670</v>
      </c>
      <c r="AM70" s="1">
        <v>0</v>
      </c>
      <c r="AN70" s="1">
        <v>0</v>
      </c>
      <c r="AO70" s="1">
        <v>89428104</v>
      </c>
      <c r="AP70" s="1">
        <v>14360603</v>
      </c>
      <c r="AQ70" s="1">
        <v>75067501</v>
      </c>
      <c r="AR70" s="1">
        <v>17261045</v>
      </c>
      <c r="AS70" s="1">
        <v>2589157</v>
      </c>
      <c r="AT70" s="1">
        <f t="shared" si="7"/>
        <v>109278306</v>
      </c>
    </row>
    <row r="71" spans="1:46" x14ac:dyDescent="0.2">
      <c r="A71" s="1" t="str">
        <f>"00086"</f>
        <v>00086</v>
      </c>
      <c r="B71" s="1" t="str">
        <f>"عباس"</f>
        <v>عباس</v>
      </c>
      <c r="C71" s="1" t="str">
        <f>"پرتوي سنگي"</f>
        <v>پرتوي سنگي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25201429</v>
      </c>
      <c r="G71" s="1">
        <v>15862456</v>
      </c>
      <c r="H71" s="1">
        <v>0</v>
      </c>
      <c r="I71" s="1">
        <v>23278930</v>
      </c>
      <c r="J71" s="1">
        <v>0</v>
      </c>
      <c r="K71" s="1">
        <v>5500000</v>
      </c>
      <c r="L71" s="1">
        <v>0</v>
      </c>
      <c r="M71" s="1">
        <v>1000000</v>
      </c>
      <c r="N71" s="1">
        <v>4148794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1606000</v>
      </c>
      <c r="U71" s="1">
        <v>0</v>
      </c>
      <c r="V71" s="1">
        <v>18526950</v>
      </c>
      <c r="W71" s="1">
        <v>1900000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2963424</v>
      </c>
      <c r="AF71" s="1">
        <v>1516881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6163922</v>
      </c>
      <c r="AM71" s="1">
        <v>0</v>
      </c>
      <c r="AN71" s="1">
        <v>0</v>
      </c>
      <c r="AO71" s="1">
        <v>107668786</v>
      </c>
      <c r="AP71" s="1">
        <v>48013648</v>
      </c>
      <c r="AQ71" s="1">
        <v>59655138</v>
      </c>
      <c r="AR71" s="1">
        <v>20909181</v>
      </c>
      <c r="AS71" s="1">
        <v>3136377</v>
      </c>
      <c r="AT71" s="1">
        <f t="shared" si="7"/>
        <v>131714344</v>
      </c>
    </row>
    <row r="72" spans="1:46" x14ac:dyDescent="0.2">
      <c r="A72" s="1" t="str">
        <f>"00088"</f>
        <v>00088</v>
      </c>
      <c r="B72" s="1" t="str">
        <f>"بهرام"</f>
        <v>بهرام</v>
      </c>
      <c r="C72" s="1" t="str">
        <f>"پذيرا"</f>
        <v>پذيرا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16405903</v>
      </c>
      <c r="G72" s="1">
        <v>3949520</v>
      </c>
      <c r="H72" s="1">
        <v>0</v>
      </c>
      <c r="I72" s="1">
        <v>15615540</v>
      </c>
      <c r="J72" s="1">
        <v>0</v>
      </c>
      <c r="K72" s="1">
        <v>4620000</v>
      </c>
      <c r="L72" s="1">
        <v>0</v>
      </c>
      <c r="M72" s="1">
        <v>1000000</v>
      </c>
      <c r="N72" s="1">
        <v>3219513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11833585</v>
      </c>
      <c r="W72" s="1">
        <v>1900000</v>
      </c>
      <c r="X72" s="1">
        <v>2381502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2299652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12815071</v>
      </c>
      <c r="AM72" s="1">
        <v>0</v>
      </c>
      <c r="AN72" s="1">
        <v>0</v>
      </c>
      <c r="AO72" s="1">
        <v>76040286</v>
      </c>
      <c r="AP72" s="1">
        <v>36122386</v>
      </c>
      <c r="AQ72" s="1">
        <v>39917900</v>
      </c>
      <c r="AR72" s="1">
        <v>15208057</v>
      </c>
      <c r="AS72" s="1">
        <v>2281209</v>
      </c>
      <c r="AT72" s="1">
        <f t="shared" si="7"/>
        <v>93529552</v>
      </c>
    </row>
    <row r="73" spans="1:46" x14ac:dyDescent="0.2">
      <c r="A73" s="1" t="str">
        <f>"00090"</f>
        <v>00090</v>
      </c>
      <c r="B73" s="1" t="str">
        <f>"محمدامين"</f>
        <v>محمدامين</v>
      </c>
      <c r="C73" s="1" t="str">
        <f>"جليل وند"</f>
        <v>جليل وند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21394051</v>
      </c>
      <c r="G73" s="1">
        <v>9268031</v>
      </c>
      <c r="H73" s="1">
        <v>0</v>
      </c>
      <c r="I73" s="1">
        <v>20162494</v>
      </c>
      <c r="J73" s="1">
        <v>0</v>
      </c>
      <c r="K73" s="1">
        <v>5500000</v>
      </c>
      <c r="L73" s="1">
        <v>0</v>
      </c>
      <c r="M73" s="1">
        <v>1000000</v>
      </c>
      <c r="N73" s="1">
        <v>3750093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1606000</v>
      </c>
      <c r="U73" s="1">
        <v>0</v>
      </c>
      <c r="V73" s="1">
        <v>28891176</v>
      </c>
      <c r="W73" s="1">
        <v>1900000</v>
      </c>
      <c r="X73" s="1">
        <v>3105588</v>
      </c>
      <c r="Y73" s="1">
        <v>0</v>
      </c>
      <c r="Z73" s="1">
        <v>0</v>
      </c>
      <c r="AA73" s="1">
        <v>0</v>
      </c>
      <c r="AB73" s="1">
        <v>0</v>
      </c>
      <c r="AC73" s="1">
        <v>3877480</v>
      </c>
      <c r="AD73" s="1">
        <v>0</v>
      </c>
      <c r="AE73" s="1">
        <v>2678638</v>
      </c>
      <c r="AF73" s="1">
        <v>1516881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13061236</v>
      </c>
      <c r="AM73" s="1">
        <v>0</v>
      </c>
      <c r="AN73" s="1">
        <v>0</v>
      </c>
      <c r="AO73" s="1">
        <v>117711668</v>
      </c>
      <c r="AP73" s="1">
        <v>42712885</v>
      </c>
      <c r="AQ73" s="1">
        <v>74998783</v>
      </c>
      <c r="AR73" s="1">
        <v>21944212</v>
      </c>
      <c r="AS73" s="1">
        <v>3291632</v>
      </c>
      <c r="AT73" s="1">
        <f t="shared" si="7"/>
        <v>142947512</v>
      </c>
    </row>
    <row r="74" spans="1:46" x14ac:dyDescent="0.2">
      <c r="A74" s="1" t="str">
        <f>"00091"</f>
        <v>00091</v>
      </c>
      <c r="B74" s="1" t="str">
        <f>"زهرا"</f>
        <v>زهرا</v>
      </c>
      <c r="C74" s="1" t="str">
        <f>"جوكار"</f>
        <v>جوكار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20894579</v>
      </c>
      <c r="G74" s="1">
        <v>0</v>
      </c>
      <c r="H74" s="1">
        <v>0</v>
      </c>
      <c r="I74" s="1">
        <v>18665794</v>
      </c>
      <c r="J74" s="1">
        <v>0</v>
      </c>
      <c r="K74" s="1">
        <v>4125000</v>
      </c>
      <c r="L74" s="1">
        <v>0</v>
      </c>
      <c r="M74" s="1">
        <v>1000000</v>
      </c>
      <c r="N74" s="1">
        <v>3575278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1606000</v>
      </c>
      <c r="U74" s="1">
        <v>0</v>
      </c>
      <c r="V74" s="1">
        <v>8156860</v>
      </c>
      <c r="W74" s="1">
        <v>1900000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2553770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4506639</v>
      </c>
      <c r="AM74" s="1">
        <v>0</v>
      </c>
      <c r="AN74" s="1">
        <v>0</v>
      </c>
      <c r="AO74" s="1">
        <v>66983920</v>
      </c>
      <c r="AP74" s="1">
        <v>12716364</v>
      </c>
      <c r="AQ74" s="1">
        <v>54267556</v>
      </c>
      <c r="AR74" s="1">
        <v>13075584</v>
      </c>
      <c r="AS74" s="1">
        <v>1961338</v>
      </c>
      <c r="AT74" s="1">
        <f t="shared" si="7"/>
        <v>82020842</v>
      </c>
    </row>
    <row r="75" spans="1:46" x14ac:dyDescent="0.2">
      <c r="A75" s="1" t="str">
        <f>"00092"</f>
        <v>00092</v>
      </c>
      <c r="B75" s="1" t="str">
        <f>"احسان"</f>
        <v>احسان</v>
      </c>
      <c r="C75" s="1" t="str">
        <f>"حاجي نژاد"</f>
        <v>حاجي نژاد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20730279</v>
      </c>
      <c r="G75" s="1">
        <v>8761724</v>
      </c>
      <c r="H75" s="1">
        <v>0</v>
      </c>
      <c r="I75" s="1">
        <v>17859926</v>
      </c>
      <c r="J75" s="1">
        <v>0</v>
      </c>
      <c r="K75" s="1">
        <v>5500000</v>
      </c>
      <c r="L75" s="1">
        <v>0</v>
      </c>
      <c r="M75" s="1">
        <v>1000000</v>
      </c>
      <c r="N75" s="1">
        <v>3517773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10362418</v>
      </c>
      <c r="W75" s="1">
        <v>1900000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2512695</v>
      </c>
      <c r="AF75" s="1">
        <v>1516881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4143646</v>
      </c>
      <c r="AM75" s="1">
        <v>0</v>
      </c>
      <c r="AN75" s="1">
        <v>0</v>
      </c>
      <c r="AO75" s="1">
        <v>77805342</v>
      </c>
      <c r="AP75" s="1">
        <v>24601069</v>
      </c>
      <c r="AQ75" s="1">
        <v>53204273</v>
      </c>
      <c r="AR75" s="1">
        <v>15257692</v>
      </c>
      <c r="AS75" s="1">
        <v>2288654</v>
      </c>
      <c r="AT75" s="1">
        <f t="shared" si="7"/>
        <v>95351688</v>
      </c>
    </row>
    <row r="76" spans="1:46" x14ac:dyDescent="0.2">
      <c r="A76" s="1" t="str">
        <f>"00093"</f>
        <v>00093</v>
      </c>
      <c r="B76" s="1" t="str">
        <f>"مهدي"</f>
        <v>مهدي</v>
      </c>
      <c r="C76" s="1" t="str">
        <f>"حسين پور"</f>
        <v>حسين پور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15437628</v>
      </c>
      <c r="G76" s="1">
        <v>6785156</v>
      </c>
      <c r="H76" s="1">
        <v>0</v>
      </c>
      <c r="I76" s="1">
        <v>13938004</v>
      </c>
      <c r="J76" s="1">
        <v>0</v>
      </c>
      <c r="K76" s="1">
        <v>3465000</v>
      </c>
      <c r="L76" s="1">
        <v>0</v>
      </c>
      <c r="M76" s="1">
        <v>1000000</v>
      </c>
      <c r="N76" s="1">
        <v>2880617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1606000</v>
      </c>
      <c r="U76" s="1">
        <v>0</v>
      </c>
      <c r="V76" s="1">
        <v>10762805</v>
      </c>
      <c r="W76" s="1">
        <v>1900000</v>
      </c>
      <c r="X76" s="1">
        <v>2240946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2057584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11485337</v>
      </c>
      <c r="AM76" s="1">
        <v>0</v>
      </c>
      <c r="AN76" s="1">
        <v>0</v>
      </c>
      <c r="AO76" s="1">
        <v>73559077</v>
      </c>
      <c r="AP76" s="1">
        <v>35445654</v>
      </c>
      <c r="AQ76" s="1">
        <v>38113423</v>
      </c>
      <c r="AR76" s="1">
        <v>14390615</v>
      </c>
      <c r="AS76" s="1">
        <v>2158592</v>
      </c>
      <c r="AT76" s="1">
        <f t="shared" si="7"/>
        <v>90108284</v>
      </c>
    </row>
    <row r="77" spans="1:46" x14ac:dyDescent="0.2">
      <c r="A77" s="1" t="str">
        <f>"00094"</f>
        <v>00094</v>
      </c>
      <c r="B77" s="1" t="str">
        <f>"امير"</f>
        <v>امير</v>
      </c>
      <c r="C77" s="1" t="str">
        <f>"حسين نيا"</f>
        <v>حسين نيا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15580021</v>
      </c>
      <c r="G77" s="1">
        <v>0</v>
      </c>
      <c r="H77" s="1">
        <v>0</v>
      </c>
      <c r="I77" s="1">
        <v>13370536</v>
      </c>
      <c r="J77" s="1">
        <v>0</v>
      </c>
      <c r="K77" s="1">
        <v>4620000</v>
      </c>
      <c r="L77" s="1">
        <v>0</v>
      </c>
      <c r="M77" s="1">
        <v>1000000</v>
      </c>
      <c r="N77" s="1">
        <v>2930455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9509864</v>
      </c>
      <c r="W77" s="1">
        <v>1900000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2093182</v>
      </c>
      <c r="AF77" s="1">
        <v>1516881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6493312</v>
      </c>
      <c r="AM77" s="1">
        <v>0</v>
      </c>
      <c r="AN77" s="1">
        <v>0</v>
      </c>
      <c r="AO77" s="1">
        <v>59014251</v>
      </c>
      <c r="AP77" s="1">
        <v>31891784</v>
      </c>
      <c r="AQ77" s="1">
        <v>27122467</v>
      </c>
      <c r="AR77" s="1">
        <v>11499474</v>
      </c>
      <c r="AS77" s="1">
        <v>1724921</v>
      </c>
      <c r="AT77" s="1">
        <f t="shared" si="7"/>
        <v>72238646</v>
      </c>
    </row>
    <row r="78" spans="1:46" x14ac:dyDescent="0.2">
      <c r="A78" s="1" t="str">
        <f>"00095"</f>
        <v>00095</v>
      </c>
      <c r="B78" s="1" t="str">
        <f>"سيداشكان"</f>
        <v>سيداشكان</v>
      </c>
      <c r="C78" s="1" t="str">
        <f>"حسيني ليراوي"</f>
        <v>حسيني ليراوي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16070731</v>
      </c>
      <c r="G78" s="1">
        <v>5169230</v>
      </c>
      <c r="H78" s="1">
        <v>0</v>
      </c>
      <c r="I78" s="1">
        <v>15473652</v>
      </c>
      <c r="J78" s="1">
        <v>0</v>
      </c>
      <c r="K78" s="1">
        <v>4620000</v>
      </c>
      <c r="L78" s="1">
        <v>0</v>
      </c>
      <c r="M78" s="1">
        <v>1000000</v>
      </c>
      <c r="N78" s="1">
        <v>3102203</v>
      </c>
      <c r="O78" s="1">
        <v>0</v>
      </c>
      <c r="P78" s="1">
        <v>0</v>
      </c>
      <c r="Q78" s="1">
        <v>0</v>
      </c>
      <c r="R78" s="1">
        <v>6750000</v>
      </c>
      <c r="S78" s="1">
        <v>0</v>
      </c>
      <c r="T78" s="1">
        <v>1606000</v>
      </c>
      <c r="U78" s="1">
        <v>0</v>
      </c>
      <c r="V78" s="1">
        <v>11616069</v>
      </c>
      <c r="W78" s="1">
        <v>1900000</v>
      </c>
      <c r="X78" s="1">
        <v>1292308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2215859</v>
      </c>
      <c r="AF78" s="1">
        <v>1516881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12567636</v>
      </c>
      <c r="AM78" s="1">
        <v>0</v>
      </c>
      <c r="AN78" s="1">
        <v>0</v>
      </c>
      <c r="AO78" s="1">
        <v>84900569</v>
      </c>
      <c r="AP78" s="1">
        <v>34820874</v>
      </c>
      <c r="AQ78" s="1">
        <v>50079695</v>
      </c>
      <c r="AR78" s="1">
        <v>15005538</v>
      </c>
      <c r="AS78" s="1">
        <v>2250831</v>
      </c>
      <c r="AT78" s="1">
        <f t="shared" si="7"/>
        <v>102156938</v>
      </c>
    </row>
    <row r="79" spans="1:46" x14ac:dyDescent="0.2">
      <c r="A79" s="1" t="str">
        <f>"00096"</f>
        <v>00096</v>
      </c>
      <c r="B79" s="1" t="str">
        <f>"مهدي"</f>
        <v>مهدي</v>
      </c>
      <c r="C79" s="1" t="str">
        <f>"حيدري"</f>
        <v>حيدري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15385052</v>
      </c>
      <c r="G79" s="1">
        <v>342707</v>
      </c>
      <c r="H79" s="1">
        <v>0</v>
      </c>
      <c r="I79" s="1">
        <v>12788169</v>
      </c>
      <c r="J79" s="1">
        <v>0</v>
      </c>
      <c r="K79" s="1">
        <v>4620000</v>
      </c>
      <c r="L79" s="1">
        <v>0</v>
      </c>
      <c r="M79" s="1">
        <v>1000000</v>
      </c>
      <c r="N79" s="1">
        <v>2862216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9241382</v>
      </c>
      <c r="W79" s="1">
        <v>1900000</v>
      </c>
      <c r="X79" s="1">
        <v>0</v>
      </c>
      <c r="Y79" s="1">
        <v>5140598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2044440</v>
      </c>
      <c r="AF79" s="1">
        <v>7382154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6245153</v>
      </c>
      <c r="AM79" s="1">
        <v>0</v>
      </c>
      <c r="AN79" s="1">
        <v>0</v>
      </c>
      <c r="AO79" s="1">
        <v>68951871</v>
      </c>
      <c r="AP79" s="1">
        <v>10023279</v>
      </c>
      <c r="AQ79" s="1">
        <v>58928592</v>
      </c>
      <c r="AR79" s="1">
        <v>12313943</v>
      </c>
      <c r="AS79" s="1">
        <v>1847092</v>
      </c>
      <c r="AT79" s="1">
        <f t="shared" si="7"/>
        <v>83112906</v>
      </c>
    </row>
    <row r="80" spans="1:46" x14ac:dyDescent="0.2">
      <c r="A80" s="1" t="str">
        <f>"00097"</f>
        <v>00097</v>
      </c>
      <c r="B80" s="1" t="str">
        <f>"ابراهيم"</f>
        <v>ابراهيم</v>
      </c>
      <c r="C80" s="1" t="str">
        <f>"خادميان"</f>
        <v>خادميان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13595277</v>
      </c>
      <c r="G80" s="1">
        <v>8870352</v>
      </c>
      <c r="H80" s="1">
        <v>0</v>
      </c>
      <c r="I80" s="1">
        <v>12431733</v>
      </c>
      <c r="J80" s="1">
        <v>0</v>
      </c>
      <c r="K80" s="1">
        <v>0</v>
      </c>
      <c r="L80" s="1">
        <v>0</v>
      </c>
      <c r="M80" s="1">
        <v>1000000</v>
      </c>
      <c r="N80" s="1">
        <v>2504151</v>
      </c>
      <c r="O80" s="1">
        <v>0</v>
      </c>
      <c r="P80" s="1">
        <v>0</v>
      </c>
      <c r="Q80" s="1">
        <v>0</v>
      </c>
      <c r="R80" s="1">
        <v>463224</v>
      </c>
      <c r="S80" s="1">
        <v>0</v>
      </c>
      <c r="T80" s="1">
        <v>1606000</v>
      </c>
      <c r="U80" s="1">
        <v>0</v>
      </c>
      <c r="V80" s="1">
        <v>6690212</v>
      </c>
      <c r="W80" s="1">
        <v>1900000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1788679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4891802</v>
      </c>
      <c r="AM80" s="1">
        <v>0</v>
      </c>
      <c r="AN80" s="1">
        <v>0</v>
      </c>
      <c r="AO80" s="1">
        <v>55741430</v>
      </c>
      <c r="AP80" s="1">
        <v>18821249</v>
      </c>
      <c r="AQ80" s="1">
        <v>36920181</v>
      </c>
      <c r="AR80" s="1">
        <v>10734441</v>
      </c>
      <c r="AS80" s="1">
        <v>1610166</v>
      </c>
      <c r="AT80" s="1">
        <f t="shared" si="7"/>
        <v>68086037</v>
      </c>
    </row>
    <row r="81" spans="1:46" x14ac:dyDescent="0.2">
      <c r="A81" s="1" t="str">
        <f>"00098"</f>
        <v>00098</v>
      </c>
      <c r="B81" s="1" t="str">
        <f>"اسماعيل"</f>
        <v>اسماعيل</v>
      </c>
      <c r="C81" s="1" t="str">
        <f>"خجسته"</f>
        <v>خجسته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21691981</v>
      </c>
      <c r="G81" s="1">
        <v>1570318</v>
      </c>
      <c r="H81" s="1">
        <v>0</v>
      </c>
      <c r="I81" s="1">
        <v>19531128</v>
      </c>
      <c r="J81" s="1">
        <v>0</v>
      </c>
      <c r="K81" s="1">
        <v>5500000</v>
      </c>
      <c r="L81" s="1">
        <v>0</v>
      </c>
      <c r="M81" s="1">
        <v>1000000</v>
      </c>
      <c r="N81" s="1">
        <v>3164308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1606000</v>
      </c>
      <c r="U81" s="1">
        <v>0</v>
      </c>
      <c r="V81" s="1">
        <v>5057649</v>
      </c>
      <c r="W81" s="1">
        <v>1900000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2260220</v>
      </c>
      <c r="AF81" s="1">
        <v>4550643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3928851</v>
      </c>
      <c r="AM81" s="1">
        <v>0</v>
      </c>
      <c r="AN81" s="1">
        <v>0</v>
      </c>
      <c r="AO81" s="1">
        <v>71761098</v>
      </c>
      <c r="AP81" s="1">
        <v>18202112</v>
      </c>
      <c r="AQ81" s="1">
        <v>53558986</v>
      </c>
      <c r="AR81" s="1">
        <v>13120891</v>
      </c>
      <c r="AS81" s="1">
        <v>1968134</v>
      </c>
      <c r="AT81" s="1">
        <f t="shared" si="7"/>
        <v>86850123</v>
      </c>
    </row>
    <row r="82" spans="1:46" x14ac:dyDescent="0.2">
      <c r="A82" s="1" t="str">
        <f>"00099"</f>
        <v>00099</v>
      </c>
      <c r="B82" s="1" t="str">
        <f>"عباس"</f>
        <v>عباس</v>
      </c>
      <c r="C82" s="1" t="str">
        <f>"پورداراب"</f>
        <v>پورداراب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23976847</v>
      </c>
      <c r="G82" s="1">
        <v>21777147</v>
      </c>
      <c r="H82" s="1">
        <v>0</v>
      </c>
      <c r="I82" s="1">
        <v>20970006</v>
      </c>
      <c r="J82" s="1">
        <v>0</v>
      </c>
      <c r="K82" s="1">
        <v>5500000</v>
      </c>
      <c r="L82" s="1">
        <v>0</v>
      </c>
      <c r="M82" s="1">
        <v>1000000</v>
      </c>
      <c r="N82" s="1">
        <v>3720190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1606000</v>
      </c>
      <c r="U82" s="1">
        <v>0</v>
      </c>
      <c r="V82" s="1">
        <v>12367017</v>
      </c>
      <c r="W82" s="1">
        <v>1900000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2657279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4889392</v>
      </c>
      <c r="AM82" s="1">
        <v>0</v>
      </c>
      <c r="AN82" s="1">
        <v>0</v>
      </c>
      <c r="AO82" s="1">
        <v>100363878</v>
      </c>
      <c r="AP82" s="1">
        <v>21078013</v>
      </c>
      <c r="AQ82" s="1">
        <v>79285865</v>
      </c>
      <c r="AR82" s="1">
        <v>19751576</v>
      </c>
      <c r="AS82" s="1">
        <v>2962736</v>
      </c>
      <c r="AT82" s="1">
        <f t="shared" si="7"/>
        <v>123078190</v>
      </c>
    </row>
    <row r="83" spans="1:46" x14ac:dyDescent="0.2">
      <c r="A83" s="1" t="str">
        <f>"00100"</f>
        <v>00100</v>
      </c>
      <c r="B83" s="1" t="str">
        <f>"علي"</f>
        <v>علي</v>
      </c>
      <c r="C83" s="1" t="str">
        <f>"خرم"</f>
        <v>خرم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15286472</v>
      </c>
      <c r="G83" s="1">
        <v>12023428</v>
      </c>
      <c r="H83" s="1">
        <v>0</v>
      </c>
      <c r="I83" s="1">
        <v>14229567</v>
      </c>
      <c r="J83" s="1">
        <v>0</v>
      </c>
      <c r="K83" s="1">
        <v>4620000</v>
      </c>
      <c r="L83" s="1">
        <v>0</v>
      </c>
      <c r="M83" s="1">
        <v>1000000</v>
      </c>
      <c r="N83" s="1">
        <v>2827713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1606000</v>
      </c>
      <c r="U83" s="1">
        <v>0</v>
      </c>
      <c r="V83" s="1">
        <v>10807409</v>
      </c>
      <c r="W83" s="1">
        <v>1900000</v>
      </c>
      <c r="X83" s="1">
        <v>2219004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2019795</v>
      </c>
      <c r="AF83" s="1">
        <v>1516881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11625430</v>
      </c>
      <c r="AM83" s="1">
        <v>0</v>
      </c>
      <c r="AN83" s="1">
        <v>0</v>
      </c>
      <c r="AO83" s="1">
        <v>81681699</v>
      </c>
      <c r="AP83" s="1">
        <v>38662049</v>
      </c>
      <c r="AQ83" s="1">
        <v>43019650</v>
      </c>
      <c r="AR83" s="1">
        <v>15711764</v>
      </c>
      <c r="AS83" s="1">
        <v>2356765</v>
      </c>
      <c r="AT83" s="1">
        <f t="shared" si="7"/>
        <v>99750228</v>
      </c>
    </row>
    <row r="84" spans="1:46" x14ac:dyDescent="0.2">
      <c r="A84" s="1" t="str">
        <f>"00101"</f>
        <v>00101</v>
      </c>
      <c r="B84" s="1" t="str">
        <f>"امين"</f>
        <v>امين</v>
      </c>
      <c r="C84" s="1" t="str">
        <f>"بهادري"</f>
        <v>بهادري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33000203</v>
      </c>
      <c r="G84" s="1">
        <v>29953435</v>
      </c>
      <c r="H84" s="1">
        <v>0</v>
      </c>
      <c r="I84" s="1">
        <v>33833301</v>
      </c>
      <c r="J84" s="1">
        <v>0</v>
      </c>
      <c r="K84" s="1">
        <v>5500000</v>
      </c>
      <c r="L84" s="1">
        <v>0</v>
      </c>
      <c r="M84" s="1">
        <v>1000000</v>
      </c>
      <c r="N84" s="1">
        <v>4635670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7875379</v>
      </c>
      <c r="W84" s="1">
        <v>1900000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3311192</v>
      </c>
      <c r="AF84" s="1">
        <v>1516881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3973431</v>
      </c>
      <c r="AM84" s="1">
        <v>0</v>
      </c>
      <c r="AN84" s="1">
        <v>0</v>
      </c>
      <c r="AO84" s="1">
        <v>126499492</v>
      </c>
      <c r="AP84" s="1">
        <v>51546981</v>
      </c>
      <c r="AQ84" s="1">
        <v>74952511</v>
      </c>
      <c r="AR84" s="1">
        <v>21944212</v>
      </c>
      <c r="AS84" s="1">
        <v>3291632</v>
      </c>
      <c r="AT84" s="1">
        <f t="shared" si="7"/>
        <v>151735336</v>
      </c>
    </row>
    <row r="85" spans="1:46" x14ac:dyDescent="0.2">
      <c r="A85" s="1" t="str">
        <f>"00102"</f>
        <v>00102</v>
      </c>
      <c r="B85" s="1" t="str">
        <f>"فيروزه"</f>
        <v>فيروزه</v>
      </c>
      <c r="C85" s="1" t="str">
        <f>"خليفه نژاد برازجاني"</f>
        <v>خليفه نژاد برازجاني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15290853</v>
      </c>
      <c r="G85" s="1">
        <v>7209871</v>
      </c>
      <c r="H85" s="1">
        <v>0</v>
      </c>
      <c r="I85" s="1">
        <v>13057863</v>
      </c>
      <c r="J85" s="1">
        <v>1100000</v>
      </c>
      <c r="K85" s="1">
        <v>3465000</v>
      </c>
      <c r="L85" s="1">
        <v>0</v>
      </c>
      <c r="M85" s="1">
        <v>1000000</v>
      </c>
      <c r="N85" s="1">
        <v>2829246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1606000</v>
      </c>
      <c r="U85" s="1">
        <v>0</v>
      </c>
      <c r="V85" s="1">
        <v>9258118</v>
      </c>
      <c r="W85" s="1">
        <v>1900000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2020890</v>
      </c>
      <c r="AF85" s="1">
        <v>1516881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6197396</v>
      </c>
      <c r="AM85" s="1">
        <v>0</v>
      </c>
      <c r="AN85" s="1">
        <v>0</v>
      </c>
      <c r="AO85" s="1">
        <v>66452118</v>
      </c>
      <c r="AP85" s="1">
        <v>16487022</v>
      </c>
      <c r="AQ85" s="1">
        <v>49965096</v>
      </c>
      <c r="AR85" s="1">
        <v>12445847</v>
      </c>
      <c r="AS85" s="1">
        <v>1866877</v>
      </c>
      <c r="AT85" s="1">
        <f t="shared" si="7"/>
        <v>80764842</v>
      </c>
    </row>
    <row r="86" spans="1:46" x14ac:dyDescent="0.2">
      <c r="A86" s="1" t="str">
        <f>"00104"</f>
        <v>00104</v>
      </c>
      <c r="B86" s="1" t="str">
        <f>"امير"</f>
        <v>امير</v>
      </c>
      <c r="C86" s="1" t="str">
        <f>"دادجو"</f>
        <v>دادجو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24189341</v>
      </c>
      <c r="G86" s="1">
        <v>9730867</v>
      </c>
      <c r="H86" s="1">
        <v>0</v>
      </c>
      <c r="I86" s="1">
        <v>22010809</v>
      </c>
      <c r="J86" s="1">
        <v>0</v>
      </c>
      <c r="K86" s="1">
        <v>5500000</v>
      </c>
      <c r="L86" s="1">
        <v>0</v>
      </c>
      <c r="M86" s="1">
        <v>1000000</v>
      </c>
      <c r="N86" s="1">
        <v>3794563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1606000</v>
      </c>
      <c r="U86" s="1">
        <v>0</v>
      </c>
      <c r="V86" s="1">
        <v>21907730</v>
      </c>
      <c r="W86" s="1">
        <v>1900000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2710402</v>
      </c>
      <c r="AF86" s="1">
        <v>1516881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6504966</v>
      </c>
      <c r="AM86" s="1">
        <v>0</v>
      </c>
      <c r="AN86" s="1">
        <v>0</v>
      </c>
      <c r="AO86" s="1">
        <v>102371559</v>
      </c>
      <c r="AP86" s="1">
        <v>42658915</v>
      </c>
      <c r="AQ86" s="1">
        <v>59712644</v>
      </c>
      <c r="AR86" s="1">
        <v>19849736</v>
      </c>
      <c r="AS86" s="1">
        <v>2977460</v>
      </c>
      <c r="AT86" s="1">
        <f t="shared" si="7"/>
        <v>125198755</v>
      </c>
    </row>
    <row r="87" spans="1:46" x14ac:dyDescent="0.2">
      <c r="A87" s="1" t="str">
        <f>"00105"</f>
        <v>00105</v>
      </c>
      <c r="B87" s="1" t="str">
        <f>"فاطمه"</f>
        <v>فاطمه</v>
      </c>
      <c r="C87" s="1" t="str">
        <f>"درفشان"</f>
        <v>درفشان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24585852</v>
      </c>
      <c r="G87" s="1">
        <v>464028</v>
      </c>
      <c r="H87" s="1">
        <v>0</v>
      </c>
      <c r="I87" s="1">
        <v>20297328</v>
      </c>
      <c r="J87" s="1">
        <v>1100000</v>
      </c>
      <c r="K87" s="1">
        <v>4125000</v>
      </c>
      <c r="L87" s="1">
        <v>0</v>
      </c>
      <c r="M87" s="1">
        <v>1000000</v>
      </c>
      <c r="N87" s="1">
        <v>3728622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9554771</v>
      </c>
      <c r="W87" s="1">
        <v>1900000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2663303</v>
      </c>
      <c r="AF87" s="1">
        <v>1516881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4929437</v>
      </c>
      <c r="AM87" s="1">
        <v>0</v>
      </c>
      <c r="AN87" s="1">
        <v>0</v>
      </c>
      <c r="AO87" s="1">
        <v>75865222</v>
      </c>
      <c r="AP87" s="1">
        <v>18073434</v>
      </c>
      <c r="AQ87" s="1">
        <v>57791788</v>
      </c>
      <c r="AR87" s="1">
        <v>14649668</v>
      </c>
      <c r="AS87" s="1">
        <v>2197450</v>
      </c>
      <c r="AT87" s="1">
        <f t="shared" si="7"/>
        <v>92712340</v>
      </c>
    </row>
    <row r="88" spans="1:46" x14ac:dyDescent="0.2">
      <c r="A88" s="1" t="str">
        <f>"00106"</f>
        <v>00106</v>
      </c>
      <c r="B88" s="1" t="str">
        <f>"راحيل"</f>
        <v>راحيل</v>
      </c>
      <c r="C88" s="1" t="str">
        <f>"درويشي"</f>
        <v>درويشي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15404768</v>
      </c>
      <c r="G88" s="1">
        <v>695864</v>
      </c>
      <c r="H88" s="1">
        <v>0</v>
      </c>
      <c r="I88" s="1">
        <v>13504330</v>
      </c>
      <c r="J88" s="1">
        <v>0</v>
      </c>
      <c r="K88" s="1">
        <v>3465000</v>
      </c>
      <c r="L88" s="1">
        <v>0</v>
      </c>
      <c r="M88" s="1">
        <v>1000000</v>
      </c>
      <c r="N88" s="1">
        <v>2869116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9382292</v>
      </c>
      <c r="W88" s="1">
        <v>1900000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2049369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6097063</v>
      </c>
      <c r="AM88" s="1">
        <v>0</v>
      </c>
      <c r="AN88" s="1">
        <v>0</v>
      </c>
      <c r="AO88" s="1">
        <v>56367802</v>
      </c>
      <c r="AP88" s="1">
        <v>24945470</v>
      </c>
      <c r="AQ88" s="1">
        <v>31422332</v>
      </c>
      <c r="AR88" s="1">
        <v>11273560</v>
      </c>
      <c r="AS88" s="1">
        <v>1691034</v>
      </c>
      <c r="AT88" s="1">
        <f t="shared" si="7"/>
        <v>69332396</v>
      </c>
    </row>
    <row r="89" spans="1:46" x14ac:dyDescent="0.2">
      <c r="A89" s="1" t="str">
        <f>"00107"</f>
        <v>00107</v>
      </c>
      <c r="B89" s="1" t="str">
        <f>"داود"</f>
        <v>داود</v>
      </c>
      <c r="C89" s="1" t="str">
        <f>"دشتي"</f>
        <v>دشتي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16296369</v>
      </c>
      <c r="G89" s="1">
        <v>15849824</v>
      </c>
      <c r="H89" s="1">
        <v>0</v>
      </c>
      <c r="I89" s="1">
        <v>16064164</v>
      </c>
      <c r="J89" s="1">
        <v>0</v>
      </c>
      <c r="K89" s="1">
        <v>4620000</v>
      </c>
      <c r="L89" s="1">
        <v>0</v>
      </c>
      <c r="M89" s="1">
        <v>1000000</v>
      </c>
      <c r="N89" s="1">
        <v>3181177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11872344</v>
      </c>
      <c r="W89" s="1">
        <v>1900000</v>
      </c>
      <c r="X89" s="1">
        <v>2365602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2272269</v>
      </c>
      <c r="AF89" s="1">
        <v>1516881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12706633</v>
      </c>
      <c r="AM89" s="1">
        <v>0</v>
      </c>
      <c r="AN89" s="1">
        <v>0</v>
      </c>
      <c r="AO89" s="1">
        <v>89645263</v>
      </c>
      <c r="AP89" s="1">
        <v>24288695</v>
      </c>
      <c r="AQ89" s="1">
        <v>65356568</v>
      </c>
      <c r="AR89" s="1">
        <v>17625676</v>
      </c>
      <c r="AS89" s="1">
        <v>2643851</v>
      </c>
      <c r="AT89" s="1">
        <f t="shared" si="7"/>
        <v>109914790</v>
      </c>
    </row>
    <row r="90" spans="1:46" x14ac:dyDescent="0.2">
      <c r="A90" s="1" t="str">
        <f>"00108"</f>
        <v>00108</v>
      </c>
      <c r="B90" s="1" t="str">
        <f>"حسين"</f>
        <v>حسين</v>
      </c>
      <c r="C90" s="1" t="str">
        <f>"دهقان"</f>
        <v>دهقان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15216371</v>
      </c>
      <c r="G90" s="1">
        <v>10546967</v>
      </c>
      <c r="H90" s="1">
        <v>0</v>
      </c>
      <c r="I90" s="1">
        <v>13693469</v>
      </c>
      <c r="J90" s="1">
        <v>0</v>
      </c>
      <c r="K90" s="1">
        <v>4620000</v>
      </c>
      <c r="L90" s="1">
        <v>0</v>
      </c>
      <c r="M90" s="1">
        <v>1000000</v>
      </c>
      <c r="N90" s="1">
        <v>2803177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14351977</v>
      </c>
      <c r="W90" s="1">
        <v>1900000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2002269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7290363</v>
      </c>
      <c r="AM90" s="1">
        <v>0</v>
      </c>
      <c r="AN90" s="1">
        <v>0</v>
      </c>
      <c r="AO90" s="1">
        <v>73424593</v>
      </c>
      <c r="AP90" s="1">
        <v>12106752</v>
      </c>
      <c r="AQ90" s="1">
        <v>61317841</v>
      </c>
      <c r="AR90" s="1">
        <v>14684919</v>
      </c>
      <c r="AS90" s="1">
        <v>2202738</v>
      </c>
      <c r="AT90" s="1">
        <f t="shared" si="7"/>
        <v>90312250</v>
      </c>
    </row>
    <row r="91" spans="1:46" x14ac:dyDescent="0.2">
      <c r="A91" s="1" t="str">
        <f>"00109"</f>
        <v>00109</v>
      </c>
      <c r="B91" s="1" t="str">
        <f>"مهدي"</f>
        <v>مهدي</v>
      </c>
      <c r="C91" s="1" t="str">
        <f>"ذوالاتشي"</f>
        <v>ذوالاتشي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19996405</v>
      </c>
      <c r="G91" s="1">
        <v>17962350</v>
      </c>
      <c r="H91" s="1">
        <v>0</v>
      </c>
      <c r="I91" s="1">
        <v>18628074</v>
      </c>
      <c r="J91" s="1">
        <v>0</v>
      </c>
      <c r="K91" s="1">
        <v>5500000</v>
      </c>
      <c r="L91" s="1">
        <v>0</v>
      </c>
      <c r="M91" s="1">
        <v>1000000</v>
      </c>
      <c r="N91" s="1">
        <v>3260917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1606000</v>
      </c>
      <c r="U91" s="1">
        <v>0</v>
      </c>
      <c r="V91" s="1">
        <v>17182644</v>
      </c>
      <c r="W91" s="1">
        <v>1900000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2329226</v>
      </c>
      <c r="AF91" s="1">
        <v>1516881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5590143</v>
      </c>
      <c r="AM91" s="1">
        <v>0</v>
      </c>
      <c r="AN91" s="1">
        <v>0</v>
      </c>
      <c r="AO91" s="1">
        <v>96472640</v>
      </c>
      <c r="AP91" s="1">
        <v>18927236</v>
      </c>
      <c r="AQ91" s="1">
        <v>77545404</v>
      </c>
      <c r="AR91" s="1">
        <v>18669952</v>
      </c>
      <c r="AS91" s="1">
        <v>2800493</v>
      </c>
      <c r="AT91" s="1">
        <f t="shared" si="7"/>
        <v>117943085</v>
      </c>
    </row>
    <row r="92" spans="1:46" x14ac:dyDescent="0.2">
      <c r="A92" s="1" t="str">
        <f>"00110"</f>
        <v>00110</v>
      </c>
      <c r="B92" s="1" t="str">
        <f>"اسحق"</f>
        <v>اسحق</v>
      </c>
      <c r="C92" s="1" t="str">
        <f>"بشارتيان"</f>
        <v>بشارتيان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22807031</v>
      </c>
      <c r="G92" s="1">
        <v>21476876</v>
      </c>
      <c r="H92" s="1">
        <v>0</v>
      </c>
      <c r="I92" s="1">
        <v>27882485</v>
      </c>
      <c r="J92" s="1">
        <v>0</v>
      </c>
      <c r="K92" s="1">
        <v>5500000</v>
      </c>
      <c r="L92" s="1">
        <v>0</v>
      </c>
      <c r="M92" s="1">
        <v>1000000</v>
      </c>
      <c r="N92" s="1">
        <v>3681087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1606000</v>
      </c>
      <c r="U92" s="1">
        <v>0</v>
      </c>
      <c r="V92" s="1">
        <v>12500887</v>
      </c>
      <c r="W92" s="1">
        <v>1900000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2629348</v>
      </c>
      <c r="AF92" s="1">
        <v>1516881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4732826</v>
      </c>
      <c r="AM92" s="1">
        <v>0</v>
      </c>
      <c r="AN92" s="1">
        <v>0</v>
      </c>
      <c r="AO92" s="1">
        <v>107233421</v>
      </c>
      <c r="AP92" s="1">
        <v>21409886</v>
      </c>
      <c r="AQ92" s="1">
        <v>85823535</v>
      </c>
      <c r="AR92" s="1">
        <v>20822108</v>
      </c>
      <c r="AS92" s="1">
        <v>3123316</v>
      </c>
      <c r="AT92" s="1">
        <f t="shared" si="7"/>
        <v>131178845</v>
      </c>
    </row>
    <row r="93" spans="1:46" x14ac:dyDescent="0.2">
      <c r="A93" s="1" t="str">
        <f>"00111"</f>
        <v>00111</v>
      </c>
      <c r="B93" s="1" t="str">
        <f>"يونس"</f>
        <v>يونس</v>
      </c>
      <c r="C93" s="1" t="str">
        <f>"رادي"</f>
        <v>رادي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24660335</v>
      </c>
      <c r="G93" s="1">
        <v>12681929</v>
      </c>
      <c r="H93" s="1">
        <v>0</v>
      </c>
      <c r="I93" s="1">
        <v>22633561</v>
      </c>
      <c r="J93" s="1">
        <v>0</v>
      </c>
      <c r="K93" s="1">
        <v>5500000</v>
      </c>
      <c r="L93" s="1">
        <v>0</v>
      </c>
      <c r="M93" s="1">
        <v>1000000</v>
      </c>
      <c r="N93" s="1">
        <v>3959411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1606000</v>
      </c>
      <c r="U93" s="1">
        <v>0</v>
      </c>
      <c r="V93" s="1">
        <v>21953627</v>
      </c>
      <c r="W93" s="1">
        <v>1900000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2828151</v>
      </c>
      <c r="AF93" s="1">
        <v>1516881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5656301</v>
      </c>
      <c r="AM93" s="1">
        <v>0</v>
      </c>
      <c r="AN93" s="1">
        <v>0</v>
      </c>
      <c r="AO93" s="1">
        <v>105896196</v>
      </c>
      <c r="AP93" s="1">
        <v>36114154</v>
      </c>
      <c r="AQ93" s="1">
        <v>69782042</v>
      </c>
      <c r="AR93" s="1">
        <v>20554663</v>
      </c>
      <c r="AS93" s="1">
        <v>3083199</v>
      </c>
      <c r="AT93" s="1">
        <f t="shared" si="7"/>
        <v>129534058</v>
      </c>
    </row>
    <row r="94" spans="1:46" x14ac:dyDescent="0.2">
      <c r="A94" s="1" t="str">
        <f>"00112"</f>
        <v>00112</v>
      </c>
      <c r="B94" s="1" t="str">
        <f>"همدم"</f>
        <v>همدم</v>
      </c>
      <c r="C94" s="1" t="str">
        <f>"راه نورد"</f>
        <v>راه نورد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24623093</v>
      </c>
      <c r="G94" s="1">
        <v>40454381</v>
      </c>
      <c r="H94" s="1">
        <v>0</v>
      </c>
      <c r="I94" s="1">
        <v>23685020</v>
      </c>
      <c r="J94" s="1">
        <v>0</v>
      </c>
      <c r="K94" s="1">
        <v>4125000</v>
      </c>
      <c r="L94" s="1">
        <v>0</v>
      </c>
      <c r="M94" s="1">
        <v>1000000</v>
      </c>
      <c r="N94" s="1">
        <v>3946376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10813364</v>
      </c>
      <c r="W94" s="1">
        <v>1900000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3384580</v>
      </c>
      <c r="AD94" s="1">
        <v>0</v>
      </c>
      <c r="AE94" s="1">
        <v>2818840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4228261</v>
      </c>
      <c r="AM94" s="1">
        <v>0</v>
      </c>
      <c r="AN94" s="1">
        <v>0</v>
      </c>
      <c r="AO94" s="1">
        <v>120978915</v>
      </c>
      <c r="AP94" s="1">
        <v>23479126</v>
      </c>
      <c r="AQ94" s="1">
        <v>97499789</v>
      </c>
      <c r="AR94" s="1">
        <v>21944212</v>
      </c>
      <c r="AS94" s="1">
        <v>3291632</v>
      </c>
      <c r="AT94" s="1">
        <f t="shared" si="7"/>
        <v>146214759</v>
      </c>
    </row>
    <row r="95" spans="1:46" x14ac:dyDescent="0.2">
      <c r="A95" s="1" t="str">
        <f>"00113"</f>
        <v>00113</v>
      </c>
      <c r="B95" s="1" t="str">
        <f>"شهرام"</f>
        <v>شهرام</v>
      </c>
      <c r="C95" s="1" t="str">
        <f>"رضائي"</f>
        <v>رضائي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14692801</v>
      </c>
      <c r="G95" s="1">
        <v>7996541</v>
      </c>
      <c r="H95" s="1">
        <v>0</v>
      </c>
      <c r="I95" s="1">
        <v>12901127</v>
      </c>
      <c r="J95" s="1">
        <v>0</v>
      </c>
      <c r="K95" s="1">
        <v>4620000</v>
      </c>
      <c r="L95" s="1">
        <v>0</v>
      </c>
      <c r="M95" s="1">
        <v>1000000</v>
      </c>
      <c r="N95" s="1">
        <v>2619928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10268274</v>
      </c>
      <c r="W95" s="1">
        <v>1900000</v>
      </c>
      <c r="X95" s="1">
        <v>2132826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1871377</v>
      </c>
      <c r="AF95" s="1">
        <v>1516881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11609548</v>
      </c>
      <c r="AM95" s="1">
        <v>0</v>
      </c>
      <c r="AN95" s="1">
        <v>0</v>
      </c>
      <c r="AO95" s="1">
        <v>73129303</v>
      </c>
      <c r="AP95" s="1">
        <v>28153595</v>
      </c>
      <c r="AQ95" s="1">
        <v>44975708</v>
      </c>
      <c r="AR95" s="1">
        <v>14322484</v>
      </c>
      <c r="AS95" s="1">
        <v>2148373</v>
      </c>
      <c r="AT95" s="1">
        <f t="shared" si="7"/>
        <v>89600160</v>
      </c>
    </row>
    <row r="96" spans="1:46" x14ac:dyDescent="0.2">
      <c r="A96" s="1" t="str">
        <f>"00115"</f>
        <v>00115</v>
      </c>
      <c r="B96" s="1" t="str">
        <f>"حسين"</f>
        <v>حسين</v>
      </c>
      <c r="C96" s="1" t="str">
        <f>"زارعي"</f>
        <v>زارعي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15155032</v>
      </c>
      <c r="G96" s="1">
        <v>11901332</v>
      </c>
      <c r="H96" s="1">
        <v>0</v>
      </c>
      <c r="I96" s="1">
        <v>13803835</v>
      </c>
      <c r="J96" s="1">
        <v>0</v>
      </c>
      <c r="K96" s="1">
        <v>4620000</v>
      </c>
      <c r="L96" s="1">
        <v>0</v>
      </c>
      <c r="M96" s="1">
        <v>1000000</v>
      </c>
      <c r="N96" s="1">
        <v>2781709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12625367</v>
      </c>
      <c r="W96" s="1">
        <v>1900000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1986935</v>
      </c>
      <c r="AF96" s="1">
        <v>1516881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6353021</v>
      </c>
      <c r="AM96" s="1">
        <v>0</v>
      </c>
      <c r="AN96" s="1">
        <v>0</v>
      </c>
      <c r="AO96" s="1">
        <v>73644112</v>
      </c>
      <c r="AP96" s="1">
        <v>16137317</v>
      </c>
      <c r="AQ96" s="1">
        <v>57506795</v>
      </c>
      <c r="AR96" s="1">
        <v>14425446</v>
      </c>
      <c r="AS96" s="1">
        <v>2163817</v>
      </c>
      <c r="AT96" s="1">
        <f t="shared" si="7"/>
        <v>90233375</v>
      </c>
    </row>
    <row r="97" spans="1:46" x14ac:dyDescent="0.2">
      <c r="A97" s="1" t="str">
        <f>"00116"</f>
        <v>00116</v>
      </c>
      <c r="B97" s="1" t="str">
        <f>"محمدرضا"</f>
        <v>محمدرضا</v>
      </c>
      <c r="C97" s="1" t="str">
        <f>"زمان پور"</f>
        <v>زمان پور</v>
      </c>
      <c r="D97" s="1" t="str">
        <f>"قراردادي کارگري"</f>
        <v>قراردادي کارگري</v>
      </c>
      <c r="E97" s="1" t="str">
        <f>"پروژه تعميرات نيروگاه بوشهر"</f>
        <v>پروژه تعميرات نيروگاه بوشهر</v>
      </c>
      <c r="F97" s="1">
        <v>9219919</v>
      </c>
      <c r="G97" s="1">
        <v>3538347</v>
      </c>
      <c r="H97" s="1">
        <v>0</v>
      </c>
      <c r="I97" s="1">
        <v>6730540</v>
      </c>
      <c r="J97" s="1">
        <v>0</v>
      </c>
      <c r="K97" s="1">
        <v>0</v>
      </c>
      <c r="L97" s="1">
        <v>7628143</v>
      </c>
      <c r="M97" s="1">
        <v>1000000</v>
      </c>
      <c r="N97" s="1">
        <v>4852589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7385546</v>
      </c>
      <c r="W97" s="1">
        <v>1900000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4264679</v>
      </c>
      <c r="AE97" s="1">
        <v>0</v>
      </c>
      <c r="AF97" s="1">
        <v>1516881</v>
      </c>
      <c r="AG97" s="1">
        <v>0</v>
      </c>
      <c r="AH97" s="1">
        <v>0</v>
      </c>
      <c r="AI97" s="1">
        <v>0</v>
      </c>
      <c r="AJ97" s="1">
        <v>3235060</v>
      </c>
      <c r="AK97" s="1">
        <v>0</v>
      </c>
      <c r="AL97" s="1">
        <v>0</v>
      </c>
      <c r="AM97" s="1">
        <v>0</v>
      </c>
      <c r="AN97" s="1">
        <v>0</v>
      </c>
      <c r="AO97" s="1">
        <v>51271704</v>
      </c>
      <c r="AP97" s="1">
        <v>7940688</v>
      </c>
      <c r="AQ97" s="1">
        <v>43331016</v>
      </c>
      <c r="AR97" s="1">
        <v>9950965</v>
      </c>
      <c r="AS97" s="1">
        <v>1492645</v>
      </c>
      <c r="AT97" s="1">
        <f t="shared" si="7"/>
        <v>62715314</v>
      </c>
    </row>
    <row r="98" spans="1:46" x14ac:dyDescent="0.2">
      <c r="A98" s="1" t="str">
        <f>"00117"</f>
        <v>00117</v>
      </c>
      <c r="B98" s="1" t="str">
        <f>"محمد"</f>
        <v>محمد</v>
      </c>
      <c r="C98" s="1" t="str">
        <f>"زرين كلاه"</f>
        <v>زرين كلاه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16136451</v>
      </c>
      <c r="G98" s="1">
        <v>8499936</v>
      </c>
      <c r="H98" s="1">
        <v>0</v>
      </c>
      <c r="I98" s="1">
        <v>15150333</v>
      </c>
      <c r="J98" s="1">
        <v>0</v>
      </c>
      <c r="K98" s="1">
        <v>4620000</v>
      </c>
      <c r="L98" s="1">
        <v>0</v>
      </c>
      <c r="M98" s="1">
        <v>1000000</v>
      </c>
      <c r="N98" s="1">
        <v>3125205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11469962</v>
      </c>
      <c r="W98" s="1">
        <v>1900000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2232289</v>
      </c>
      <c r="AF98" s="1">
        <v>1516881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6638596</v>
      </c>
      <c r="AM98" s="1">
        <v>0</v>
      </c>
      <c r="AN98" s="1">
        <v>0</v>
      </c>
      <c r="AO98" s="1">
        <v>72289653</v>
      </c>
      <c r="AP98" s="1">
        <v>23340122</v>
      </c>
      <c r="AQ98" s="1">
        <v>48949531</v>
      </c>
      <c r="AR98" s="1">
        <v>14154554</v>
      </c>
      <c r="AS98" s="1">
        <v>2123183</v>
      </c>
      <c r="AT98" s="1">
        <f t="shared" si="7"/>
        <v>88567390</v>
      </c>
    </row>
    <row r="99" spans="1:46" x14ac:dyDescent="0.2">
      <c r="A99" s="1" t="str">
        <f>"00119"</f>
        <v>00119</v>
      </c>
      <c r="B99" s="1" t="str">
        <f>"معصومه"</f>
        <v>معصومه</v>
      </c>
      <c r="C99" s="1" t="str">
        <f>"زماني"</f>
        <v>زماني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15446391</v>
      </c>
      <c r="G99" s="1">
        <v>1729721</v>
      </c>
      <c r="H99" s="1">
        <v>0</v>
      </c>
      <c r="I99" s="1">
        <v>13046654</v>
      </c>
      <c r="J99" s="1">
        <v>1100000</v>
      </c>
      <c r="K99" s="1">
        <v>3465000</v>
      </c>
      <c r="L99" s="1">
        <v>0</v>
      </c>
      <c r="M99" s="1">
        <v>1000000</v>
      </c>
      <c r="N99" s="1">
        <v>2883684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1606000</v>
      </c>
      <c r="U99" s="1">
        <v>0</v>
      </c>
      <c r="V99" s="1">
        <v>9328689</v>
      </c>
      <c r="W99" s="1">
        <v>1900000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2059774</v>
      </c>
      <c r="AF99" s="1">
        <v>1516881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6260049</v>
      </c>
      <c r="AM99" s="1">
        <v>0</v>
      </c>
      <c r="AN99" s="1">
        <v>0</v>
      </c>
      <c r="AO99" s="1">
        <v>61342843</v>
      </c>
      <c r="AP99" s="1">
        <v>11519756</v>
      </c>
      <c r="AQ99" s="1">
        <v>49823087</v>
      </c>
      <c r="AR99" s="1">
        <v>11423992</v>
      </c>
      <c r="AS99" s="1">
        <v>1713599</v>
      </c>
      <c r="AT99" s="1">
        <f t="shared" si="7"/>
        <v>74480434</v>
      </c>
    </row>
    <row r="100" spans="1:46" x14ac:dyDescent="0.2">
      <c r="A100" s="1" t="str">
        <f>"00120"</f>
        <v>00120</v>
      </c>
      <c r="B100" s="1" t="str">
        <f>"عفيفه"</f>
        <v>عفيفه</v>
      </c>
      <c r="C100" s="1" t="str">
        <f>"زيارتي"</f>
        <v>زيارتي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20541881</v>
      </c>
      <c r="G100" s="1">
        <v>2432892</v>
      </c>
      <c r="H100" s="1">
        <v>0</v>
      </c>
      <c r="I100" s="1">
        <v>17678796</v>
      </c>
      <c r="J100" s="1">
        <v>1100000</v>
      </c>
      <c r="K100" s="1">
        <v>4125000</v>
      </c>
      <c r="L100" s="1">
        <v>0</v>
      </c>
      <c r="M100" s="1">
        <v>1000000</v>
      </c>
      <c r="N100" s="1">
        <v>2934288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4736446</v>
      </c>
      <c r="W100" s="1">
        <v>1900000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2095920</v>
      </c>
      <c r="AF100" s="1">
        <v>1516881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4113578</v>
      </c>
      <c r="AM100" s="1">
        <v>0</v>
      </c>
      <c r="AN100" s="1">
        <v>0</v>
      </c>
      <c r="AO100" s="1">
        <v>64175682</v>
      </c>
      <c r="AP100" s="1">
        <v>15052415</v>
      </c>
      <c r="AQ100" s="1">
        <v>49123267</v>
      </c>
      <c r="AR100" s="1">
        <v>12311761</v>
      </c>
      <c r="AS100" s="1">
        <v>1846765</v>
      </c>
      <c r="AT100" s="1">
        <f t="shared" si="7"/>
        <v>78334208</v>
      </c>
    </row>
    <row r="101" spans="1:46" x14ac:dyDescent="0.2">
      <c r="A101" s="1" t="str">
        <f>"00121"</f>
        <v>00121</v>
      </c>
      <c r="B101" s="1" t="str">
        <f>"مهدي"</f>
        <v>مهدي</v>
      </c>
      <c r="C101" s="1" t="str">
        <f>"سبحاني"</f>
        <v>سبحاني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15422293</v>
      </c>
      <c r="G101" s="1">
        <v>7518210</v>
      </c>
      <c r="H101" s="1">
        <v>0</v>
      </c>
      <c r="I101" s="1">
        <v>13789699</v>
      </c>
      <c r="J101" s="1">
        <v>0</v>
      </c>
      <c r="K101" s="1">
        <v>4620000</v>
      </c>
      <c r="L101" s="1">
        <v>0</v>
      </c>
      <c r="M101" s="1">
        <v>1000000</v>
      </c>
      <c r="N101" s="1">
        <v>2875250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1606000</v>
      </c>
      <c r="U101" s="1">
        <v>0</v>
      </c>
      <c r="V101" s="1">
        <v>10670269</v>
      </c>
      <c r="W101" s="1">
        <v>1900000</v>
      </c>
      <c r="X101" s="1">
        <v>791390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2053750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11264408</v>
      </c>
      <c r="AM101" s="1">
        <v>0</v>
      </c>
      <c r="AN101" s="1">
        <v>0</v>
      </c>
      <c r="AO101" s="1">
        <v>73511269</v>
      </c>
      <c r="AP101" s="1">
        <v>11251961</v>
      </c>
      <c r="AQ101" s="1">
        <v>62259308</v>
      </c>
      <c r="AR101" s="1">
        <v>14381054</v>
      </c>
      <c r="AS101" s="1">
        <v>2157158</v>
      </c>
      <c r="AT101" s="1">
        <f t="shared" si="7"/>
        <v>90049481</v>
      </c>
    </row>
    <row r="102" spans="1:46" x14ac:dyDescent="0.2">
      <c r="A102" s="1" t="str">
        <f>"00122"</f>
        <v>00122</v>
      </c>
      <c r="B102" s="1" t="str">
        <f>"سيدعليرضا"</f>
        <v>سيدعليرضا</v>
      </c>
      <c r="C102" s="1" t="str">
        <f>"سراج فرد نژاد"</f>
        <v>سراج فرد نژاد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21470724</v>
      </c>
      <c r="G102" s="1">
        <v>13087852</v>
      </c>
      <c r="H102" s="1">
        <v>0</v>
      </c>
      <c r="I102" s="1">
        <v>19222989</v>
      </c>
      <c r="J102" s="1">
        <v>0</v>
      </c>
      <c r="K102" s="1">
        <v>5500000</v>
      </c>
      <c r="L102" s="1">
        <v>0</v>
      </c>
      <c r="M102" s="1">
        <v>1000000</v>
      </c>
      <c r="N102" s="1">
        <v>3776928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28559078</v>
      </c>
      <c r="W102" s="1">
        <v>1900000</v>
      </c>
      <c r="X102" s="1">
        <v>3116718</v>
      </c>
      <c r="Y102" s="1">
        <v>0</v>
      </c>
      <c r="Z102" s="1">
        <v>0</v>
      </c>
      <c r="AA102" s="1">
        <v>0</v>
      </c>
      <c r="AB102" s="1">
        <v>0</v>
      </c>
      <c r="AC102" s="1">
        <v>3877480</v>
      </c>
      <c r="AD102" s="1">
        <v>0</v>
      </c>
      <c r="AE102" s="1">
        <v>2697806</v>
      </c>
      <c r="AF102" s="1">
        <v>1516881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13131776</v>
      </c>
      <c r="AM102" s="1">
        <v>0</v>
      </c>
      <c r="AN102" s="1">
        <v>0</v>
      </c>
      <c r="AO102" s="1">
        <v>118858232</v>
      </c>
      <c r="AP102" s="1">
        <v>39783233</v>
      </c>
      <c r="AQ102" s="1">
        <v>79074999</v>
      </c>
      <c r="AR102" s="1">
        <v>21944212</v>
      </c>
      <c r="AS102" s="1">
        <v>3291632</v>
      </c>
      <c r="AT102" s="1">
        <f t="shared" si="7"/>
        <v>144094076</v>
      </c>
    </row>
    <row r="103" spans="1:46" x14ac:dyDescent="0.2">
      <c r="A103" s="1" t="str">
        <f>"00123"</f>
        <v>00123</v>
      </c>
      <c r="B103" s="1" t="str">
        <f>"رضا"</f>
        <v>رضا</v>
      </c>
      <c r="C103" s="1" t="str">
        <f>"ثابت"</f>
        <v>ثابت</v>
      </c>
      <c r="D103" s="1" t="str">
        <f>"قراردادي کارگري"</f>
        <v>قراردادي کارگري</v>
      </c>
      <c r="E103" s="1" t="str">
        <f>"پروژه تعميرات نيروگاه بوشهر"</f>
        <v>پروژه تعميرات نيروگاه بوشهر</v>
      </c>
      <c r="F103" s="1">
        <v>8465506</v>
      </c>
      <c r="G103" s="1">
        <v>4322127</v>
      </c>
      <c r="H103" s="1">
        <v>0</v>
      </c>
      <c r="I103" s="1">
        <v>6433784</v>
      </c>
      <c r="J103" s="1">
        <v>0</v>
      </c>
      <c r="K103" s="1">
        <v>0</v>
      </c>
      <c r="L103" s="1">
        <v>7628143</v>
      </c>
      <c r="M103" s="1">
        <v>1000000</v>
      </c>
      <c r="N103" s="1">
        <v>4455529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7045213</v>
      </c>
      <c r="W103" s="1">
        <v>1900000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4047444</v>
      </c>
      <c r="AE103" s="1">
        <v>0</v>
      </c>
      <c r="AF103" s="1">
        <v>3033762</v>
      </c>
      <c r="AG103" s="1">
        <v>0</v>
      </c>
      <c r="AH103" s="1">
        <v>0</v>
      </c>
      <c r="AI103" s="1">
        <v>0</v>
      </c>
      <c r="AJ103" s="1">
        <v>3073513</v>
      </c>
      <c r="AK103" s="1">
        <v>0</v>
      </c>
      <c r="AL103" s="1">
        <v>0</v>
      </c>
      <c r="AM103" s="1">
        <v>0</v>
      </c>
      <c r="AN103" s="1">
        <v>0</v>
      </c>
      <c r="AO103" s="1">
        <v>51405021</v>
      </c>
      <c r="AP103" s="1">
        <v>11131921</v>
      </c>
      <c r="AQ103" s="1">
        <v>40273100</v>
      </c>
      <c r="AR103" s="1">
        <v>9674252</v>
      </c>
      <c r="AS103" s="1">
        <v>1451138</v>
      </c>
      <c r="AT103" s="1">
        <f t="shared" si="7"/>
        <v>62530411</v>
      </c>
    </row>
    <row r="104" spans="1:46" x14ac:dyDescent="0.2">
      <c r="A104" s="1" t="str">
        <f>"00124"</f>
        <v>00124</v>
      </c>
      <c r="B104" s="1" t="str">
        <f>"ساره"</f>
        <v>ساره</v>
      </c>
      <c r="C104" s="1" t="str">
        <f>"سرمدي"</f>
        <v>سرمدي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21610927</v>
      </c>
      <c r="G104" s="1">
        <v>2183843</v>
      </c>
      <c r="H104" s="1">
        <v>0</v>
      </c>
      <c r="I104" s="1">
        <v>17362643</v>
      </c>
      <c r="J104" s="1">
        <v>0</v>
      </c>
      <c r="K104" s="1">
        <v>4125000</v>
      </c>
      <c r="L104" s="1">
        <v>0</v>
      </c>
      <c r="M104" s="1">
        <v>1000000</v>
      </c>
      <c r="N104" s="1">
        <v>3825999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6424000</v>
      </c>
      <c r="U104" s="1">
        <v>0</v>
      </c>
      <c r="V104" s="1">
        <v>10847811</v>
      </c>
      <c r="W104" s="1">
        <v>1900000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2732857</v>
      </c>
      <c r="AF104" s="1">
        <v>3033762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5516099</v>
      </c>
      <c r="AM104" s="1">
        <v>0</v>
      </c>
      <c r="AN104" s="1">
        <v>0</v>
      </c>
      <c r="AO104" s="1">
        <v>80562941</v>
      </c>
      <c r="AP104" s="1">
        <v>29909293</v>
      </c>
      <c r="AQ104" s="1">
        <v>50653648</v>
      </c>
      <c r="AR104" s="1">
        <v>14221036</v>
      </c>
      <c r="AS104" s="1">
        <v>2133155</v>
      </c>
      <c r="AT104" s="1">
        <f t="shared" si="7"/>
        <v>96917132</v>
      </c>
    </row>
    <row r="105" spans="1:46" x14ac:dyDescent="0.2">
      <c r="A105" s="1" t="str">
        <f>"00125"</f>
        <v>00125</v>
      </c>
      <c r="B105" s="1" t="str">
        <f>"حسن"</f>
        <v>حسن</v>
      </c>
      <c r="C105" s="1" t="str">
        <f>"سلحشوري"</f>
        <v>سلحشوري</v>
      </c>
      <c r="D105" s="1" t="str">
        <f>"قراردادي بهره بردار"</f>
        <v>قراردادي بهره بردار</v>
      </c>
      <c r="E105" s="1" t="str">
        <f>"پروژه بهره برداري نيروگاه بوشهر"</f>
        <v>پروژه بهره برداري نيروگاه بوشهر</v>
      </c>
      <c r="F105" s="1">
        <v>16232840</v>
      </c>
      <c r="G105" s="1">
        <v>5749584</v>
      </c>
      <c r="H105" s="1">
        <v>0</v>
      </c>
      <c r="I105" s="1">
        <v>16169004</v>
      </c>
      <c r="J105" s="1">
        <v>0</v>
      </c>
      <c r="K105" s="1">
        <v>4620000</v>
      </c>
      <c r="L105" s="1">
        <v>0</v>
      </c>
      <c r="M105" s="1">
        <v>1000000</v>
      </c>
      <c r="N105" s="1">
        <v>3158941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1606000</v>
      </c>
      <c r="U105" s="1">
        <v>0</v>
      </c>
      <c r="V105" s="1">
        <v>22811276</v>
      </c>
      <c r="W105" s="1">
        <v>1900000</v>
      </c>
      <c r="X105" s="1">
        <v>2356380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2256387</v>
      </c>
      <c r="AF105" s="1">
        <v>3033762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13444121</v>
      </c>
      <c r="AM105" s="1">
        <v>0</v>
      </c>
      <c r="AN105" s="1">
        <v>0</v>
      </c>
      <c r="AO105" s="1">
        <v>94338295</v>
      </c>
      <c r="AP105" s="1">
        <v>43442447</v>
      </c>
      <c r="AQ105" s="1">
        <v>50895848</v>
      </c>
      <c r="AR105" s="1">
        <v>17939707</v>
      </c>
      <c r="AS105" s="1">
        <v>2690956</v>
      </c>
      <c r="AT105" s="1">
        <f t="shared" si="7"/>
        <v>114968958</v>
      </c>
    </row>
    <row r="106" spans="1:46" x14ac:dyDescent="0.2">
      <c r="A106" s="1" t="str">
        <f>"00126"</f>
        <v>00126</v>
      </c>
      <c r="B106" s="1" t="str">
        <f>"راضيه"</f>
        <v>راضيه</v>
      </c>
      <c r="C106" s="1" t="str">
        <f>"سلماني پور"</f>
        <v>سلماني پور</v>
      </c>
      <c r="D106" s="1" t="str">
        <f>"قراردادي بهره بردار"</f>
        <v>قراردادي بهره بردار</v>
      </c>
      <c r="E106" s="1" t="str">
        <f>"پروژه تعميرات نيروگاه بوشهر"</f>
        <v>پروژه تعميرات نيروگاه بوشهر</v>
      </c>
      <c r="F106" s="1">
        <v>23906745</v>
      </c>
      <c r="G106" s="1">
        <v>6653860</v>
      </c>
      <c r="H106" s="1">
        <v>0</v>
      </c>
      <c r="I106" s="1">
        <v>21871068</v>
      </c>
      <c r="J106" s="1">
        <v>0</v>
      </c>
      <c r="K106" s="1">
        <v>4125000</v>
      </c>
      <c r="L106" s="1">
        <v>0</v>
      </c>
      <c r="M106" s="1">
        <v>1000000</v>
      </c>
      <c r="N106" s="1">
        <v>3695655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1606000</v>
      </c>
      <c r="U106" s="1">
        <v>0</v>
      </c>
      <c r="V106" s="1">
        <v>12712212</v>
      </c>
      <c r="W106" s="1">
        <v>1900000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2957400</v>
      </c>
      <c r="AD106" s="1">
        <v>0</v>
      </c>
      <c r="AE106" s="1">
        <v>2639753</v>
      </c>
      <c r="AF106" s="1">
        <v>1516881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4751556</v>
      </c>
      <c r="AM106" s="1">
        <v>0</v>
      </c>
      <c r="AN106" s="1">
        <v>0</v>
      </c>
      <c r="AO106" s="1">
        <v>89336130</v>
      </c>
      <c r="AP106" s="1">
        <v>34277279</v>
      </c>
      <c r="AQ106" s="1">
        <v>55058851</v>
      </c>
      <c r="AR106" s="1">
        <v>17242650</v>
      </c>
      <c r="AS106" s="1">
        <v>2586397</v>
      </c>
      <c r="AT106" s="1">
        <f t="shared" si="7"/>
        <v>109165177</v>
      </c>
    </row>
    <row r="107" spans="1:46" x14ac:dyDescent="0.2">
      <c r="A107" s="1" t="str">
        <f>"00127"</f>
        <v>00127</v>
      </c>
      <c r="B107" s="1" t="str">
        <f>"عبداله"</f>
        <v>عبداله</v>
      </c>
      <c r="C107" s="1" t="str">
        <f>"سلماني زيارتي"</f>
        <v>سلماني زيارتي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1">
        <v>15805660</v>
      </c>
      <c r="G107" s="1">
        <v>10059296</v>
      </c>
      <c r="H107" s="1">
        <v>0</v>
      </c>
      <c r="I107" s="1">
        <v>13805226</v>
      </c>
      <c r="J107" s="1">
        <v>0</v>
      </c>
      <c r="K107" s="1">
        <v>4620000</v>
      </c>
      <c r="L107" s="1">
        <v>0</v>
      </c>
      <c r="M107" s="1">
        <v>1000000</v>
      </c>
      <c r="N107" s="1">
        <v>3009428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19954953</v>
      </c>
      <c r="W107" s="1">
        <v>1900000</v>
      </c>
      <c r="X107" s="1">
        <v>2294370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2149592</v>
      </c>
      <c r="AF107" s="1">
        <v>3033762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10072685</v>
      </c>
      <c r="AM107" s="1">
        <v>0</v>
      </c>
      <c r="AN107" s="1">
        <v>0</v>
      </c>
      <c r="AO107" s="1">
        <v>87704972</v>
      </c>
      <c r="AP107" s="1">
        <v>14526100</v>
      </c>
      <c r="AQ107" s="1">
        <v>73178872</v>
      </c>
      <c r="AR107" s="1">
        <v>16934242</v>
      </c>
      <c r="AS107" s="1">
        <v>2540136</v>
      </c>
      <c r="AT107" s="1">
        <f t="shared" si="7"/>
        <v>107179350</v>
      </c>
    </row>
    <row r="108" spans="1:46" x14ac:dyDescent="0.2">
      <c r="A108" s="1" t="str">
        <f>"00128"</f>
        <v>00128</v>
      </c>
      <c r="B108" s="1" t="str">
        <f>"مهدي"</f>
        <v>مهدي</v>
      </c>
      <c r="C108" s="1" t="str">
        <f>"عباس زاده ريشهري"</f>
        <v>عباس زاده ريشهري</v>
      </c>
      <c r="D108" s="1" t="str">
        <f>"قراردادي کارگري"</f>
        <v>قراردادي کارگري</v>
      </c>
      <c r="E108" s="1" t="str">
        <f>"پروژه تعميرات نيروگاه بوشهر"</f>
        <v>پروژه تعميرات نيروگاه بوشهر</v>
      </c>
      <c r="F108" s="1">
        <v>8686248</v>
      </c>
      <c r="G108" s="1">
        <v>1702864</v>
      </c>
      <c r="H108" s="1">
        <v>0</v>
      </c>
      <c r="I108" s="1">
        <v>6427823</v>
      </c>
      <c r="J108" s="1">
        <v>0</v>
      </c>
      <c r="K108" s="1">
        <v>0</v>
      </c>
      <c r="L108" s="1">
        <v>7628143</v>
      </c>
      <c r="M108" s="1">
        <v>1000000</v>
      </c>
      <c r="N108" s="1">
        <v>4601987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7130103</v>
      </c>
      <c r="W108" s="1">
        <v>1900000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4101630</v>
      </c>
      <c r="AE108" s="1">
        <v>0</v>
      </c>
      <c r="AF108" s="1">
        <v>4550643</v>
      </c>
      <c r="AG108" s="1">
        <v>0</v>
      </c>
      <c r="AH108" s="1">
        <v>0</v>
      </c>
      <c r="AI108" s="1">
        <v>0</v>
      </c>
      <c r="AJ108" s="1">
        <v>3113808</v>
      </c>
      <c r="AK108" s="1">
        <v>0</v>
      </c>
      <c r="AL108" s="1">
        <v>0</v>
      </c>
      <c r="AM108" s="1">
        <v>0</v>
      </c>
      <c r="AN108" s="1">
        <v>0</v>
      </c>
      <c r="AO108" s="1">
        <v>50843249</v>
      </c>
      <c r="AP108" s="1">
        <v>6081322</v>
      </c>
      <c r="AQ108" s="1">
        <v>44761927</v>
      </c>
      <c r="AR108" s="1">
        <v>9258521</v>
      </c>
      <c r="AS108" s="1">
        <v>1388778</v>
      </c>
      <c r="AT108" s="1">
        <f t="shared" si="7"/>
        <v>61490548</v>
      </c>
    </row>
    <row r="109" spans="1:46" x14ac:dyDescent="0.2">
      <c r="A109" s="1" t="str">
        <f>"00129"</f>
        <v>00129</v>
      </c>
      <c r="B109" s="1" t="str">
        <f>"هادي"</f>
        <v>هادي</v>
      </c>
      <c r="C109" s="1" t="str">
        <f>"دهقاني"</f>
        <v>دهقاني</v>
      </c>
      <c r="D109" s="1" t="str">
        <f t="shared" ref="D109:D116" si="8">"قراردادي بهره بردار"</f>
        <v>قراردادي بهره بردار</v>
      </c>
      <c r="E109" s="1" t="str">
        <f t="shared" ref="E109:E116" si="9">"پروژه بهره برداري نيروگاه بوشهر"</f>
        <v>پروژه بهره برداري نيروگاه بوشهر</v>
      </c>
      <c r="F109" s="1">
        <v>14815479</v>
      </c>
      <c r="G109" s="1">
        <v>5776118</v>
      </c>
      <c r="H109" s="1">
        <v>0</v>
      </c>
      <c r="I109" s="1">
        <v>13450028</v>
      </c>
      <c r="J109" s="1">
        <v>0</v>
      </c>
      <c r="K109" s="1">
        <v>4620000</v>
      </c>
      <c r="L109" s="1">
        <v>0</v>
      </c>
      <c r="M109" s="1">
        <v>1000000</v>
      </c>
      <c r="N109" s="1">
        <v>2662865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1606000</v>
      </c>
      <c r="U109" s="1">
        <v>0</v>
      </c>
      <c r="V109" s="1">
        <v>19390925</v>
      </c>
      <c r="W109" s="1">
        <v>1900000</v>
      </c>
      <c r="X109" s="1">
        <v>2150634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1902046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10744694</v>
      </c>
      <c r="AM109" s="1">
        <v>0</v>
      </c>
      <c r="AN109" s="1">
        <v>0</v>
      </c>
      <c r="AO109" s="1">
        <v>80018789</v>
      </c>
      <c r="AP109" s="1">
        <v>38692576</v>
      </c>
      <c r="AQ109" s="1">
        <v>41326213</v>
      </c>
      <c r="AR109" s="1">
        <v>15682558</v>
      </c>
      <c r="AS109" s="1">
        <v>2352384</v>
      </c>
      <c r="AT109" s="1">
        <f t="shared" si="7"/>
        <v>98053731</v>
      </c>
    </row>
    <row r="110" spans="1:46" x14ac:dyDescent="0.2">
      <c r="A110" s="1" t="str">
        <f>"00130"</f>
        <v>00130</v>
      </c>
      <c r="B110" s="1" t="str">
        <f>"سيروس"</f>
        <v>سيروس</v>
      </c>
      <c r="C110" s="1" t="str">
        <f>"سينائي"</f>
        <v>سينائي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23365651</v>
      </c>
      <c r="G110" s="1">
        <v>22422703</v>
      </c>
      <c r="H110" s="1">
        <v>0</v>
      </c>
      <c r="I110" s="1">
        <v>20655481</v>
      </c>
      <c r="J110" s="1">
        <v>0</v>
      </c>
      <c r="K110" s="1">
        <v>5500000</v>
      </c>
      <c r="L110" s="1">
        <v>0</v>
      </c>
      <c r="M110" s="1">
        <v>1000000</v>
      </c>
      <c r="N110" s="1">
        <v>3506272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19614921</v>
      </c>
      <c r="W110" s="1">
        <v>1900000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2504480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6010751</v>
      </c>
      <c r="AM110" s="1">
        <v>0</v>
      </c>
      <c r="AN110" s="1">
        <v>0</v>
      </c>
      <c r="AO110" s="1">
        <v>106480259</v>
      </c>
      <c r="AP110" s="1">
        <v>20432576</v>
      </c>
      <c r="AQ110" s="1">
        <v>86047683</v>
      </c>
      <c r="AR110" s="1">
        <v>21296052</v>
      </c>
      <c r="AS110" s="1">
        <v>3194408</v>
      </c>
      <c r="AT110" s="1">
        <f t="shared" si="7"/>
        <v>130970719</v>
      </c>
    </row>
    <row r="111" spans="1:46" x14ac:dyDescent="0.2">
      <c r="A111" s="1" t="str">
        <f>"00131"</f>
        <v>00131</v>
      </c>
      <c r="B111" s="1" t="str">
        <f>"علي"</f>
        <v>علي</v>
      </c>
      <c r="C111" s="1" t="str">
        <f>"شعبانيان"</f>
        <v>شعبانيان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15450772</v>
      </c>
      <c r="G111" s="1">
        <v>6828003</v>
      </c>
      <c r="H111" s="1">
        <v>0</v>
      </c>
      <c r="I111" s="1">
        <v>13900696</v>
      </c>
      <c r="J111" s="1">
        <v>0</v>
      </c>
      <c r="K111" s="1">
        <v>3465000</v>
      </c>
      <c r="L111" s="1">
        <v>0</v>
      </c>
      <c r="M111" s="1">
        <v>1000000</v>
      </c>
      <c r="N111" s="1">
        <v>2885218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1606000</v>
      </c>
      <c r="U111" s="1">
        <v>0</v>
      </c>
      <c r="V111" s="1">
        <v>10830770</v>
      </c>
      <c r="W111" s="1">
        <v>1900000</v>
      </c>
      <c r="X111" s="1">
        <v>2242854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2060870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11790825</v>
      </c>
      <c r="AM111" s="1">
        <v>0</v>
      </c>
      <c r="AN111" s="1">
        <v>0</v>
      </c>
      <c r="AO111" s="1">
        <v>73961008</v>
      </c>
      <c r="AP111" s="1">
        <v>18813142</v>
      </c>
      <c r="AQ111" s="1">
        <v>55147866</v>
      </c>
      <c r="AR111" s="1">
        <v>14471002</v>
      </c>
      <c r="AS111" s="1">
        <v>2170650</v>
      </c>
      <c r="AT111" s="1">
        <f t="shared" si="7"/>
        <v>90602660</v>
      </c>
    </row>
    <row r="112" spans="1:46" x14ac:dyDescent="0.2">
      <c r="A112" s="1" t="str">
        <f>"00132"</f>
        <v>00132</v>
      </c>
      <c r="B112" s="1" t="str">
        <f>"علي"</f>
        <v>علي</v>
      </c>
      <c r="C112" s="1" t="str">
        <f>"شقايق مند"</f>
        <v>شقايق مند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21288899</v>
      </c>
      <c r="G112" s="1">
        <v>13394962</v>
      </c>
      <c r="H112" s="1">
        <v>0</v>
      </c>
      <c r="I112" s="1">
        <v>17746713</v>
      </c>
      <c r="J112" s="1">
        <v>0</v>
      </c>
      <c r="K112" s="1">
        <v>5500000</v>
      </c>
      <c r="L112" s="1">
        <v>0</v>
      </c>
      <c r="M112" s="1">
        <v>1000000</v>
      </c>
      <c r="N112" s="1">
        <v>3713290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21653127</v>
      </c>
      <c r="W112" s="1">
        <v>1900000</v>
      </c>
      <c r="X112" s="1">
        <v>3090324</v>
      </c>
      <c r="Y112" s="1">
        <v>0</v>
      </c>
      <c r="Z112" s="1">
        <v>0</v>
      </c>
      <c r="AA112" s="1">
        <v>0</v>
      </c>
      <c r="AB112" s="1">
        <v>0</v>
      </c>
      <c r="AC112" s="1">
        <v>3877480</v>
      </c>
      <c r="AD112" s="1">
        <v>0</v>
      </c>
      <c r="AE112" s="1">
        <v>2652350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19461357</v>
      </c>
      <c r="AM112" s="1">
        <v>0</v>
      </c>
      <c r="AN112" s="1">
        <v>0</v>
      </c>
      <c r="AO112" s="1">
        <v>115278502</v>
      </c>
      <c r="AP112" s="1">
        <v>37824651</v>
      </c>
      <c r="AQ112" s="1">
        <v>77453851</v>
      </c>
      <c r="AR112" s="1">
        <v>21944212</v>
      </c>
      <c r="AS112" s="1">
        <v>3291632</v>
      </c>
      <c r="AT112" s="1">
        <f t="shared" si="7"/>
        <v>140514346</v>
      </c>
    </row>
    <row r="113" spans="1:46" x14ac:dyDescent="0.2">
      <c r="A113" s="1" t="str">
        <f>"00133"</f>
        <v>00133</v>
      </c>
      <c r="B113" s="1" t="str">
        <f>"مهدي"</f>
        <v>مهدي</v>
      </c>
      <c r="C113" s="1" t="str">
        <f>"شمسي پور"</f>
        <v>شمسي پور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21216607</v>
      </c>
      <c r="G113" s="1">
        <v>12882602</v>
      </c>
      <c r="H113" s="1">
        <v>2968000</v>
      </c>
      <c r="I113" s="1">
        <v>19975991</v>
      </c>
      <c r="J113" s="1">
        <v>0</v>
      </c>
      <c r="K113" s="1">
        <v>5500000</v>
      </c>
      <c r="L113" s="1">
        <v>0</v>
      </c>
      <c r="M113" s="1">
        <v>1000000</v>
      </c>
      <c r="N113" s="1">
        <v>3687987</v>
      </c>
      <c r="O113" s="1">
        <v>0</v>
      </c>
      <c r="P113" s="1">
        <v>0</v>
      </c>
      <c r="Q113" s="1">
        <v>0</v>
      </c>
      <c r="R113" s="1">
        <v>0</v>
      </c>
      <c r="S113" s="1">
        <v>1272000</v>
      </c>
      <c r="T113" s="1">
        <v>0</v>
      </c>
      <c r="U113" s="1">
        <v>0</v>
      </c>
      <c r="V113" s="1">
        <v>17223101</v>
      </c>
      <c r="W113" s="1">
        <v>1900000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2634277</v>
      </c>
      <c r="AF113" s="1">
        <v>3033762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5479295</v>
      </c>
      <c r="AM113" s="1">
        <v>0</v>
      </c>
      <c r="AN113" s="1">
        <v>0</v>
      </c>
      <c r="AO113" s="1">
        <v>98773622</v>
      </c>
      <c r="AP113" s="1">
        <v>39395761</v>
      </c>
      <c r="AQ113" s="1">
        <v>59377861</v>
      </c>
      <c r="AR113" s="1">
        <v>18299972</v>
      </c>
      <c r="AS113" s="1">
        <v>2744996</v>
      </c>
      <c r="AT113" s="1">
        <f t="shared" si="7"/>
        <v>119818590</v>
      </c>
    </row>
    <row r="114" spans="1:46" x14ac:dyDescent="0.2">
      <c r="A114" s="1" t="str">
        <f>"00134"</f>
        <v>00134</v>
      </c>
      <c r="B114" s="1" t="str">
        <f>"نوشين"</f>
        <v>نوشين</v>
      </c>
      <c r="C114" s="1" t="str">
        <f>"شهاب فر"</f>
        <v>شهاب فر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21518919</v>
      </c>
      <c r="G114" s="1">
        <v>15224998</v>
      </c>
      <c r="H114" s="1">
        <v>0</v>
      </c>
      <c r="I114" s="1">
        <v>18894888</v>
      </c>
      <c r="J114" s="1">
        <v>0</v>
      </c>
      <c r="K114" s="1">
        <v>4125000</v>
      </c>
      <c r="L114" s="1">
        <v>0</v>
      </c>
      <c r="M114" s="1">
        <v>1000000</v>
      </c>
      <c r="N114" s="1">
        <v>3793797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11121648</v>
      </c>
      <c r="W114" s="1">
        <v>1900000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2709855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5419709</v>
      </c>
      <c r="AM114" s="1">
        <v>0</v>
      </c>
      <c r="AN114" s="1">
        <v>0</v>
      </c>
      <c r="AO114" s="1">
        <v>85708814</v>
      </c>
      <c r="AP114" s="1">
        <v>15830699</v>
      </c>
      <c r="AQ114" s="1">
        <v>69878115</v>
      </c>
      <c r="AR114" s="1">
        <v>17141763</v>
      </c>
      <c r="AS114" s="1">
        <v>2571264</v>
      </c>
      <c r="AT114" s="1">
        <f t="shared" si="7"/>
        <v>105421841</v>
      </c>
    </row>
    <row r="115" spans="1:46" x14ac:dyDescent="0.2">
      <c r="A115" s="1" t="str">
        <f>"00135"</f>
        <v>00135</v>
      </c>
      <c r="B115" s="1" t="str">
        <f>"زهرا"</f>
        <v>زهرا</v>
      </c>
      <c r="C115" s="1" t="str">
        <f>"شهنيائي"</f>
        <v>شهنيائي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19291011</v>
      </c>
      <c r="G115" s="1">
        <v>3316879</v>
      </c>
      <c r="H115" s="1">
        <v>0</v>
      </c>
      <c r="I115" s="1">
        <v>17885670</v>
      </c>
      <c r="J115" s="1">
        <v>0</v>
      </c>
      <c r="K115" s="1">
        <v>4125000</v>
      </c>
      <c r="L115" s="1">
        <v>0</v>
      </c>
      <c r="M115" s="1">
        <v>1000000</v>
      </c>
      <c r="N115" s="1">
        <v>3209546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1606000</v>
      </c>
      <c r="U115" s="1">
        <v>0</v>
      </c>
      <c r="V115" s="1">
        <v>8962802</v>
      </c>
      <c r="W115" s="1">
        <v>1900000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2957400</v>
      </c>
      <c r="AD115" s="1">
        <v>0</v>
      </c>
      <c r="AE115" s="1">
        <v>2292533</v>
      </c>
      <c r="AF115" s="1">
        <v>1516881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4157185</v>
      </c>
      <c r="AM115" s="1">
        <v>0</v>
      </c>
      <c r="AN115" s="1">
        <v>0</v>
      </c>
      <c r="AO115" s="1">
        <v>72220907</v>
      </c>
      <c r="AP115" s="1">
        <v>34336947</v>
      </c>
      <c r="AQ115" s="1">
        <v>37883960</v>
      </c>
      <c r="AR115" s="1">
        <v>13819605</v>
      </c>
      <c r="AS115" s="1">
        <v>2072941</v>
      </c>
      <c r="AT115" s="1">
        <f t="shared" si="7"/>
        <v>88113453</v>
      </c>
    </row>
    <row r="116" spans="1:46" x14ac:dyDescent="0.2">
      <c r="A116" s="1" t="str">
        <f>"00136"</f>
        <v>00136</v>
      </c>
      <c r="B116" s="1" t="str">
        <f>"محمد"</f>
        <v>محمد</v>
      </c>
      <c r="C116" s="1" t="str">
        <f>"صادقي نيا"</f>
        <v>صادقي نيا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15238277</v>
      </c>
      <c r="G116" s="1">
        <v>11486956</v>
      </c>
      <c r="H116" s="1">
        <v>0</v>
      </c>
      <c r="I116" s="1">
        <v>12218825</v>
      </c>
      <c r="J116" s="1">
        <v>0</v>
      </c>
      <c r="K116" s="1">
        <v>4620000</v>
      </c>
      <c r="L116" s="1">
        <v>0</v>
      </c>
      <c r="M116" s="1">
        <v>1000000</v>
      </c>
      <c r="N116" s="1">
        <v>2810844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18349533</v>
      </c>
      <c r="W116" s="1">
        <v>1900000</v>
      </c>
      <c r="X116" s="1">
        <v>2212008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2007746</v>
      </c>
      <c r="AF116" s="1">
        <v>8241720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9666098</v>
      </c>
      <c r="AM116" s="1">
        <v>0</v>
      </c>
      <c r="AN116" s="1">
        <v>0</v>
      </c>
      <c r="AO116" s="1">
        <v>89752007</v>
      </c>
      <c r="AP116" s="1">
        <v>41118099</v>
      </c>
      <c r="AQ116" s="1">
        <v>48633908</v>
      </c>
      <c r="AR116" s="1">
        <v>16302057</v>
      </c>
      <c r="AS116" s="1">
        <v>2445309</v>
      </c>
      <c r="AT116" s="1">
        <f t="shared" si="7"/>
        <v>108499373</v>
      </c>
    </row>
    <row r="117" spans="1:46" x14ac:dyDescent="0.2">
      <c r="A117" s="1" t="str">
        <f>"00137"</f>
        <v>00137</v>
      </c>
      <c r="B117" s="1" t="str">
        <f>"عليمراد"</f>
        <v>عليمراد</v>
      </c>
      <c r="C117" s="1" t="str">
        <f>"بدره"</f>
        <v>بدره</v>
      </c>
      <c r="D117" s="1" t="str">
        <f>"قراردادي کارگري"</f>
        <v>قراردادي کارگري</v>
      </c>
      <c r="E117" s="1" t="str">
        <f>"پروژه تعميرات نيروگاه بوشهر"</f>
        <v>پروژه تعميرات نيروگاه بوشهر</v>
      </c>
      <c r="F117" s="1">
        <v>7476071</v>
      </c>
      <c r="G117" s="1">
        <v>6579844</v>
      </c>
      <c r="H117" s="1">
        <v>0</v>
      </c>
      <c r="I117" s="1">
        <v>5532292</v>
      </c>
      <c r="J117" s="1">
        <v>0</v>
      </c>
      <c r="K117" s="1">
        <v>0</v>
      </c>
      <c r="L117" s="1">
        <v>7628143</v>
      </c>
      <c r="M117" s="1">
        <v>1000000</v>
      </c>
      <c r="N117" s="1">
        <v>3960831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6484591</v>
      </c>
      <c r="W117" s="1">
        <v>1900000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3033762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43595534</v>
      </c>
      <c r="AP117" s="1">
        <v>10260575</v>
      </c>
      <c r="AQ117" s="1">
        <v>33334959</v>
      </c>
      <c r="AR117" s="1">
        <v>8112354</v>
      </c>
      <c r="AS117" s="1">
        <v>1216853</v>
      </c>
      <c r="AT117" s="1">
        <f t="shared" si="7"/>
        <v>52924741</v>
      </c>
    </row>
    <row r="118" spans="1:46" x14ac:dyDescent="0.2">
      <c r="A118" s="1" t="str">
        <f>"00138"</f>
        <v>00138</v>
      </c>
      <c r="B118" s="1" t="str">
        <f>"محمدرضا"</f>
        <v>محمدرضا</v>
      </c>
      <c r="C118" s="1" t="str">
        <f>"جالبوتي"</f>
        <v>جالبوتي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16609635</v>
      </c>
      <c r="G118" s="1">
        <v>17276225</v>
      </c>
      <c r="H118" s="1">
        <v>0</v>
      </c>
      <c r="I118" s="1">
        <v>15734888</v>
      </c>
      <c r="J118" s="1">
        <v>0</v>
      </c>
      <c r="K118" s="1">
        <v>4620000</v>
      </c>
      <c r="L118" s="1">
        <v>0</v>
      </c>
      <c r="M118" s="1">
        <v>1000000</v>
      </c>
      <c r="N118" s="1">
        <v>3290819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1606000</v>
      </c>
      <c r="U118" s="1">
        <v>0</v>
      </c>
      <c r="V118" s="1">
        <v>16389023</v>
      </c>
      <c r="W118" s="1">
        <v>1900000</v>
      </c>
      <c r="X118" s="1">
        <v>2411076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2350585</v>
      </c>
      <c r="AF118" s="1">
        <v>1516881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13633045</v>
      </c>
      <c r="AM118" s="1">
        <v>0</v>
      </c>
      <c r="AN118" s="1">
        <v>0</v>
      </c>
      <c r="AO118" s="1">
        <v>98338177</v>
      </c>
      <c r="AP118" s="1">
        <v>14883201</v>
      </c>
      <c r="AQ118" s="1">
        <v>83454976</v>
      </c>
      <c r="AR118" s="1">
        <v>19043059</v>
      </c>
      <c r="AS118" s="1">
        <v>2856459</v>
      </c>
      <c r="AT118" s="1">
        <f t="shared" si="7"/>
        <v>120237695</v>
      </c>
    </row>
    <row r="119" spans="1:46" x14ac:dyDescent="0.2">
      <c r="A119" s="1" t="str">
        <f>"00139"</f>
        <v>00139</v>
      </c>
      <c r="B119" s="1" t="str">
        <f>"ابراهيم"</f>
        <v>ابراهيم</v>
      </c>
      <c r="C119" s="1" t="str">
        <f>"صداقت"</f>
        <v>صداقت</v>
      </c>
      <c r="D119" s="1" t="str">
        <f>"قراردادي بهره بردار"</f>
        <v>قراردادي بهره بردار</v>
      </c>
      <c r="E119" s="1" t="str">
        <f>"پروژه بهره برداري نيروگاه بوشهر"</f>
        <v>پروژه بهره برداري نيروگاه بوشهر</v>
      </c>
      <c r="F119" s="1">
        <v>15702699</v>
      </c>
      <c r="G119" s="1">
        <v>11301800</v>
      </c>
      <c r="H119" s="1">
        <v>0</v>
      </c>
      <c r="I119" s="1">
        <v>14991255</v>
      </c>
      <c r="J119" s="1">
        <v>0</v>
      </c>
      <c r="K119" s="1">
        <v>4620000</v>
      </c>
      <c r="L119" s="1">
        <v>0</v>
      </c>
      <c r="M119" s="1">
        <v>1000000</v>
      </c>
      <c r="N119" s="1">
        <v>2973392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11287516</v>
      </c>
      <c r="W119" s="1">
        <v>1900000</v>
      </c>
      <c r="X119" s="1">
        <v>2279424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2123851</v>
      </c>
      <c r="AF119" s="1">
        <v>1516881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12240788</v>
      </c>
      <c r="AM119" s="1">
        <v>0</v>
      </c>
      <c r="AN119" s="1">
        <v>0</v>
      </c>
      <c r="AO119" s="1">
        <v>81937606</v>
      </c>
      <c r="AP119" s="1">
        <v>16085317</v>
      </c>
      <c r="AQ119" s="1">
        <v>65852289</v>
      </c>
      <c r="AR119" s="1">
        <v>16084145</v>
      </c>
      <c r="AS119" s="1">
        <v>2412622</v>
      </c>
      <c r="AT119" s="1">
        <f t="shared" si="7"/>
        <v>100434373</v>
      </c>
    </row>
    <row r="120" spans="1:46" x14ac:dyDescent="0.2">
      <c r="A120" s="1" t="str">
        <f>"00140"</f>
        <v>00140</v>
      </c>
      <c r="B120" s="1" t="str">
        <f>"محمود"</f>
        <v>محمود</v>
      </c>
      <c r="C120" s="1" t="str">
        <f>"احمدنيا"</f>
        <v>احمدنيا</v>
      </c>
      <c r="D120" s="1" t="str">
        <f>"قراردادي کارگري"</f>
        <v>قراردادي کارگري</v>
      </c>
      <c r="E120" s="1" t="str">
        <f>"پروژه تعميرات نيروگاه بوشهر"</f>
        <v>پروژه تعميرات نيروگاه بوشهر</v>
      </c>
      <c r="F120" s="1">
        <v>8113034</v>
      </c>
      <c r="G120" s="1">
        <v>2085131</v>
      </c>
      <c r="H120" s="1">
        <v>0</v>
      </c>
      <c r="I120" s="1">
        <v>6003645</v>
      </c>
      <c r="J120" s="1">
        <v>0</v>
      </c>
      <c r="K120" s="1">
        <v>0</v>
      </c>
      <c r="L120" s="1">
        <v>7628143</v>
      </c>
      <c r="M120" s="1">
        <v>1000000</v>
      </c>
      <c r="N120" s="1">
        <v>4270018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6817704</v>
      </c>
      <c r="W120" s="1">
        <v>1900000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3902226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4448280</v>
      </c>
      <c r="AK120" s="1">
        <v>0</v>
      </c>
      <c r="AL120" s="1">
        <v>0</v>
      </c>
      <c r="AM120" s="1">
        <v>0</v>
      </c>
      <c r="AN120" s="1">
        <v>0</v>
      </c>
      <c r="AO120" s="1">
        <v>46168181</v>
      </c>
      <c r="AP120" s="1">
        <v>7760033</v>
      </c>
      <c r="AQ120" s="1">
        <v>38408148</v>
      </c>
      <c r="AR120" s="1">
        <v>9233636</v>
      </c>
      <c r="AS120" s="1">
        <v>1385045</v>
      </c>
      <c r="AT120" s="1">
        <f t="shared" si="7"/>
        <v>56786862</v>
      </c>
    </row>
    <row r="121" spans="1:46" x14ac:dyDescent="0.2">
      <c r="A121" s="1" t="str">
        <f>"00141"</f>
        <v>00141</v>
      </c>
      <c r="B121" s="1" t="str">
        <f>"حميد"</f>
        <v>حميد</v>
      </c>
      <c r="C121" s="1" t="str">
        <f>"صفوي"</f>
        <v>صفوي</v>
      </c>
      <c r="D121" s="1" t="str">
        <f t="shared" ref="D121:D148" si="10"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15415721</v>
      </c>
      <c r="G121" s="1">
        <v>10444779</v>
      </c>
      <c r="H121" s="1">
        <v>0</v>
      </c>
      <c r="I121" s="1">
        <v>13255241</v>
      </c>
      <c r="J121" s="1">
        <v>0</v>
      </c>
      <c r="K121" s="1">
        <v>4620000</v>
      </c>
      <c r="L121" s="1">
        <v>0</v>
      </c>
      <c r="M121" s="1">
        <v>1000000</v>
      </c>
      <c r="N121" s="1">
        <v>2872950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1606000</v>
      </c>
      <c r="U121" s="1">
        <v>0</v>
      </c>
      <c r="V121" s="1">
        <v>10431579</v>
      </c>
      <c r="W121" s="1">
        <v>1900000</v>
      </c>
      <c r="X121" s="1">
        <v>2237766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2052107</v>
      </c>
      <c r="AF121" s="1">
        <v>3033762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10793677</v>
      </c>
      <c r="AM121" s="1">
        <v>0</v>
      </c>
      <c r="AN121" s="1">
        <v>0</v>
      </c>
      <c r="AO121" s="1">
        <v>79663582</v>
      </c>
      <c r="AP121" s="1">
        <v>25073135</v>
      </c>
      <c r="AQ121" s="1">
        <v>54590447</v>
      </c>
      <c r="AR121" s="1">
        <v>15004764</v>
      </c>
      <c r="AS121" s="1">
        <v>2250715</v>
      </c>
      <c r="AT121" s="1">
        <f t="shared" si="7"/>
        <v>96919061</v>
      </c>
    </row>
    <row r="122" spans="1:46" x14ac:dyDescent="0.2">
      <c r="A122" s="1" t="str">
        <f>"00142"</f>
        <v>00142</v>
      </c>
      <c r="B122" s="1" t="str">
        <f>"وحيد"</f>
        <v>وحيد</v>
      </c>
      <c r="C122" s="1" t="str">
        <f>"ضرغامي"</f>
        <v>ضرغامي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15584403</v>
      </c>
      <c r="G122" s="1">
        <v>18098459</v>
      </c>
      <c r="H122" s="1">
        <v>0</v>
      </c>
      <c r="I122" s="1">
        <v>14528622</v>
      </c>
      <c r="J122" s="1">
        <v>0</v>
      </c>
      <c r="K122" s="1">
        <v>3465000</v>
      </c>
      <c r="L122" s="1">
        <v>0</v>
      </c>
      <c r="M122" s="1">
        <v>1000000</v>
      </c>
      <c r="N122" s="1">
        <v>2931988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15872506</v>
      </c>
      <c r="W122" s="1">
        <v>1900000</v>
      </c>
      <c r="X122" s="1">
        <v>2262252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2094277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11544551</v>
      </c>
      <c r="AM122" s="1">
        <v>0</v>
      </c>
      <c r="AN122" s="1">
        <v>0</v>
      </c>
      <c r="AO122" s="1">
        <v>89282058</v>
      </c>
      <c r="AP122" s="1">
        <v>17167800</v>
      </c>
      <c r="AQ122" s="1">
        <v>72114258</v>
      </c>
      <c r="AR122" s="1">
        <v>17856412</v>
      </c>
      <c r="AS122" s="1">
        <v>2678462</v>
      </c>
      <c r="AT122" s="1">
        <f t="shared" si="7"/>
        <v>109816932</v>
      </c>
    </row>
    <row r="123" spans="1:46" x14ac:dyDescent="0.2">
      <c r="A123" s="1" t="str">
        <f>"00143"</f>
        <v>00143</v>
      </c>
      <c r="B123" s="1" t="str">
        <f>"ميثم"</f>
        <v>ميثم</v>
      </c>
      <c r="C123" s="1" t="str">
        <f>"ضيغمي"</f>
        <v>ضيغمي</v>
      </c>
      <c r="D123" s="1" t="str">
        <f t="shared" si="10"/>
        <v>قراردادي بهره بردار</v>
      </c>
      <c r="E123" s="1" t="str">
        <f>"پروژه بهره برداري نيروگاه بوشهر"</f>
        <v>پروژه بهره برداري نيروگاه بوشهر</v>
      </c>
      <c r="F123" s="1">
        <v>15707080</v>
      </c>
      <c r="G123" s="1">
        <v>2865998</v>
      </c>
      <c r="H123" s="1">
        <v>0</v>
      </c>
      <c r="I123" s="1">
        <v>13779579</v>
      </c>
      <c r="J123" s="1">
        <v>0</v>
      </c>
      <c r="K123" s="1">
        <v>3465000</v>
      </c>
      <c r="L123" s="1">
        <v>0</v>
      </c>
      <c r="M123" s="1">
        <v>1000000</v>
      </c>
      <c r="N123" s="1">
        <v>2974925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9660518</v>
      </c>
      <c r="W123" s="1">
        <v>1900000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2124947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6522053</v>
      </c>
      <c r="AM123" s="1">
        <v>0</v>
      </c>
      <c r="AN123" s="1">
        <v>0</v>
      </c>
      <c r="AO123" s="1">
        <v>60000100</v>
      </c>
      <c r="AP123" s="1">
        <v>26125534</v>
      </c>
      <c r="AQ123" s="1">
        <v>33874566</v>
      </c>
      <c r="AR123" s="1">
        <v>12000020</v>
      </c>
      <c r="AS123" s="1">
        <v>1800003</v>
      </c>
      <c r="AT123" s="1">
        <f t="shared" si="7"/>
        <v>73800123</v>
      </c>
    </row>
    <row r="124" spans="1:46" x14ac:dyDescent="0.2">
      <c r="A124" s="1" t="str">
        <f>"00145"</f>
        <v>00145</v>
      </c>
      <c r="B124" s="1" t="str">
        <f>"رضا"</f>
        <v>رضا</v>
      </c>
      <c r="C124" s="1" t="str">
        <f>"طاهري"</f>
        <v>طاهري</v>
      </c>
      <c r="D124" s="1" t="str">
        <f t="shared" si="10"/>
        <v>قراردادي بهره بردار</v>
      </c>
      <c r="E124" s="1" t="str">
        <f>"پروژه تعميرات نيروگاه بوشهر"</f>
        <v>پروژه تعميرات نيروگاه بوشهر</v>
      </c>
      <c r="F124" s="1">
        <v>20662368</v>
      </c>
      <c r="G124" s="1">
        <v>0</v>
      </c>
      <c r="H124" s="1">
        <v>0</v>
      </c>
      <c r="I124" s="1">
        <v>20650703</v>
      </c>
      <c r="J124" s="1">
        <v>0</v>
      </c>
      <c r="K124" s="1">
        <v>5500000</v>
      </c>
      <c r="L124" s="1">
        <v>0</v>
      </c>
      <c r="M124" s="1">
        <v>1000000</v>
      </c>
      <c r="N124" s="1">
        <v>3494004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12214891</v>
      </c>
      <c r="W124" s="1">
        <v>1900000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2495717</v>
      </c>
      <c r="AF124" s="1">
        <v>1516881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6389036</v>
      </c>
      <c r="AM124" s="1">
        <v>0</v>
      </c>
      <c r="AN124" s="1">
        <v>0</v>
      </c>
      <c r="AO124" s="1">
        <v>75823600</v>
      </c>
      <c r="AP124" s="1">
        <v>35005262</v>
      </c>
      <c r="AQ124" s="1">
        <v>40818338</v>
      </c>
      <c r="AR124" s="1">
        <v>14861344</v>
      </c>
      <c r="AS124" s="1">
        <v>2229202</v>
      </c>
      <c r="AT124" s="1">
        <f t="shared" si="7"/>
        <v>92914146</v>
      </c>
    </row>
    <row r="125" spans="1:46" x14ac:dyDescent="0.2">
      <c r="A125" s="1" t="str">
        <f>"00148"</f>
        <v>00148</v>
      </c>
      <c r="B125" s="1" t="str">
        <f>"رسول"</f>
        <v>رسول</v>
      </c>
      <c r="C125" s="1" t="str">
        <f>"عباسي"</f>
        <v>عباسي</v>
      </c>
      <c r="D125" s="1" t="str">
        <f t="shared" si="10"/>
        <v>قراردادي بهره بردار</v>
      </c>
      <c r="E125" s="1" t="str">
        <f t="shared" ref="E125:E148" si="11">"پروژه بهره برداري نيروگاه بوشهر"</f>
        <v>پروژه بهره برداري نيروگاه بوشهر</v>
      </c>
      <c r="F125" s="1">
        <v>21133365</v>
      </c>
      <c r="G125" s="1">
        <v>19370909</v>
      </c>
      <c r="H125" s="1">
        <v>0</v>
      </c>
      <c r="I125" s="1">
        <v>23854386</v>
      </c>
      <c r="J125" s="1">
        <v>0</v>
      </c>
      <c r="K125" s="1">
        <v>5500000</v>
      </c>
      <c r="L125" s="1">
        <v>0</v>
      </c>
      <c r="M125" s="1">
        <v>1000000</v>
      </c>
      <c r="N125" s="1">
        <v>3854367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6097013</v>
      </c>
      <c r="W125" s="1">
        <v>1900000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5520480</v>
      </c>
      <c r="AD125" s="1">
        <v>0</v>
      </c>
      <c r="AE125" s="1">
        <v>2753124</v>
      </c>
      <c r="AF125" s="1">
        <v>1516881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3854367</v>
      </c>
      <c r="AM125" s="1">
        <v>0</v>
      </c>
      <c r="AN125" s="1">
        <v>0</v>
      </c>
      <c r="AO125" s="1">
        <v>96354892</v>
      </c>
      <c r="AP125" s="1">
        <v>29004364</v>
      </c>
      <c r="AQ125" s="1">
        <v>67350528</v>
      </c>
      <c r="AR125" s="1">
        <v>18967603</v>
      </c>
      <c r="AS125" s="1">
        <v>2845140</v>
      </c>
      <c r="AT125" s="1">
        <f t="shared" si="7"/>
        <v>118167635</v>
      </c>
    </row>
    <row r="126" spans="1:46" x14ac:dyDescent="0.2">
      <c r="A126" s="1" t="str">
        <f>"00149"</f>
        <v>00149</v>
      </c>
      <c r="B126" s="1" t="str">
        <f>"حسين"</f>
        <v>حسين</v>
      </c>
      <c r="C126" s="1" t="str">
        <f>"عرب زاده"</f>
        <v>عرب زاده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11713495</v>
      </c>
      <c r="G126" s="1">
        <v>8022870</v>
      </c>
      <c r="H126" s="1">
        <v>1302500</v>
      </c>
      <c r="I126" s="1">
        <v>6748245</v>
      </c>
      <c r="J126" s="1">
        <v>0</v>
      </c>
      <c r="K126" s="1">
        <v>4620000</v>
      </c>
      <c r="L126" s="1">
        <v>0</v>
      </c>
      <c r="M126" s="1">
        <v>1000000</v>
      </c>
      <c r="N126" s="1">
        <v>1845527</v>
      </c>
      <c r="O126" s="1">
        <v>0</v>
      </c>
      <c r="P126" s="1">
        <v>0</v>
      </c>
      <c r="Q126" s="1">
        <v>0</v>
      </c>
      <c r="R126" s="1">
        <v>0</v>
      </c>
      <c r="S126" s="1">
        <v>636000</v>
      </c>
      <c r="T126" s="1">
        <v>0</v>
      </c>
      <c r="U126" s="1">
        <v>0</v>
      </c>
      <c r="V126" s="1">
        <v>2520965</v>
      </c>
      <c r="W126" s="1">
        <v>1900000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1318234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3584150</v>
      </c>
      <c r="AM126" s="1">
        <v>0</v>
      </c>
      <c r="AN126" s="1">
        <v>0</v>
      </c>
      <c r="AO126" s="1">
        <v>45211986</v>
      </c>
      <c r="AP126" s="1">
        <v>5138142</v>
      </c>
      <c r="AQ126" s="1">
        <v>40073844</v>
      </c>
      <c r="AR126" s="1">
        <v>8654697</v>
      </c>
      <c r="AS126" s="1">
        <v>1298205</v>
      </c>
      <c r="AT126" s="1">
        <f t="shared" si="7"/>
        <v>55164888</v>
      </c>
    </row>
    <row r="127" spans="1:46" x14ac:dyDescent="0.2">
      <c r="A127" s="1" t="str">
        <f>"00150"</f>
        <v>00150</v>
      </c>
      <c r="B127" s="1" t="str">
        <f>"سيدمهدي"</f>
        <v>سيدمهدي</v>
      </c>
      <c r="C127" s="1" t="str">
        <f>"عسكري"</f>
        <v>عسكري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16819939</v>
      </c>
      <c r="G127" s="1">
        <v>0</v>
      </c>
      <c r="H127" s="1">
        <v>0</v>
      </c>
      <c r="I127" s="1">
        <v>15375696</v>
      </c>
      <c r="J127" s="1">
        <v>0</v>
      </c>
      <c r="K127" s="1">
        <v>4620000</v>
      </c>
      <c r="L127" s="1">
        <v>0</v>
      </c>
      <c r="M127" s="1">
        <v>1000000</v>
      </c>
      <c r="N127" s="1">
        <v>3364426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1606000</v>
      </c>
      <c r="U127" s="1">
        <v>0</v>
      </c>
      <c r="V127" s="1">
        <v>10547797</v>
      </c>
      <c r="W127" s="1">
        <v>1900000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2403161</v>
      </c>
      <c r="AF127" s="1">
        <v>3033762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6921017</v>
      </c>
      <c r="AM127" s="1">
        <v>0</v>
      </c>
      <c r="AN127" s="1">
        <v>0</v>
      </c>
      <c r="AO127" s="1">
        <v>67591798</v>
      </c>
      <c r="AP127" s="1">
        <v>23602066</v>
      </c>
      <c r="AQ127" s="1">
        <v>43989732</v>
      </c>
      <c r="AR127" s="1">
        <v>12590407</v>
      </c>
      <c r="AS127" s="1">
        <v>1888561</v>
      </c>
      <c r="AT127" s="1">
        <f t="shared" si="7"/>
        <v>82070766</v>
      </c>
    </row>
    <row r="128" spans="1:46" x14ac:dyDescent="0.2">
      <c r="A128" s="1" t="str">
        <f>"00151"</f>
        <v>00151</v>
      </c>
      <c r="B128" s="1" t="str">
        <f>"فرهاد"</f>
        <v>فرهاد</v>
      </c>
      <c r="C128" s="1" t="str">
        <f>"عليرضازاده"</f>
        <v>عليرضازاده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15735559</v>
      </c>
      <c r="G128" s="1">
        <v>14358040</v>
      </c>
      <c r="H128" s="1">
        <v>0</v>
      </c>
      <c r="I128" s="1">
        <v>14578063</v>
      </c>
      <c r="J128" s="1">
        <v>0</v>
      </c>
      <c r="K128" s="1">
        <v>4620000</v>
      </c>
      <c r="L128" s="1">
        <v>0</v>
      </c>
      <c r="M128" s="1">
        <v>1000000</v>
      </c>
      <c r="N128" s="1">
        <v>2984893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1606000</v>
      </c>
      <c r="U128" s="1">
        <v>0</v>
      </c>
      <c r="V128" s="1">
        <v>11062203</v>
      </c>
      <c r="W128" s="1">
        <v>1900000</v>
      </c>
      <c r="X128" s="1">
        <v>2284194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2132066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11642627</v>
      </c>
      <c r="AM128" s="1">
        <v>0</v>
      </c>
      <c r="AN128" s="1">
        <v>0</v>
      </c>
      <c r="AO128" s="1">
        <v>83903645</v>
      </c>
      <c r="AP128" s="1">
        <v>15948596</v>
      </c>
      <c r="AQ128" s="1">
        <v>67955049</v>
      </c>
      <c r="AR128" s="1">
        <v>16459529</v>
      </c>
      <c r="AS128" s="1">
        <v>2468929</v>
      </c>
      <c r="AT128" s="1">
        <f t="shared" si="7"/>
        <v>102832103</v>
      </c>
    </row>
    <row r="129" spans="1:46" x14ac:dyDescent="0.2">
      <c r="A129" s="1" t="str">
        <f>"00152"</f>
        <v>00152</v>
      </c>
      <c r="B129" s="1" t="str">
        <f>"نويد"</f>
        <v>نويد</v>
      </c>
      <c r="C129" s="1" t="str">
        <f>"عمارتي"</f>
        <v>عمارتي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20769711</v>
      </c>
      <c r="G129" s="1">
        <v>12429743</v>
      </c>
      <c r="H129" s="1">
        <v>0</v>
      </c>
      <c r="I129" s="1">
        <v>17368574</v>
      </c>
      <c r="J129" s="1">
        <v>0</v>
      </c>
      <c r="K129" s="1">
        <v>5500000</v>
      </c>
      <c r="L129" s="1">
        <v>0</v>
      </c>
      <c r="M129" s="1">
        <v>1000000</v>
      </c>
      <c r="N129" s="1">
        <v>3531574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16002193</v>
      </c>
      <c r="W129" s="1">
        <v>1900000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2522553</v>
      </c>
      <c r="AF129" s="1">
        <v>1516881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5045105</v>
      </c>
      <c r="AM129" s="1">
        <v>0</v>
      </c>
      <c r="AN129" s="1">
        <v>0</v>
      </c>
      <c r="AO129" s="1">
        <v>87586334</v>
      </c>
      <c r="AP129" s="1">
        <v>37040221</v>
      </c>
      <c r="AQ129" s="1">
        <v>50546113</v>
      </c>
      <c r="AR129" s="1">
        <v>17213891</v>
      </c>
      <c r="AS129" s="1">
        <v>2582084</v>
      </c>
      <c r="AT129" s="1">
        <f t="shared" si="7"/>
        <v>107382309</v>
      </c>
    </row>
    <row r="130" spans="1:46" x14ac:dyDescent="0.2">
      <c r="A130" s="1" t="str">
        <f>"00153"</f>
        <v>00153</v>
      </c>
      <c r="B130" s="1" t="str">
        <f>"مهدي"</f>
        <v>مهدي</v>
      </c>
      <c r="C130" s="1" t="str">
        <f>"فرهمندنيا"</f>
        <v>فرهمندنيا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19135473</v>
      </c>
      <c r="G130" s="1">
        <v>28307112</v>
      </c>
      <c r="H130" s="1">
        <v>0</v>
      </c>
      <c r="I130" s="1">
        <v>18180203</v>
      </c>
      <c r="J130" s="1">
        <v>0</v>
      </c>
      <c r="K130" s="1">
        <v>0</v>
      </c>
      <c r="L130" s="1">
        <v>0</v>
      </c>
      <c r="M130" s="1">
        <v>1000000</v>
      </c>
      <c r="N130" s="1">
        <v>3638150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1606000</v>
      </c>
      <c r="U130" s="1">
        <v>0</v>
      </c>
      <c r="V130" s="1">
        <v>10731203</v>
      </c>
      <c r="W130" s="1">
        <v>1900000</v>
      </c>
      <c r="X130" s="1">
        <v>2777730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2598678</v>
      </c>
      <c r="AF130" s="1">
        <v>4550643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10418263</v>
      </c>
      <c r="AM130" s="1">
        <v>0</v>
      </c>
      <c r="AN130" s="1">
        <v>0</v>
      </c>
      <c r="AO130" s="1">
        <v>104843455</v>
      </c>
      <c r="AP130" s="1">
        <v>20785975</v>
      </c>
      <c r="AQ130" s="1">
        <v>84057480</v>
      </c>
      <c r="AR130" s="1">
        <v>19737362</v>
      </c>
      <c r="AS130" s="1">
        <v>2960604</v>
      </c>
      <c r="AT130" s="1">
        <f t="shared" si="7"/>
        <v>127541421</v>
      </c>
    </row>
    <row r="131" spans="1:46" x14ac:dyDescent="0.2">
      <c r="A131" s="1" t="str">
        <f>"00155"</f>
        <v>00155</v>
      </c>
      <c r="B131" s="1" t="str">
        <f>"زين العابدين"</f>
        <v>زين العابدين</v>
      </c>
      <c r="C131" s="1" t="str">
        <f>"فقيه"</f>
        <v>فقيه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14145135</v>
      </c>
      <c r="G131" s="1">
        <v>3834048</v>
      </c>
      <c r="H131" s="1">
        <v>0</v>
      </c>
      <c r="I131" s="1">
        <v>12573888</v>
      </c>
      <c r="J131" s="1">
        <v>0</v>
      </c>
      <c r="K131" s="1">
        <v>4620000</v>
      </c>
      <c r="L131" s="1">
        <v>0</v>
      </c>
      <c r="M131" s="1">
        <v>1000000</v>
      </c>
      <c r="N131" s="1">
        <v>2428244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1606000</v>
      </c>
      <c r="U131" s="1">
        <v>0</v>
      </c>
      <c r="V131" s="1">
        <v>18446706</v>
      </c>
      <c r="W131" s="1">
        <v>1900000</v>
      </c>
      <c r="X131" s="1">
        <v>2053326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1734460</v>
      </c>
      <c r="AF131" s="1">
        <v>1516881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11042603</v>
      </c>
      <c r="AM131" s="1">
        <v>0</v>
      </c>
      <c r="AN131" s="1">
        <v>0</v>
      </c>
      <c r="AO131" s="1">
        <v>76901291</v>
      </c>
      <c r="AP131" s="1">
        <v>29569382</v>
      </c>
      <c r="AQ131" s="1">
        <v>47331909</v>
      </c>
      <c r="AR131" s="1">
        <v>14755682</v>
      </c>
      <c r="AS131" s="1">
        <v>2213352</v>
      </c>
      <c r="AT131" s="1">
        <f t="shared" ref="AT131:AT194" si="12">AO131+AR131+AS131</f>
        <v>93870325</v>
      </c>
    </row>
    <row r="132" spans="1:46" x14ac:dyDescent="0.2">
      <c r="A132" s="1" t="str">
        <f>"00156"</f>
        <v>00156</v>
      </c>
      <c r="B132" s="1" t="str">
        <f>"محمدرضا"</f>
        <v>محمدرضا</v>
      </c>
      <c r="C132" s="1" t="str">
        <f>"فلاح"</f>
        <v>فلاح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20971252</v>
      </c>
      <c r="G132" s="1">
        <v>4938812</v>
      </c>
      <c r="H132" s="1">
        <v>0</v>
      </c>
      <c r="I132" s="1">
        <v>15729907</v>
      </c>
      <c r="J132" s="1">
        <v>0</v>
      </c>
      <c r="K132" s="1">
        <v>5500000</v>
      </c>
      <c r="L132" s="1">
        <v>0</v>
      </c>
      <c r="M132" s="1">
        <v>1000000</v>
      </c>
      <c r="N132" s="1">
        <v>3602113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18308316</v>
      </c>
      <c r="W132" s="1">
        <v>1900000</v>
      </c>
      <c r="X132" s="1">
        <v>2828168</v>
      </c>
      <c r="Y132" s="1">
        <v>0</v>
      </c>
      <c r="Z132" s="1">
        <v>0</v>
      </c>
      <c r="AA132" s="1">
        <v>0</v>
      </c>
      <c r="AB132" s="1">
        <v>0</v>
      </c>
      <c r="AC132" s="1">
        <v>3877480</v>
      </c>
      <c r="AD132" s="1">
        <v>0</v>
      </c>
      <c r="AE132" s="1">
        <v>2572938</v>
      </c>
      <c r="AF132" s="1">
        <v>1516881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-302839</v>
      </c>
      <c r="AM132" s="1">
        <v>0</v>
      </c>
      <c r="AN132" s="1">
        <v>0</v>
      </c>
      <c r="AO132" s="1">
        <v>82443028</v>
      </c>
      <c r="AP132" s="1">
        <v>33131347</v>
      </c>
      <c r="AQ132" s="1">
        <v>49311681</v>
      </c>
      <c r="AR132" s="1">
        <v>15785208</v>
      </c>
      <c r="AS132" s="1">
        <v>2367782</v>
      </c>
      <c r="AT132" s="1">
        <f t="shared" si="12"/>
        <v>100596018</v>
      </c>
    </row>
    <row r="133" spans="1:46" x14ac:dyDescent="0.2">
      <c r="A133" s="1" t="str">
        <f>"00157"</f>
        <v>00157</v>
      </c>
      <c r="B133" s="1" t="str">
        <f>"محسن"</f>
        <v>محسن</v>
      </c>
      <c r="C133" s="1" t="str">
        <f>"قاسمي"</f>
        <v>قاسمي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24476319</v>
      </c>
      <c r="G133" s="1">
        <v>20849852</v>
      </c>
      <c r="H133" s="1">
        <v>0</v>
      </c>
      <c r="I133" s="1">
        <v>22907064</v>
      </c>
      <c r="J133" s="1">
        <v>0</v>
      </c>
      <c r="K133" s="1">
        <v>0</v>
      </c>
      <c r="L133" s="1">
        <v>0</v>
      </c>
      <c r="M133" s="1">
        <v>1000000</v>
      </c>
      <c r="N133" s="1">
        <v>3895005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1606000</v>
      </c>
      <c r="U133" s="1">
        <v>0</v>
      </c>
      <c r="V133" s="1">
        <v>28435364</v>
      </c>
      <c r="W133" s="1">
        <v>1900000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3384580</v>
      </c>
      <c r="AD133" s="1">
        <v>0</v>
      </c>
      <c r="AE133" s="1">
        <v>2782147</v>
      </c>
      <c r="AF133" s="1">
        <v>9000161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6454580</v>
      </c>
      <c r="AM133" s="1">
        <v>0</v>
      </c>
      <c r="AN133" s="1">
        <v>0</v>
      </c>
      <c r="AO133" s="1">
        <v>126691072</v>
      </c>
      <c r="AP133" s="1">
        <v>52320188</v>
      </c>
      <c r="AQ133" s="1">
        <v>74370884</v>
      </c>
      <c r="AR133" s="1">
        <v>21944212</v>
      </c>
      <c r="AS133" s="1">
        <v>3291632</v>
      </c>
      <c r="AT133" s="1">
        <f t="shared" si="12"/>
        <v>151926916</v>
      </c>
    </row>
    <row r="134" spans="1:46" x14ac:dyDescent="0.2">
      <c r="A134" s="1" t="str">
        <f>"00158"</f>
        <v>00158</v>
      </c>
      <c r="B134" s="1" t="str">
        <f>"مرتضي"</f>
        <v>مرتضي</v>
      </c>
      <c r="C134" s="1" t="str">
        <f>"قايد"</f>
        <v>قايد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15141888</v>
      </c>
      <c r="G134" s="1">
        <v>9366191</v>
      </c>
      <c r="H134" s="1">
        <v>0</v>
      </c>
      <c r="I134" s="1">
        <v>13573135</v>
      </c>
      <c r="J134" s="1">
        <v>0</v>
      </c>
      <c r="K134" s="1">
        <v>4620000</v>
      </c>
      <c r="L134" s="1">
        <v>0</v>
      </c>
      <c r="M134" s="1">
        <v>1000000</v>
      </c>
      <c r="N134" s="1">
        <v>2777108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19236565</v>
      </c>
      <c r="W134" s="1">
        <v>1900000</v>
      </c>
      <c r="X134" s="1">
        <v>2198016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1983649</v>
      </c>
      <c r="AF134" s="1">
        <v>3033762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10493512</v>
      </c>
      <c r="AM134" s="1">
        <v>0</v>
      </c>
      <c r="AN134" s="1">
        <v>0</v>
      </c>
      <c r="AO134" s="1">
        <v>85323826</v>
      </c>
      <c r="AP134" s="1">
        <v>13910370</v>
      </c>
      <c r="AQ134" s="1">
        <v>71413456</v>
      </c>
      <c r="AR134" s="1">
        <v>16458013</v>
      </c>
      <c r="AS134" s="1">
        <v>2468702</v>
      </c>
      <c r="AT134" s="1">
        <f t="shared" si="12"/>
        <v>104250541</v>
      </c>
    </row>
    <row r="135" spans="1:46" x14ac:dyDescent="0.2">
      <c r="A135" s="1" t="str">
        <f>"00159"</f>
        <v>00159</v>
      </c>
      <c r="B135" s="1" t="str">
        <f>"ناصر"</f>
        <v>ناصر</v>
      </c>
      <c r="C135" s="1" t="str">
        <f>"قايدزادگان"</f>
        <v>قايدزادگان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24699767</v>
      </c>
      <c r="G135" s="1">
        <v>21664895</v>
      </c>
      <c r="H135" s="1">
        <v>0</v>
      </c>
      <c r="I135" s="1">
        <v>22766317</v>
      </c>
      <c r="J135" s="1">
        <v>0</v>
      </c>
      <c r="K135" s="1">
        <v>5500000</v>
      </c>
      <c r="L135" s="1">
        <v>0</v>
      </c>
      <c r="M135" s="1">
        <v>1000000</v>
      </c>
      <c r="N135" s="1">
        <v>3973212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1606000</v>
      </c>
      <c r="U135" s="1">
        <v>0</v>
      </c>
      <c r="V135" s="1">
        <v>14249094</v>
      </c>
      <c r="W135" s="1">
        <v>1900000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2838009</v>
      </c>
      <c r="AF135" s="1">
        <v>1516881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6357139</v>
      </c>
      <c r="AM135" s="1">
        <v>0</v>
      </c>
      <c r="AN135" s="1">
        <v>0</v>
      </c>
      <c r="AO135" s="1">
        <v>108071314</v>
      </c>
      <c r="AP135" s="1">
        <v>36096347</v>
      </c>
      <c r="AQ135" s="1">
        <v>71974967</v>
      </c>
      <c r="AR135" s="1">
        <v>20989687</v>
      </c>
      <c r="AS135" s="1">
        <v>3148453</v>
      </c>
      <c r="AT135" s="1">
        <f t="shared" si="12"/>
        <v>132209454</v>
      </c>
    </row>
    <row r="136" spans="1:46" x14ac:dyDescent="0.2">
      <c r="A136" s="1" t="str">
        <f>"00160"</f>
        <v>00160</v>
      </c>
      <c r="B136" s="1" t="str">
        <f>"بهروز"</f>
        <v>بهروز</v>
      </c>
      <c r="C136" s="1" t="str">
        <f>"قهرماني"</f>
        <v>قهرماني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21385288</v>
      </c>
      <c r="G136" s="1">
        <v>6542974</v>
      </c>
      <c r="H136" s="1">
        <v>0</v>
      </c>
      <c r="I136" s="1">
        <v>19146236</v>
      </c>
      <c r="J136" s="1">
        <v>0</v>
      </c>
      <c r="K136" s="1">
        <v>33183333</v>
      </c>
      <c r="L136" s="1">
        <v>0</v>
      </c>
      <c r="M136" s="1">
        <v>1000000</v>
      </c>
      <c r="N136" s="1">
        <v>3747026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1606000</v>
      </c>
      <c r="U136" s="1">
        <v>0</v>
      </c>
      <c r="V136" s="1">
        <v>18589483</v>
      </c>
      <c r="W136" s="1">
        <v>1900000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2676447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5781126</v>
      </c>
      <c r="AM136" s="1">
        <v>0</v>
      </c>
      <c r="AN136" s="1">
        <v>0</v>
      </c>
      <c r="AO136" s="1">
        <v>115557913</v>
      </c>
      <c r="AP136" s="1">
        <v>35399679</v>
      </c>
      <c r="AQ136" s="1">
        <v>80158234</v>
      </c>
      <c r="AR136" s="1">
        <v>21906094</v>
      </c>
      <c r="AS136" s="1">
        <v>3285914</v>
      </c>
      <c r="AT136" s="1">
        <f t="shared" si="12"/>
        <v>140749921</v>
      </c>
    </row>
    <row r="137" spans="1:46" x14ac:dyDescent="0.2">
      <c r="A137" s="1" t="str">
        <f>"00161"</f>
        <v>00161</v>
      </c>
      <c r="B137" s="1" t="str">
        <f>"داود"</f>
        <v>داود</v>
      </c>
      <c r="C137" s="1" t="str">
        <f>"كاوه"</f>
        <v>كاوه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21102692</v>
      </c>
      <c r="G137" s="1">
        <v>15557383</v>
      </c>
      <c r="H137" s="1">
        <v>0</v>
      </c>
      <c r="I137" s="1">
        <v>18287627</v>
      </c>
      <c r="J137" s="1">
        <v>0</v>
      </c>
      <c r="K137" s="1">
        <v>5500000</v>
      </c>
      <c r="L137" s="1">
        <v>0</v>
      </c>
      <c r="M137" s="1">
        <v>1000000</v>
      </c>
      <c r="N137" s="1">
        <v>3648117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49944095</v>
      </c>
      <c r="W137" s="1">
        <v>1900000</v>
      </c>
      <c r="X137" s="1">
        <v>3063294</v>
      </c>
      <c r="Y137" s="1">
        <v>0</v>
      </c>
      <c r="Z137" s="1">
        <v>0</v>
      </c>
      <c r="AA137" s="1">
        <v>0</v>
      </c>
      <c r="AB137" s="1">
        <v>0</v>
      </c>
      <c r="AC137" s="1">
        <v>3877480</v>
      </c>
      <c r="AD137" s="1">
        <v>0</v>
      </c>
      <c r="AE137" s="1">
        <v>2605798</v>
      </c>
      <c r="AF137" s="1">
        <v>3033762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20481726</v>
      </c>
      <c r="AM137" s="1">
        <v>0</v>
      </c>
      <c r="AN137" s="1">
        <v>0</v>
      </c>
      <c r="AO137" s="1">
        <v>150001974</v>
      </c>
      <c r="AP137" s="1">
        <v>48802703</v>
      </c>
      <c r="AQ137" s="1">
        <v>101199271</v>
      </c>
      <c r="AR137" s="1">
        <v>21944212</v>
      </c>
      <c r="AS137" s="1">
        <v>3291632</v>
      </c>
      <c r="AT137" s="1">
        <f t="shared" si="12"/>
        <v>175237818</v>
      </c>
    </row>
    <row r="138" spans="1:46" x14ac:dyDescent="0.2">
      <c r="A138" s="1" t="str">
        <f>"00162"</f>
        <v>00162</v>
      </c>
      <c r="B138" s="1" t="str">
        <f>"عبدالحسين"</f>
        <v>عبدالحسين</v>
      </c>
      <c r="C138" s="1" t="str">
        <f>"كردواني"</f>
        <v>كردواني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16015964</v>
      </c>
      <c r="G138" s="1">
        <v>13347623</v>
      </c>
      <c r="H138" s="1">
        <v>0</v>
      </c>
      <c r="I138" s="1">
        <v>15873130</v>
      </c>
      <c r="J138" s="1">
        <v>0</v>
      </c>
      <c r="K138" s="1">
        <v>4620000</v>
      </c>
      <c r="L138" s="1">
        <v>0</v>
      </c>
      <c r="M138" s="1">
        <v>1000000</v>
      </c>
      <c r="N138" s="1">
        <v>3083035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1606000</v>
      </c>
      <c r="U138" s="1">
        <v>0</v>
      </c>
      <c r="V138" s="1">
        <v>22404559</v>
      </c>
      <c r="W138" s="1">
        <v>1900000</v>
      </c>
      <c r="X138" s="1">
        <v>2324898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2202168</v>
      </c>
      <c r="AF138" s="1">
        <v>1516881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13173026</v>
      </c>
      <c r="AM138" s="1">
        <v>0</v>
      </c>
      <c r="AN138" s="1">
        <v>0</v>
      </c>
      <c r="AO138" s="1">
        <v>99067284</v>
      </c>
      <c r="AP138" s="1">
        <v>38186670</v>
      </c>
      <c r="AQ138" s="1">
        <v>60880614</v>
      </c>
      <c r="AR138" s="1">
        <v>19188881</v>
      </c>
      <c r="AS138" s="1">
        <v>2878332</v>
      </c>
      <c r="AT138" s="1">
        <f t="shared" si="12"/>
        <v>121134497</v>
      </c>
    </row>
    <row r="139" spans="1:46" x14ac:dyDescent="0.2">
      <c r="A139" s="1" t="str">
        <f>"00163"</f>
        <v>00163</v>
      </c>
      <c r="B139" s="1" t="str">
        <f>"هادي"</f>
        <v>هادي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15159413</v>
      </c>
      <c r="G139" s="1">
        <v>10405934</v>
      </c>
      <c r="H139" s="1">
        <v>0</v>
      </c>
      <c r="I139" s="1">
        <v>13052025</v>
      </c>
      <c r="J139" s="1">
        <v>0</v>
      </c>
      <c r="K139" s="1">
        <v>4620000</v>
      </c>
      <c r="L139" s="1">
        <v>0</v>
      </c>
      <c r="M139" s="1">
        <v>1000000</v>
      </c>
      <c r="N139" s="1">
        <v>2783242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1606000</v>
      </c>
      <c r="U139" s="1">
        <v>0</v>
      </c>
      <c r="V139" s="1">
        <v>18922373</v>
      </c>
      <c r="W139" s="1">
        <v>1900000</v>
      </c>
      <c r="X139" s="1">
        <v>2200560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1988030</v>
      </c>
      <c r="AF139" s="1">
        <v>1516881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9539477</v>
      </c>
      <c r="AM139" s="1">
        <v>0</v>
      </c>
      <c r="AN139" s="1">
        <v>0</v>
      </c>
      <c r="AO139" s="1">
        <v>84693935</v>
      </c>
      <c r="AP139" s="1">
        <v>41012060</v>
      </c>
      <c r="AQ139" s="1">
        <v>43681875</v>
      </c>
      <c r="AR139" s="1">
        <v>16314211</v>
      </c>
      <c r="AS139" s="1">
        <v>2447132</v>
      </c>
      <c r="AT139" s="1">
        <f t="shared" si="12"/>
        <v>103455278</v>
      </c>
    </row>
    <row r="140" spans="1:46" x14ac:dyDescent="0.2">
      <c r="A140" s="1" t="str">
        <f>"00164"</f>
        <v>00164</v>
      </c>
      <c r="B140" s="1" t="str">
        <f>"ابوذر"</f>
        <v>ابوذر</v>
      </c>
      <c r="C140" s="1" t="str">
        <f>"كرمي"</f>
        <v>كرمي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18388456</v>
      </c>
      <c r="G140" s="1">
        <v>9532511</v>
      </c>
      <c r="H140" s="1">
        <v>0</v>
      </c>
      <c r="I140" s="1">
        <v>13689515</v>
      </c>
      <c r="J140" s="1">
        <v>0</v>
      </c>
      <c r="K140" s="1">
        <v>5500000</v>
      </c>
      <c r="L140" s="1">
        <v>0</v>
      </c>
      <c r="M140" s="1">
        <v>1000000</v>
      </c>
      <c r="N140" s="1">
        <v>2893652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4093615</v>
      </c>
      <c r="W140" s="1">
        <v>1900000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2066894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3897634</v>
      </c>
      <c r="AM140" s="1">
        <v>0</v>
      </c>
      <c r="AN140" s="1">
        <v>0</v>
      </c>
      <c r="AO140" s="1">
        <v>62962277</v>
      </c>
      <c r="AP140" s="1">
        <v>14813739</v>
      </c>
      <c r="AQ140" s="1">
        <v>48148538</v>
      </c>
      <c r="AR140" s="1">
        <v>12592455</v>
      </c>
      <c r="AS140" s="1">
        <v>1888868</v>
      </c>
      <c r="AT140" s="1">
        <f t="shared" si="12"/>
        <v>77443600</v>
      </c>
    </row>
    <row r="141" spans="1:46" x14ac:dyDescent="0.2">
      <c r="A141" s="1" t="str">
        <f>"00165"</f>
        <v>00165</v>
      </c>
      <c r="B141" s="1" t="str">
        <f>"ارسلان"</f>
        <v>ارسلان</v>
      </c>
      <c r="C141" s="1" t="str">
        <f>"كلانتري"</f>
        <v>كلانتري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13437549</v>
      </c>
      <c r="G141" s="1">
        <v>8848147</v>
      </c>
      <c r="H141" s="1">
        <v>0</v>
      </c>
      <c r="I141" s="1">
        <v>11242751</v>
      </c>
      <c r="J141" s="1">
        <v>0</v>
      </c>
      <c r="K141" s="1">
        <v>3465000</v>
      </c>
      <c r="L141" s="1">
        <v>0</v>
      </c>
      <c r="M141" s="1">
        <v>1000000</v>
      </c>
      <c r="N141" s="1">
        <v>2422111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10334413</v>
      </c>
      <c r="W141" s="1">
        <v>1900000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1730079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5615555</v>
      </c>
      <c r="AM141" s="1">
        <v>0</v>
      </c>
      <c r="AN141" s="1">
        <v>0</v>
      </c>
      <c r="AO141" s="1">
        <v>59995605</v>
      </c>
      <c r="AP141" s="1">
        <v>25295709</v>
      </c>
      <c r="AQ141" s="1">
        <v>34699896</v>
      </c>
      <c r="AR141" s="1">
        <v>11999121</v>
      </c>
      <c r="AS141" s="1">
        <v>1799868</v>
      </c>
      <c r="AT141" s="1">
        <f t="shared" si="12"/>
        <v>73794594</v>
      </c>
    </row>
    <row r="142" spans="1:46" x14ac:dyDescent="0.2">
      <c r="A142" s="1" t="str">
        <f>"00167"</f>
        <v>00167</v>
      </c>
      <c r="B142" s="1" t="str">
        <f>"جواد"</f>
        <v>جواد</v>
      </c>
      <c r="C142" s="1" t="str">
        <f>"گودرزي"</f>
        <v>گودرزي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16127688</v>
      </c>
      <c r="G142" s="1">
        <v>15026960</v>
      </c>
      <c r="H142" s="1">
        <v>0</v>
      </c>
      <c r="I142" s="1">
        <v>16025550</v>
      </c>
      <c r="J142" s="1">
        <v>0</v>
      </c>
      <c r="K142" s="1">
        <v>4620000</v>
      </c>
      <c r="L142" s="1">
        <v>0</v>
      </c>
      <c r="M142" s="1">
        <v>1000000</v>
      </c>
      <c r="N142" s="1">
        <v>3122138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1606000</v>
      </c>
      <c r="U142" s="1">
        <v>0</v>
      </c>
      <c r="V142" s="1">
        <v>22614079</v>
      </c>
      <c r="W142" s="1">
        <v>1900000</v>
      </c>
      <c r="X142" s="1">
        <v>2341116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2230099</v>
      </c>
      <c r="AF142" s="1">
        <v>1516881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13312681</v>
      </c>
      <c r="AM142" s="1">
        <v>0</v>
      </c>
      <c r="AN142" s="1">
        <v>0</v>
      </c>
      <c r="AO142" s="1">
        <v>101443192</v>
      </c>
      <c r="AP142" s="1">
        <v>40707912</v>
      </c>
      <c r="AQ142" s="1">
        <v>60735280</v>
      </c>
      <c r="AR142" s="1">
        <v>19664062</v>
      </c>
      <c r="AS142" s="1">
        <v>2949609</v>
      </c>
      <c r="AT142" s="1">
        <f t="shared" si="12"/>
        <v>124056863</v>
      </c>
    </row>
    <row r="143" spans="1:46" x14ac:dyDescent="0.2">
      <c r="A143" s="1" t="str">
        <f>"00168"</f>
        <v>00168</v>
      </c>
      <c r="B143" s="1" t="str">
        <f>"عليرضا"</f>
        <v>عليرضا</v>
      </c>
      <c r="C143" s="1" t="str">
        <f>"لاله رخ"</f>
        <v>لاله رخ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19972308</v>
      </c>
      <c r="G143" s="1">
        <v>17838347</v>
      </c>
      <c r="H143" s="1">
        <v>0</v>
      </c>
      <c r="I143" s="1">
        <v>16747171</v>
      </c>
      <c r="J143" s="1">
        <v>0</v>
      </c>
      <c r="K143" s="1">
        <v>5500000</v>
      </c>
      <c r="L143" s="1">
        <v>0</v>
      </c>
      <c r="M143" s="1">
        <v>1000000</v>
      </c>
      <c r="N143" s="1">
        <v>3252483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1606000</v>
      </c>
      <c r="U143" s="1">
        <v>0</v>
      </c>
      <c r="V143" s="1">
        <v>17505914</v>
      </c>
      <c r="W143" s="1">
        <v>1900000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2323202</v>
      </c>
      <c r="AF143" s="1">
        <v>1516881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5018117</v>
      </c>
      <c r="AM143" s="1">
        <v>0</v>
      </c>
      <c r="AN143" s="1">
        <v>0</v>
      </c>
      <c r="AO143" s="1">
        <v>94180423</v>
      </c>
      <c r="AP143" s="1">
        <v>39454687</v>
      </c>
      <c r="AQ143" s="1">
        <v>54725736</v>
      </c>
      <c r="AR143" s="1">
        <v>18211508</v>
      </c>
      <c r="AS143" s="1">
        <v>2731726</v>
      </c>
      <c r="AT143" s="1">
        <f t="shared" si="12"/>
        <v>115123657</v>
      </c>
    </row>
    <row r="144" spans="1:46" x14ac:dyDescent="0.2">
      <c r="A144" s="1" t="str">
        <f>"00169"</f>
        <v>00169</v>
      </c>
      <c r="B144" s="1" t="str">
        <f>"مهدي"</f>
        <v>مهدي</v>
      </c>
      <c r="C144" s="1" t="str">
        <f>"لطفي نژاد"</f>
        <v>لطفي نژاد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20651415</v>
      </c>
      <c r="G144" s="1">
        <v>11446835</v>
      </c>
      <c r="H144" s="1">
        <v>0</v>
      </c>
      <c r="I144" s="1">
        <v>17019594</v>
      </c>
      <c r="J144" s="1">
        <v>0</v>
      </c>
      <c r="K144" s="1">
        <v>5500000</v>
      </c>
      <c r="L144" s="1">
        <v>0</v>
      </c>
      <c r="M144" s="1">
        <v>1000000</v>
      </c>
      <c r="N144" s="1">
        <v>3490170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1606000</v>
      </c>
      <c r="U144" s="1">
        <v>0</v>
      </c>
      <c r="V144" s="1">
        <v>15449334</v>
      </c>
      <c r="W144" s="1">
        <v>1900000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2492979</v>
      </c>
      <c r="AF144" s="1">
        <v>1516881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5783710</v>
      </c>
      <c r="AM144" s="1">
        <v>0</v>
      </c>
      <c r="AN144" s="1">
        <v>0</v>
      </c>
      <c r="AO144" s="1">
        <v>87856918</v>
      </c>
      <c r="AP144" s="1">
        <v>32239884</v>
      </c>
      <c r="AQ144" s="1">
        <v>55617034</v>
      </c>
      <c r="AR144" s="1">
        <v>16946807</v>
      </c>
      <c r="AS144" s="1">
        <v>2542021</v>
      </c>
      <c r="AT144" s="1">
        <f t="shared" si="12"/>
        <v>107345746</v>
      </c>
    </row>
    <row r="145" spans="1:46" x14ac:dyDescent="0.2">
      <c r="A145" s="1" t="str">
        <f>"00170"</f>
        <v>00170</v>
      </c>
      <c r="B145" s="1" t="str">
        <f>"علي محمد"</f>
        <v>علي محمد</v>
      </c>
      <c r="C145" s="1" t="str">
        <f>"متين"</f>
        <v>متين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30487508</v>
      </c>
      <c r="G145" s="1">
        <v>33509065</v>
      </c>
      <c r="H145" s="1">
        <v>0</v>
      </c>
      <c r="I145" s="1">
        <v>32657357</v>
      </c>
      <c r="J145" s="1">
        <v>0</v>
      </c>
      <c r="K145" s="1">
        <v>0</v>
      </c>
      <c r="L145" s="1">
        <v>0</v>
      </c>
      <c r="M145" s="1">
        <v>1000000</v>
      </c>
      <c r="N145" s="1">
        <v>5567251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16320629</v>
      </c>
      <c r="W145" s="1">
        <v>1900000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3976608</v>
      </c>
      <c r="AF145" s="1">
        <v>3033762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5964912</v>
      </c>
      <c r="AM145" s="1">
        <v>0</v>
      </c>
      <c r="AN145" s="1">
        <v>0</v>
      </c>
      <c r="AO145" s="1">
        <v>134417092</v>
      </c>
      <c r="AP145" s="1">
        <v>45114781</v>
      </c>
      <c r="AQ145" s="1">
        <v>89302311</v>
      </c>
      <c r="AR145" s="1">
        <v>21944212</v>
      </c>
      <c r="AS145" s="1">
        <v>3291632</v>
      </c>
      <c r="AT145" s="1">
        <f t="shared" si="12"/>
        <v>159652936</v>
      </c>
    </row>
    <row r="146" spans="1:46" x14ac:dyDescent="0.2">
      <c r="A146" s="1" t="str">
        <f>"00171"</f>
        <v>00171</v>
      </c>
      <c r="B146" s="1" t="str">
        <f>"مريم"</f>
        <v>مريم</v>
      </c>
      <c r="C146" s="1" t="str">
        <f>"محمدي"</f>
        <v>محمدي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980564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980564</v>
      </c>
      <c r="AP146" s="1">
        <v>980564</v>
      </c>
      <c r="AQ146" s="1">
        <v>0</v>
      </c>
      <c r="AR146" s="1">
        <v>0</v>
      </c>
      <c r="AS146" s="1">
        <v>0</v>
      </c>
      <c r="AT146" s="1">
        <f t="shared" si="12"/>
        <v>980564</v>
      </c>
    </row>
    <row r="147" spans="1:46" x14ac:dyDescent="0.2">
      <c r="A147" s="1" t="str">
        <f>"00173"</f>
        <v>00173</v>
      </c>
      <c r="B147" s="1" t="str">
        <f>"مهدي"</f>
        <v>مهدي</v>
      </c>
      <c r="C147" s="1" t="str">
        <f>"محمودي سبوكي"</f>
        <v>محمودي سبوكي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21825612</v>
      </c>
      <c r="G147" s="1">
        <v>8524812</v>
      </c>
      <c r="H147" s="1">
        <v>0</v>
      </c>
      <c r="I147" s="1">
        <v>19063023</v>
      </c>
      <c r="J147" s="1">
        <v>0</v>
      </c>
      <c r="K147" s="1">
        <v>4125000</v>
      </c>
      <c r="L147" s="1">
        <v>0</v>
      </c>
      <c r="M147" s="1">
        <v>1000000</v>
      </c>
      <c r="N147" s="1">
        <v>3901139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1606000</v>
      </c>
      <c r="U147" s="1">
        <v>0</v>
      </c>
      <c r="V147" s="1">
        <v>17022930</v>
      </c>
      <c r="W147" s="1">
        <v>1900000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2786528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6464745</v>
      </c>
      <c r="AM147" s="1">
        <v>0</v>
      </c>
      <c r="AN147" s="1">
        <v>0</v>
      </c>
      <c r="AO147" s="1">
        <v>88219789</v>
      </c>
      <c r="AP147" s="1">
        <v>13589052</v>
      </c>
      <c r="AQ147" s="1">
        <v>74630737</v>
      </c>
      <c r="AR147" s="1">
        <v>17322758</v>
      </c>
      <c r="AS147" s="1">
        <v>2598414</v>
      </c>
      <c r="AT147" s="1">
        <f t="shared" si="12"/>
        <v>108140961</v>
      </c>
    </row>
    <row r="148" spans="1:46" x14ac:dyDescent="0.2">
      <c r="A148" s="1" t="str">
        <f>"00174"</f>
        <v>00174</v>
      </c>
      <c r="B148" s="1" t="str">
        <f>"محمدجواد"</f>
        <v>محمدجواد</v>
      </c>
      <c r="C148" s="1" t="str">
        <f>"مرادي"</f>
        <v>مرادي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16911947</v>
      </c>
      <c r="G148" s="1">
        <v>4966842</v>
      </c>
      <c r="H148" s="1">
        <v>0</v>
      </c>
      <c r="I148" s="1">
        <v>17095475</v>
      </c>
      <c r="J148" s="1">
        <v>0</v>
      </c>
      <c r="K148" s="1">
        <v>4620000</v>
      </c>
      <c r="L148" s="1">
        <v>0</v>
      </c>
      <c r="M148" s="1">
        <v>1000000</v>
      </c>
      <c r="N148" s="1">
        <v>3396629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1606000</v>
      </c>
      <c r="U148" s="1">
        <v>0</v>
      </c>
      <c r="V148" s="1">
        <v>24084832</v>
      </c>
      <c r="W148" s="1">
        <v>1900000</v>
      </c>
      <c r="X148" s="1">
        <v>2454960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2426163</v>
      </c>
      <c r="AF148" s="1">
        <v>3033762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14293005</v>
      </c>
      <c r="AM148" s="1">
        <v>0</v>
      </c>
      <c r="AN148" s="1">
        <v>0</v>
      </c>
      <c r="AO148" s="1">
        <v>97789615</v>
      </c>
      <c r="AP148" s="1">
        <v>18071686</v>
      </c>
      <c r="AQ148" s="1">
        <v>79717929</v>
      </c>
      <c r="AR148" s="1">
        <v>18629971</v>
      </c>
      <c r="AS148" s="1">
        <v>2794496</v>
      </c>
      <c r="AT148" s="1">
        <f t="shared" si="12"/>
        <v>119214082</v>
      </c>
    </row>
    <row r="149" spans="1:46" x14ac:dyDescent="0.2">
      <c r="A149" s="1" t="str">
        <f>"00175"</f>
        <v>00175</v>
      </c>
      <c r="B149" s="1" t="str">
        <f>"امين"</f>
        <v>امين</v>
      </c>
      <c r="C149" s="1" t="str">
        <f>"سالمي"</f>
        <v>سالمي</v>
      </c>
      <c r="D149" s="1" t="str">
        <f>"قراردادي کارگري"</f>
        <v>قراردادي کارگري</v>
      </c>
      <c r="E149" s="1" t="str">
        <f>"پروژه تعميرات نيروگاه بوشهر"</f>
        <v>پروژه تعميرات نيروگاه بوشهر</v>
      </c>
      <c r="F149" s="1">
        <v>7160742</v>
      </c>
      <c r="G149" s="1">
        <v>3646666</v>
      </c>
      <c r="H149" s="1">
        <v>0</v>
      </c>
      <c r="I149" s="1">
        <v>5442164</v>
      </c>
      <c r="J149" s="1">
        <v>0</v>
      </c>
      <c r="K149" s="1">
        <v>0</v>
      </c>
      <c r="L149" s="1">
        <v>7672721</v>
      </c>
      <c r="M149" s="1">
        <v>1000000</v>
      </c>
      <c r="N149" s="1">
        <v>3768813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6354660</v>
      </c>
      <c r="W149" s="1">
        <v>1900000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3606666</v>
      </c>
      <c r="AE149" s="1">
        <v>0</v>
      </c>
      <c r="AF149" s="1">
        <v>4550643</v>
      </c>
      <c r="AG149" s="1">
        <v>0</v>
      </c>
      <c r="AH149" s="1">
        <v>0</v>
      </c>
      <c r="AI149" s="1">
        <v>0</v>
      </c>
      <c r="AJ149" s="1">
        <v>2745725</v>
      </c>
      <c r="AK149" s="1">
        <v>0</v>
      </c>
      <c r="AL149" s="1">
        <v>0</v>
      </c>
      <c r="AM149" s="1">
        <v>0</v>
      </c>
      <c r="AN149" s="1">
        <v>0</v>
      </c>
      <c r="AO149" s="1">
        <v>47848800</v>
      </c>
      <c r="AP149" s="1">
        <v>7116028</v>
      </c>
      <c r="AQ149" s="1">
        <v>40732772</v>
      </c>
      <c r="AR149" s="1">
        <v>8659631</v>
      </c>
      <c r="AS149" s="1">
        <v>1298945</v>
      </c>
      <c r="AT149" s="1">
        <f t="shared" si="12"/>
        <v>57807376</v>
      </c>
    </row>
    <row r="150" spans="1:46" x14ac:dyDescent="0.2">
      <c r="A150" s="1" t="str">
        <f>"00176"</f>
        <v>00176</v>
      </c>
      <c r="B150" s="1" t="str">
        <f>"محمد"</f>
        <v>محمد</v>
      </c>
      <c r="C150" s="1" t="str">
        <f>"مشتاقي"</f>
        <v>مشتاقي</v>
      </c>
      <c r="D150" s="1" t="str">
        <f t="shared" ref="D150:D170" si="13">"قراردادي بهره بردار"</f>
        <v>قراردادي بهره بردار</v>
      </c>
      <c r="E150" s="1" t="str">
        <f t="shared" ref="E150:E165" si="14">"پروژه بهره برداري نيروگاه بوشهر"</f>
        <v>پروژه بهره برداري نيروگاه بوشهر</v>
      </c>
      <c r="F150" s="1">
        <v>25959400</v>
      </c>
      <c r="G150" s="1">
        <v>44334137</v>
      </c>
      <c r="H150" s="1">
        <v>0</v>
      </c>
      <c r="I150" s="1">
        <v>25882922</v>
      </c>
      <c r="J150" s="1">
        <v>0</v>
      </c>
      <c r="K150" s="1">
        <v>5500000</v>
      </c>
      <c r="L150" s="1">
        <v>0</v>
      </c>
      <c r="M150" s="1">
        <v>1000000</v>
      </c>
      <c r="N150" s="1">
        <v>3982413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1606000</v>
      </c>
      <c r="U150" s="1">
        <v>0</v>
      </c>
      <c r="V150" s="1">
        <v>6208281</v>
      </c>
      <c r="W150" s="1">
        <v>1900000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2844581</v>
      </c>
      <c r="AF150" s="1">
        <v>3033762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3413497</v>
      </c>
      <c r="AM150" s="1">
        <v>0</v>
      </c>
      <c r="AN150" s="1">
        <v>0</v>
      </c>
      <c r="AO150" s="1">
        <v>125664993</v>
      </c>
      <c r="AP150" s="1">
        <v>37748441</v>
      </c>
      <c r="AQ150" s="1">
        <v>87916552</v>
      </c>
      <c r="AR150" s="1">
        <v>21944212</v>
      </c>
      <c r="AS150" s="1">
        <v>3291632</v>
      </c>
      <c r="AT150" s="1">
        <f t="shared" si="12"/>
        <v>150900837</v>
      </c>
    </row>
    <row r="151" spans="1:46" x14ac:dyDescent="0.2">
      <c r="A151" s="1" t="str">
        <f>"00177"</f>
        <v>00177</v>
      </c>
      <c r="B151" s="1" t="str">
        <f>"ولي"</f>
        <v>ولي</v>
      </c>
      <c r="C151" s="1" t="str">
        <f>"مشكل گشا فرد"</f>
        <v>مشكل گشا فرد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25448975</v>
      </c>
      <c r="G151" s="1">
        <v>18620422</v>
      </c>
      <c r="H151" s="1">
        <v>0</v>
      </c>
      <c r="I151" s="1">
        <v>22287197</v>
      </c>
      <c r="J151" s="1">
        <v>0</v>
      </c>
      <c r="K151" s="1">
        <v>4125000</v>
      </c>
      <c r="L151" s="1">
        <v>0</v>
      </c>
      <c r="M151" s="1">
        <v>1000000</v>
      </c>
      <c r="N151" s="1">
        <v>4235435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14346172</v>
      </c>
      <c r="W151" s="1">
        <v>1900000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3025311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6050621</v>
      </c>
      <c r="AM151" s="1">
        <v>0</v>
      </c>
      <c r="AN151" s="1">
        <v>0</v>
      </c>
      <c r="AO151" s="1">
        <v>101039133</v>
      </c>
      <c r="AP151" s="1">
        <v>16508982</v>
      </c>
      <c r="AQ151" s="1">
        <v>84530151</v>
      </c>
      <c r="AR151" s="1">
        <v>20207827</v>
      </c>
      <c r="AS151" s="1">
        <v>3031174</v>
      </c>
      <c r="AT151" s="1">
        <f t="shared" si="12"/>
        <v>124278134</v>
      </c>
    </row>
    <row r="152" spans="1:46" x14ac:dyDescent="0.2">
      <c r="A152" s="1" t="str">
        <f>"00178"</f>
        <v>00178</v>
      </c>
      <c r="B152" s="1" t="str">
        <f>"محسن"</f>
        <v>محسن</v>
      </c>
      <c r="C152" s="1" t="str">
        <f>"منجزي"</f>
        <v>منجزي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15128744</v>
      </c>
      <c r="G152" s="1">
        <v>3502004</v>
      </c>
      <c r="H152" s="1">
        <v>0</v>
      </c>
      <c r="I152" s="1">
        <v>13556919</v>
      </c>
      <c r="J152" s="1">
        <v>0</v>
      </c>
      <c r="K152" s="1">
        <v>4620000</v>
      </c>
      <c r="L152" s="1">
        <v>0</v>
      </c>
      <c r="M152" s="1">
        <v>1000000</v>
      </c>
      <c r="N152" s="1">
        <v>2772508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10492733</v>
      </c>
      <c r="W152" s="1">
        <v>1900000</v>
      </c>
      <c r="X152" s="1">
        <v>2196108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1980363</v>
      </c>
      <c r="AF152" s="1">
        <v>1516881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11211394</v>
      </c>
      <c r="AM152" s="1">
        <v>0</v>
      </c>
      <c r="AN152" s="1">
        <v>0</v>
      </c>
      <c r="AO152" s="1">
        <v>69877654</v>
      </c>
      <c r="AP152" s="1">
        <v>32286536</v>
      </c>
      <c r="AQ152" s="1">
        <v>37591118</v>
      </c>
      <c r="AR152" s="1">
        <v>13672155</v>
      </c>
      <c r="AS152" s="1">
        <v>2050823</v>
      </c>
      <c r="AT152" s="1">
        <f t="shared" si="12"/>
        <v>85600632</v>
      </c>
    </row>
    <row r="153" spans="1:46" x14ac:dyDescent="0.2">
      <c r="A153" s="1" t="str">
        <f>"00179"</f>
        <v>00179</v>
      </c>
      <c r="B153" s="1" t="str">
        <f>"مهدي"</f>
        <v>مهدي</v>
      </c>
      <c r="C153" s="1" t="str">
        <f>"منصوري مهريان"</f>
        <v>منصوري مهريان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16219696</v>
      </c>
      <c r="G153" s="1">
        <v>7796607</v>
      </c>
      <c r="H153" s="1">
        <v>0</v>
      </c>
      <c r="I153" s="1">
        <v>15376032</v>
      </c>
      <c r="J153" s="1">
        <v>0</v>
      </c>
      <c r="K153" s="1">
        <v>4620000</v>
      </c>
      <c r="L153" s="1">
        <v>0</v>
      </c>
      <c r="M153" s="1">
        <v>1000000</v>
      </c>
      <c r="N153" s="1">
        <v>3154341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11680130</v>
      </c>
      <c r="W153" s="1">
        <v>1900000</v>
      </c>
      <c r="X153" s="1">
        <v>2354472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2253101</v>
      </c>
      <c r="AF153" s="1">
        <v>3033762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12699514</v>
      </c>
      <c r="AM153" s="1">
        <v>0</v>
      </c>
      <c r="AN153" s="1">
        <v>0</v>
      </c>
      <c r="AO153" s="1">
        <v>82087655</v>
      </c>
      <c r="AP153" s="1">
        <v>42896367</v>
      </c>
      <c r="AQ153" s="1">
        <v>39191288</v>
      </c>
      <c r="AR153" s="1">
        <v>15810779</v>
      </c>
      <c r="AS153" s="1">
        <v>2371617</v>
      </c>
      <c r="AT153" s="1">
        <f t="shared" si="12"/>
        <v>100270051</v>
      </c>
    </row>
    <row r="154" spans="1:46" x14ac:dyDescent="0.2">
      <c r="A154" s="1" t="str">
        <f>"00180"</f>
        <v>00180</v>
      </c>
      <c r="B154" s="1" t="str">
        <f>"سيد حميد"</f>
        <v>سيد حميد</v>
      </c>
      <c r="C154" s="1" t="str">
        <f>"موسوي اعظم"</f>
        <v>موسوي اعظم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15974341</v>
      </c>
      <c r="G154" s="1">
        <v>7474492</v>
      </c>
      <c r="H154" s="1">
        <v>0</v>
      </c>
      <c r="I154" s="1">
        <v>14600174</v>
      </c>
      <c r="J154" s="1">
        <v>0</v>
      </c>
      <c r="K154" s="1">
        <v>4620000</v>
      </c>
      <c r="L154" s="1">
        <v>0</v>
      </c>
      <c r="M154" s="1">
        <v>1000000</v>
      </c>
      <c r="N154" s="1">
        <v>3068467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11197569</v>
      </c>
      <c r="W154" s="1">
        <v>1900000</v>
      </c>
      <c r="X154" s="1">
        <v>2318856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2191762</v>
      </c>
      <c r="AF154" s="1">
        <v>1516881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11814484</v>
      </c>
      <c r="AM154" s="1">
        <v>0</v>
      </c>
      <c r="AN154" s="1">
        <v>0</v>
      </c>
      <c r="AO154" s="1">
        <v>77677026</v>
      </c>
      <c r="AP154" s="1">
        <v>17510938</v>
      </c>
      <c r="AQ154" s="1">
        <v>60166088</v>
      </c>
      <c r="AR154" s="1">
        <v>15232029</v>
      </c>
      <c r="AS154" s="1">
        <v>2284804</v>
      </c>
      <c r="AT154" s="1">
        <f t="shared" si="12"/>
        <v>95193859</v>
      </c>
    </row>
    <row r="155" spans="1:46" x14ac:dyDescent="0.2">
      <c r="A155" s="1" t="str">
        <f>"00181"</f>
        <v>00181</v>
      </c>
      <c r="B155" s="1" t="str">
        <f>"داود"</f>
        <v>داود</v>
      </c>
      <c r="C155" s="1" t="str">
        <f>"موسوي جهان آباد"</f>
        <v>موسوي جهان آباد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15919575</v>
      </c>
      <c r="G155" s="1">
        <v>5099782</v>
      </c>
      <c r="H155" s="1">
        <v>0</v>
      </c>
      <c r="I155" s="1">
        <v>15815190</v>
      </c>
      <c r="J155" s="1">
        <v>0</v>
      </c>
      <c r="K155" s="1">
        <v>4620000</v>
      </c>
      <c r="L155" s="1">
        <v>0</v>
      </c>
      <c r="M155" s="1">
        <v>1000000</v>
      </c>
      <c r="N155" s="1">
        <v>3049298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1606000</v>
      </c>
      <c r="U155" s="1">
        <v>0</v>
      </c>
      <c r="V155" s="1">
        <v>22256530</v>
      </c>
      <c r="W155" s="1">
        <v>1900000</v>
      </c>
      <c r="X155" s="1">
        <v>2310906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2178070</v>
      </c>
      <c r="AF155" s="1">
        <v>1516881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13052540</v>
      </c>
      <c r="AM155" s="1">
        <v>0</v>
      </c>
      <c r="AN155" s="1">
        <v>0</v>
      </c>
      <c r="AO155" s="1">
        <v>90324772</v>
      </c>
      <c r="AP155" s="1">
        <v>15973223</v>
      </c>
      <c r="AQ155" s="1">
        <v>74351549</v>
      </c>
      <c r="AR155" s="1">
        <v>17440378</v>
      </c>
      <c r="AS155" s="1">
        <v>2616057</v>
      </c>
      <c r="AT155" s="1">
        <f t="shared" si="12"/>
        <v>110381207</v>
      </c>
    </row>
    <row r="156" spans="1:46" x14ac:dyDescent="0.2">
      <c r="A156" s="1" t="str">
        <f>"00182"</f>
        <v>00182</v>
      </c>
      <c r="B156" s="1" t="str">
        <f>"ابوالفضل"</f>
        <v>ابوالفضل</v>
      </c>
      <c r="C156" s="1" t="str">
        <f>"موسي زاده"</f>
        <v>موسي زاده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21466343</v>
      </c>
      <c r="G156" s="1">
        <v>4060011</v>
      </c>
      <c r="H156" s="1">
        <v>0</v>
      </c>
      <c r="I156" s="1">
        <v>17947970</v>
      </c>
      <c r="J156" s="1">
        <v>0</v>
      </c>
      <c r="K156" s="1">
        <v>5500000</v>
      </c>
      <c r="L156" s="1">
        <v>0</v>
      </c>
      <c r="M156" s="1">
        <v>1000000</v>
      </c>
      <c r="N156" s="1">
        <v>3775395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15427987</v>
      </c>
      <c r="W156" s="1">
        <v>1900000</v>
      </c>
      <c r="X156" s="1">
        <v>3116082</v>
      </c>
      <c r="Y156" s="1">
        <v>0</v>
      </c>
      <c r="Z156" s="1">
        <v>0</v>
      </c>
      <c r="AA156" s="1">
        <v>0</v>
      </c>
      <c r="AB156" s="1">
        <v>0</v>
      </c>
      <c r="AC156" s="1">
        <v>3877480</v>
      </c>
      <c r="AD156" s="1">
        <v>0</v>
      </c>
      <c r="AE156" s="1">
        <v>2696711</v>
      </c>
      <c r="AF156" s="1">
        <v>1516881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-786163</v>
      </c>
      <c r="AM156" s="1">
        <v>0</v>
      </c>
      <c r="AN156" s="1">
        <v>0</v>
      </c>
      <c r="AO156" s="1">
        <v>81498697</v>
      </c>
      <c r="AP156" s="1">
        <v>32597550</v>
      </c>
      <c r="AQ156" s="1">
        <v>48901147</v>
      </c>
      <c r="AR156" s="1">
        <v>19317868</v>
      </c>
      <c r="AS156" s="1">
        <v>2897680</v>
      </c>
      <c r="AT156" s="1">
        <f t="shared" si="12"/>
        <v>103714245</v>
      </c>
    </row>
    <row r="157" spans="1:46" x14ac:dyDescent="0.2">
      <c r="A157" s="1" t="str">
        <f>"00183"</f>
        <v>00183</v>
      </c>
      <c r="B157" s="1" t="str">
        <f>"مجتبي"</f>
        <v>مجتبي</v>
      </c>
      <c r="C157" s="1" t="str">
        <f>"مومني آزاد"</f>
        <v>مومني آزاد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18476083</v>
      </c>
      <c r="G157" s="1">
        <v>9704830</v>
      </c>
      <c r="H157" s="1">
        <v>0</v>
      </c>
      <c r="I157" s="1">
        <v>14300270</v>
      </c>
      <c r="J157" s="1">
        <v>0</v>
      </c>
      <c r="K157" s="1">
        <v>5500000</v>
      </c>
      <c r="L157" s="1">
        <v>0</v>
      </c>
      <c r="M157" s="1">
        <v>1000000</v>
      </c>
      <c r="N157" s="1">
        <v>2924321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4167615</v>
      </c>
      <c r="W157" s="1">
        <v>1900000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2088801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3886681</v>
      </c>
      <c r="AM157" s="1">
        <v>0</v>
      </c>
      <c r="AN157" s="1">
        <v>0</v>
      </c>
      <c r="AO157" s="1">
        <v>63948601</v>
      </c>
      <c r="AP157" s="1">
        <v>23841537</v>
      </c>
      <c r="AQ157" s="1">
        <v>40107064</v>
      </c>
      <c r="AR157" s="1">
        <v>12789720</v>
      </c>
      <c r="AS157" s="1">
        <v>1918458</v>
      </c>
      <c r="AT157" s="1">
        <f t="shared" si="12"/>
        <v>78656779</v>
      </c>
    </row>
    <row r="158" spans="1:46" x14ac:dyDescent="0.2">
      <c r="A158" s="1" t="str">
        <f>"00184"</f>
        <v>00184</v>
      </c>
      <c r="B158" s="1" t="str">
        <f>"ميثم"</f>
        <v>ميثم</v>
      </c>
      <c r="C158" s="1" t="str">
        <f>"ناطقي جهرمي"</f>
        <v>ناطقي جهرمي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22671209</v>
      </c>
      <c r="G158" s="1">
        <v>15849106</v>
      </c>
      <c r="H158" s="1">
        <v>0</v>
      </c>
      <c r="I158" s="1">
        <v>21548729</v>
      </c>
      <c r="J158" s="1">
        <v>0</v>
      </c>
      <c r="K158" s="1">
        <v>5500000</v>
      </c>
      <c r="L158" s="1">
        <v>0</v>
      </c>
      <c r="M158" s="1">
        <v>1000000</v>
      </c>
      <c r="N158" s="1">
        <v>3507038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1606000</v>
      </c>
      <c r="U158" s="1">
        <v>0</v>
      </c>
      <c r="V158" s="1">
        <v>5373313</v>
      </c>
      <c r="W158" s="1">
        <v>1900000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2505027</v>
      </c>
      <c r="AF158" s="1">
        <v>1516881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3501123</v>
      </c>
      <c r="AM158" s="1">
        <v>0</v>
      </c>
      <c r="AN158" s="1">
        <v>0</v>
      </c>
      <c r="AO158" s="1">
        <v>86478426</v>
      </c>
      <c r="AP158" s="1">
        <v>22479461</v>
      </c>
      <c r="AQ158" s="1">
        <v>63998965</v>
      </c>
      <c r="AR158" s="1">
        <v>16671109</v>
      </c>
      <c r="AS158" s="1">
        <v>2500666</v>
      </c>
      <c r="AT158" s="1">
        <f t="shared" si="12"/>
        <v>105650201</v>
      </c>
    </row>
    <row r="159" spans="1:46" x14ac:dyDescent="0.2">
      <c r="A159" s="1" t="str">
        <f>"00185"</f>
        <v>00185</v>
      </c>
      <c r="B159" s="1" t="str">
        <f>"حميدرضا"</f>
        <v>حميدرضا</v>
      </c>
      <c r="C159" s="1" t="str">
        <f>"نظري"</f>
        <v>نظري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15277709</v>
      </c>
      <c r="G159" s="1">
        <v>6027006</v>
      </c>
      <c r="H159" s="1">
        <v>0</v>
      </c>
      <c r="I159" s="1">
        <v>14304670</v>
      </c>
      <c r="J159" s="1">
        <v>0</v>
      </c>
      <c r="K159" s="1">
        <v>3465000</v>
      </c>
      <c r="L159" s="1">
        <v>0</v>
      </c>
      <c r="M159" s="1">
        <v>1000000</v>
      </c>
      <c r="N159" s="1">
        <v>2824646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1606000</v>
      </c>
      <c r="U159" s="1">
        <v>0</v>
      </c>
      <c r="V159" s="1">
        <v>20075300</v>
      </c>
      <c r="W159" s="1">
        <v>1900000</v>
      </c>
      <c r="X159" s="1">
        <v>2217732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2017604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11201054</v>
      </c>
      <c r="AM159" s="1">
        <v>0</v>
      </c>
      <c r="AN159" s="1">
        <v>0</v>
      </c>
      <c r="AO159" s="1">
        <v>81916721</v>
      </c>
      <c r="AP159" s="1">
        <v>36530048</v>
      </c>
      <c r="AQ159" s="1">
        <v>45386673</v>
      </c>
      <c r="AR159" s="1">
        <v>16062144</v>
      </c>
      <c r="AS159" s="1">
        <v>2409322</v>
      </c>
      <c r="AT159" s="1">
        <f t="shared" si="12"/>
        <v>100388187</v>
      </c>
    </row>
    <row r="160" spans="1:46" x14ac:dyDescent="0.2">
      <c r="A160" s="1" t="str">
        <f>"00186"</f>
        <v>00186</v>
      </c>
      <c r="B160" s="1" t="str">
        <f>"محمدرضا"</f>
        <v>محمدرضا</v>
      </c>
      <c r="C160" s="1" t="str">
        <f>"نقي مرام ساوه"</f>
        <v>نقي مرام ساوه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16024727</v>
      </c>
      <c r="G160" s="1">
        <v>5951020</v>
      </c>
      <c r="H160" s="1">
        <v>0</v>
      </c>
      <c r="I160" s="1">
        <v>14700923</v>
      </c>
      <c r="J160" s="1">
        <v>0</v>
      </c>
      <c r="K160" s="1">
        <v>3465000</v>
      </c>
      <c r="L160" s="1">
        <v>0</v>
      </c>
      <c r="M160" s="1">
        <v>1000000</v>
      </c>
      <c r="N160" s="1">
        <v>3086102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1606000</v>
      </c>
      <c r="U160" s="1">
        <v>0</v>
      </c>
      <c r="V160" s="1">
        <v>16818838</v>
      </c>
      <c r="W160" s="1">
        <v>1900000</v>
      </c>
      <c r="X160" s="1">
        <v>1373312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2204358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12037713</v>
      </c>
      <c r="AM160" s="1">
        <v>0</v>
      </c>
      <c r="AN160" s="1">
        <v>0</v>
      </c>
      <c r="AO160" s="1">
        <v>80167993</v>
      </c>
      <c r="AP160" s="1">
        <v>31814011</v>
      </c>
      <c r="AQ160" s="1">
        <v>48353982</v>
      </c>
      <c r="AR160" s="1">
        <v>15712399</v>
      </c>
      <c r="AS160" s="1">
        <v>2356860</v>
      </c>
      <c r="AT160" s="1">
        <f t="shared" si="12"/>
        <v>98237252</v>
      </c>
    </row>
    <row r="161" spans="1:46" x14ac:dyDescent="0.2">
      <c r="A161" s="1" t="str">
        <f>"00187"</f>
        <v>00187</v>
      </c>
      <c r="B161" s="1" t="str">
        <f>"حامد"</f>
        <v>حامد</v>
      </c>
      <c r="C161" s="1" t="str">
        <f>"نگهبان"</f>
        <v>نگهبان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15523064</v>
      </c>
      <c r="G161" s="1">
        <v>362141</v>
      </c>
      <c r="H161" s="1">
        <v>0</v>
      </c>
      <c r="I161" s="1">
        <v>13606833</v>
      </c>
      <c r="J161" s="1">
        <v>0</v>
      </c>
      <c r="K161" s="1">
        <v>4620000</v>
      </c>
      <c r="L161" s="1">
        <v>0</v>
      </c>
      <c r="M161" s="1">
        <v>1000000</v>
      </c>
      <c r="N161" s="1">
        <v>2910520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1606000</v>
      </c>
      <c r="U161" s="1">
        <v>0</v>
      </c>
      <c r="V161" s="1">
        <v>10750933</v>
      </c>
      <c r="W161" s="1">
        <v>1900000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2078943</v>
      </c>
      <c r="AF161" s="1">
        <v>1516881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6450199</v>
      </c>
      <c r="AM161" s="1">
        <v>0</v>
      </c>
      <c r="AN161" s="1">
        <v>0</v>
      </c>
      <c r="AO161" s="1">
        <v>62325514</v>
      </c>
      <c r="AP161" s="1">
        <v>7728784</v>
      </c>
      <c r="AQ161" s="1">
        <v>54596730</v>
      </c>
      <c r="AR161" s="1">
        <v>11840527</v>
      </c>
      <c r="AS161" s="1">
        <v>1776079</v>
      </c>
      <c r="AT161" s="1">
        <f t="shared" si="12"/>
        <v>75942120</v>
      </c>
    </row>
    <row r="162" spans="1:46" x14ac:dyDescent="0.2">
      <c r="A162" s="1" t="str">
        <f>"00188"</f>
        <v>00188</v>
      </c>
      <c r="B162" s="1" t="str">
        <f>"عيسي"</f>
        <v>عيسي</v>
      </c>
      <c r="C162" s="1" t="str">
        <f>"نواصري"</f>
        <v>نواصري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15571259</v>
      </c>
      <c r="G162" s="1">
        <v>7422478</v>
      </c>
      <c r="H162" s="1">
        <v>0</v>
      </c>
      <c r="I162" s="1">
        <v>14541979</v>
      </c>
      <c r="J162" s="1">
        <v>0</v>
      </c>
      <c r="K162" s="1">
        <v>4620000</v>
      </c>
      <c r="L162" s="1">
        <v>0</v>
      </c>
      <c r="M162" s="1">
        <v>1000000</v>
      </c>
      <c r="N162" s="1">
        <v>2927388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1606000</v>
      </c>
      <c r="U162" s="1">
        <v>0</v>
      </c>
      <c r="V162" s="1">
        <v>11119645</v>
      </c>
      <c r="W162" s="1">
        <v>1900000</v>
      </c>
      <c r="X162" s="1">
        <v>2260344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2090991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12186021</v>
      </c>
      <c r="AM162" s="1">
        <v>0</v>
      </c>
      <c r="AN162" s="1">
        <v>0</v>
      </c>
      <c r="AO162" s="1">
        <v>77246105</v>
      </c>
      <c r="AP162" s="1">
        <v>13724265</v>
      </c>
      <c r="AQ162" s="1">
        <v>63521840</v>
      </c>
      <c r="AR162" s="1">
        <v>15128021</v>
      </c>
      <c r="AS162" s="1">
        <v>2269203</v>
      </c>
      <c r="AT162" s="1">
        <f t="shared" si="12"/>
        <v>94643329</v>
      </c>
    </row>
    <row r="163" spans="1:46" x14ac:dyDescent="0.2">
      <c r="A163" s="1" t="str">
        <f>"00190"</f>
        <v>00190</v>
      </c>
      <c r="B163" s="1" t="str">
        <f>"بهاره"</f>
        <v>بهاره</v>
      </c>
      <c r="C163" s="1" t="str">
        <f>"ياسي"</f>
        <v>ياسي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21468533</v>
      </c>
      <c r="G163" s="1">
        <v>808064</v>
      </c>
      <c r="H163" s="1">
        <v>0</v>
      </c>
      <c r="I163" s="1">
        <v>18073130</v>
      </c>
      <c r="J163" s="1">
        <v>0</v>
      </c>
      <c r="K163" s="1">
        <v>4125000</v>
      </c>
      <c r="L163" s="1">
        <v>0</v>
      </c>
      <c r="M163" s="1">
        <v>1000000</v>
      </c>
      <c r="N163" s="1">
        <v>3776162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1606000</v>
      </c>
      <c r="U163" s="1">
        <v>0</v>
      </c>
      <c r="V163" s="1">
        <v>6587097</v>
      </c>
      <c r="W163" s="1">
        <v>1900000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2697258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4654893</v>
      </c>
      <c r="AM163" s="1">
        <v>0</v>
      </c>
      <c r="AN163" s="1">
        <v>0</v>
      </c>
      <c r="AO163" s="1">
        <v>66696137</v>
      </c>
      <c r="AP163" s="1">
        <v>17517875</v>
      </c>
      <c r="AQ163" s="1">
        <v>49178262</v>
      </c>
      <c r="AR163" s="1">
        <v>13018027</v>
      </c>
      <c r="AS163" s="1">
        <v>1952704</v>
      </c>
      <c r="AT163" s="1">
        <f t="shared" si="12"/>
        <v>81666868</v>
      </c>
    </row>
    <row r="164" spans="1:46" x14ac:dyDescent="0.2">
      <c r="A164" s="1" t="str">
        <f>"00191"</f>
        <v>00191</v>
      </c>
      <c r="B164" s="1" t="str">
        <f>"سيد امير"</f>
        <v>سيد امير</v>
      </c>
      <c r="C164" s="1" t="str">
        <f>"يزدگردي"</f>
        <v>يزدگردي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15768419</v>
      </c>
      <c r="G164" s="1">
        <v>8125302</v>
      </c>
      <c r="H164" s="1">
        <v>0</v>
      </c>
      <c r="I164" s="1">
        <v>14381487</v>
      </c>
      <c r="J164" s="1">
        <v>0</v>
      </c>
      <c r="K164" s="1">
        <v>4620000</v>
      </c>
      <c r="L164" s="1">
        <v>0</v>
      </c>
      <c r="M164" s="1">
        <v>1000000</v>
      </c>
      <c r="N164" s="1">
        <v>2996394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1606000</v>
      </c>
      <c r="U164" s="1">
        <v>0</v>
      </c>
      <c r="V164" s="1">
        <v>20696381</v>
      </c>
      <c r="W164" s="1">
        <v>1900000</v>
      </c>
      <c r="X164" s="1">
        <v>2288964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2140281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11750648</v>
      </c>
      <c r="AM164" s="1">
        <v>0</v>
      </c>
      <c r="AN164" s="1">
        <v>0</v>
      </c>
      <c r="AO164" s="1">
        <v>87273876</v>
      </c>
      <c r="AP164" s="1">
        <v>29881090</v>
      </c>
      <c r="AQ164" s="1">
        <v>57392786</v>
      </c>
      <c r="AR164" s="1">
        <v>17133575</v>
      </c>
      <c r="AS164" s="1">
        <v>2570036</v>
      </c>
      <c r="AT164" s="1">
        <f t="shared" si="12"/>
        <v>106977487</v>
      </c>
    </row>
    <row r="165" spans="1:46" x14ac:dyDescent="0.2">
      <c r="A165" s="1" t="str">
        <f>"00192"</f>
        <v>00192</v>
      </c>
      <c r="B165" s="1" t="str">
        <f>"مرجان"</f>
        <v>مرجان</v>
      </c>
      <c r="C165" s="1" t="str">
        <f>"تقدسي"</f>
        <v>تقدسي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16483440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16483440</v>
      </c>
      <c r="AP165" s="1">
        <v>16483440</v>
      </c>
      <c r="AQ165" s="1">
        <v>0</v>
      </c>
      <c r="AR165" s="1">
        <v>0</v>
      </c>
      <c r="AS165" s="1">
        <v>0</v>
      </c>
      <c r="AT165" s="1">
        <f t="shared" si="12"/>
        <v>16483440</v>
      </c>
    </row>
    <row r="166" spans="1:46" x14ac:dyDescent="0.2">
      <c r="A166" s="1" t="str">
        <f>"00193"</f>
        <v>00193</v>
      </c>
      <c r="B166" s="1" t="str">
        <f>"جلال"</f>
        <v>جلال</v>
      </c>
      <c r="C166" s="1" t="str">
        <f>"احتشام منش"</f>
        <v>احتشام منش</v>
      </c>
      <c r="D166" s="1" t="str">
        <f t="shared" si="13"/>
        <v>قراردادي بهره بردار</v>
      </c>
      <c r="E166" s="1" t="str">
        <f>"پروژه تعميرات نيروگاه بوشهر"</f>
        <v>پروژه تعميرات نيروگاه بوشهر</v>
      </c>
      <c r="F166" s="1">
        <v>28469589</v>
      </c>
      <c r="G166" s="1">
        <v>8847869</v>
      </c>
      <c r="H166" s="1">
        <v>0</v>
      </c>
      <c r="I166" s="1">
        <v>51360890</v>
      </c>
      <c r="J166" s="1">
        <v>0</v>
      </c>
      <c r="K166" s="1">
        <v>5500000</v>
      </c>
      <c r="L166" s="1">
        <v>0</v>
      </c>
      <c r="M166" s="1">
        <v>1000000</v>
      </c>
      <c r="N166" s="1">
        <v>11547968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15780833</v>
      </c>
      <c r="W166" s="1">
        <v>1900000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8248549</v>
      </c>
      <c r="AF166" s="1">
        <v>5039959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21776170</v>
      </c>
      <c r="AM166" s="1">
        <v>0</v>
      </c>
      <c r="AN166" s="1">
        <v>0</v>
      </c>
      <c r="AO166" s="1">
        <v>159471827</v>
      </c>
      <c r="AP166" s="1">
        <v>22938375</v>
      </c>
      <c r="AQ166" s="1">
        <v>136533452</v>
      </c>
      <c r="AR166" s="1">
        <v>30886375</v>
      </c>
      <c r="AS166" s="1">
        <v>4632955</v>
      </c>
      <c r="AT166" s="1">
        <f t="shared" si="12"/>
        <v>194991157</v>
      </c>
    </row>
    <row r="167" spans="1:46" x14ac:dyDescent="0.2">
      <c r="A167" s="1" t="str">
        <f>"00194"</f>
        <v>00194</v>
      </c>
      <c r="B167" s="1" t="str">
        <f>"الهام"</f>
        <v>الهام</v>
      </c>
      <c r="C167" s="1" t="str">
        <f>"خليلي مقدم"</f>
        <v>خليلي مقدم</v>
      </c>
      <c r="D167" s="1" t="str">
        <f t="shared" si="13"/>
        <v>قراردادي بهره بردار</v>
      </c>
      <c r="E167" s="1" t="str">
        <f>"پروژه بهره برداري نيروگاه بوشهر"</f>
        <v>پروژه بهره برداري نيروگاه بوشهر</v>
      </c>
      <c r="F167" s="1">
        <v>16762982</v>
      </c>
      <c r="G167" s="1">
        <v>8399500</v>
      </c>
      <c r="H167" s="1">
        <v>0</v>
      </c>
      <c r="I167" s="1">
        <v>14212795</v>
      </c>
      <c r="J167" s="1">
        <v>1100000</v>
      </c>
      <c r="K167" s="1">
        <v>3465000</v>
      </c>
      <c r="L167" s="1">
        <v>0</v>
      </c>
      <c r="M167" s="1">
        <v>1000000</v>
      </c>
      <c r="N167" s="1">
        <v>2861451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1606000</v>
      </c>
      <c r="U167" s="1">
        <v>0</v>
      </c>
      <c r="V167" s="1">
        <v>9903481</v>
      </c>
      <c r="W167" s="1">
        <v>1900000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2043893</v>
      </c>
      <c r="AF167" s="1">
        <v>1516881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6261364</v>
      </c>
      <c r="AM167" s="1">
        <v>0</v>
      </c>
      <c r="AN167" s="1">
        <v>0</v>
      </c>
      <c r="AO167" s="1">
        <v>71033347</v>
      </c>
      <c r="AP167" s="1">
        <v>25878193</v>
      </c>
      <c r="AQ167" s="1">
        <v>45155154</v>
      </c>
      <c r="AR167" s="1">
        <v>13362093</v>
      </c>
      <c r="AS167" s="1">
        <v>2004313</v>
      </c>
      <c r="AT167" s="1">
        <f t="shared" si="12"/>
        <v>86399753</v>
      </c>
    </row>
    <row r="168" spans="1:46" x14ac:dyDescent="0.2">
      <c r="A168" s="1" t="str">
        <f>"00195"</f>
        <v>00195</v>
      </c>
      <c r="B168" s="1" t="str">
        <f>"مهرنوش"</f>
        <v>مهرنوش</v>
      </c>
      <c r="C168" s="1" t="str">
        <f>"چاآبي"</f>
        <v>چاآبي</v>
      </c>
      <c r="D168" s="1" t="str">
        <f t="shared" si="13"/>
        <v>قراردادي بهره بردار</v>
      </c>
      <c r="E168" s="1" t="str">
        <f>"پروژه بهره برداري نيروگاه بوشهر"</f>
        <v>پروژه بهره برداري نيروگاه بوشهر</v>
      </c>
      <c r="F168" s="1">
        <v>15623835</v>
      </c>
      <c r="G168" s="1">
        <v>0</v>
      </c>
      <c r="H168" s="1">
        <v>0</v>
      </c>
      <c r="I168" s="1">
        <v>14019408</v>
      </c>
      <c r="J168" s="1">
        <v>0</v>
      </c>
      <c r="K168" s="1">
        <v>3465000</v>
      </c>
      <c r="L168" s="1">
        <v>0</v>
      </c>
      <c r="M168" s="1">
        <v>1000000</v>
      </c>
      <c r="N168" s="1">
        <v>2945789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1606000</v>
      </c>
      <c r="U168" s="1">
        <v>0</v>
      </c>
      <c r="V168" s="1">
        <v>9598574</v>
      </c>
      <c r="W168" s="1">
        <v>1900000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2104135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6151830</v>
      </c>
      <c r="AM168" s="1">
        <v>0</v>
      </c>
      <c r="AN168" s="1">
        <v>0</v>
      </c>
      <c r="AO168" s="1">
        <v>58414571</v>
      </c>
      <c r="AP168" s="1">
        <v>31368716</v>
      </c>
      <c r="AQ168" s="1">
        <v>27045855</v>
      </c>
      <c r="AR168" s="1">
        <v>11361714</v>
      </c>
      <c r="AS168" s="1">
        <v>1704257</v>
      </c>
      <c r="AT168" s="1">
        <f t="shared" si="12"/>
        <v>71480542</v>
      </c>
    </row>
    <row r="169" spans="1:46" x14ac:dyDescent="0.2">
      <c r="A169" s="1" t="str">
        <f>"00196"</f>
        <v>00196</v>
      </c>
      <c r="B169" s="1" t="str">
        <f>"عزيزه"</f>
        <v>عزيزه</v>
      </c>
      <c r="C169" s="1" t="str">
        <f>"حسيني اقبال"</f>
        <v>حسيني اقبال</v>
      </c>
      <c r="D169" s="1" t="str">
        <f t="shared" si="13"/>
        <v>قراردادي بهره بردار</v>
      </c>
      <c r="E169" s="1" t="str">
        <f>"پروژه بهره برداري نيروگاه بوشهر"</f>
        <v>پروژه بهره برداري نيروگاه بوشهر</v>
      </c>
      <c r="F169" s="1">
        <v>19185859</v>
      </c>
      <c r="G169" s="1">
        <v>15313731</v>
      </c>
      <c r="H169" s="1">
        <v>1484000</v>
      </c>
      <c r="I169" s="1">
        <v>17375012</v>
      </c>
      <c r="J169" s="1">
        <v>0</v>
      </c>
      <c r="K169" s="1">
        <v>4125000</v>
      </c>
      <c r="L169" s="1">
        <v>0</v>
      </c>
      <c r="M169" s="1">
        <v>1000000</v>
      </c>
      <c r="N169" s="1">
        <v>3172743</v>
      </c>
      <c r="O169" s="1">
        <v>0</v>
      </c>
      <c r="P169" s="1">
        <v>0</v>
      </c>
      <c r="Q169" s="1">
        <v>0</v>
      </c>
      <c r="R169" s="1">
        <v>0</v>
      </c>
      <c r="S169" s="1">
        <v>636000</v>
      </c>
      <c r="T169" s="1">
        <v>0</v>
      </c>
      <c r="U169" s="1">
        <v>0</v>
      </c>
      <c r="V169" s="1">
        <v>6716392</v>
      </c>
      <c r="W169" s="1">
        <v>1900000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5520480</v>
      </c>
      <c r="AD169" s="1">
        <v>0</v>
      </c>
      <c r="AE169" s="1">
        <v>2266245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-322662</v>
      </c>
      <c r="AM169" s="1">
        <v>0</v>
      </c>
      <c r="AN169" s="1">
        <v>0</v>
      </c>
      <c r="AO169" s="1">
        <v>78372800</v>
      </c>
      <c r="AP169" s="1">
        <v>18852281</v>
      </c>
      <c r="AQ169" s="1">
        <v>59520519</v>
      </c>
      <c r="AR169" s="1">
        <v>15250558</v>
      </c>
      <c r="AS169" s="1">
        <v>2287582</v>
      </c>
      <c r="AT169" s="1">
        <f t="shared" si="12"/>
        <v>95910940</v>
      </c>
    </row>
    <row r="170" spans="1:46" x14ac:dyDescent="0.2">
      <c r="A170" s="1" t="str">
        <f>"00197"</f>
        <v>00197</v>
      </c>
      <c r="B170" s="1" t="str">
        <f>"محسن"</f>
        <v>محسن</v>
      </c>
      <c r="C170" s="1" t="str">
        <f>"بهزادي نژاد"</f>
        <v>بهزادي نژاد</v>
      </c>
      <c r="D170" s="1" t="str">
        <f t="shared" si="13"/>
        <v>قراردادي بهره بردار</v>
      </c>
      <c r="E170" s="1" t="str">
        <f>"پروژه تعميرات نيروگاه بوشهر"</f>
        <v>پروژه تعميرات نيروگاه بوشهر</v>
      </c>
      <c r="F170" s="1">
        <v>24261633</v>
      </c>
      <c r="G170" s="1">
        <v>5887775</v>
      </c>
      <c r="H170" s="1">
        <v>0</v>
      </c>
      <c r="I170" s="1">
        <v>23999743</v>
      </c>
      <c r="J170" s="1">
        <v>0</v>
      </c>
      <c r="K170" s="1">
        <v>5500000</v>
      </c>
      <c r="L170" s="1">
        <v>0</v>
      </c>
      <c r="M170" s="1">
        <v>1000000</v>
      </c>
      <c r="N170" s="1">
        <v>3819865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14058275</v>
      </c>
      <c r="W170" s="1">
        <v>1900000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2728475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6984897</v>
      </c>
      <c r="AM170" s="1">
        <v>0</v>
      </c>
      <c r="AN170" s="1">
        <v>0</v>
      </c>
      <c r="AO170" s="1">
        <v>90140663</v>
      </c>
      <c r="AP170" s="1">
        <v>38473740</v>
      </c>
      <c r="AQ170" s="1">
        <v>51666923</v>
      </c>
      <c r="AR170" s="1">
        <v>18028133</v>
      </c>
      <c r="AS170" s="1">
        <v>2704220</v>
      </c>
      <c r="AT170" s="1">
        <f t="shared" si="12"/>
        <v>110873016</v>
      </c>
    </row>
    <row r="171" spans="1:46" x14ac:dyDescent="0.2">
      <c r="A171" s="1" t="str">
        <f>"00199"</f>
        <v>00199</v>
      </c>
      <c r="B171" s="1" t="str">
        <f>"سياوش"</f>
        <v>سياوش</v>
      </c>
      <c r="C171" s="1" t="str">
        <f>"زنده زبان"</f>
        <v>زنده زبان</v>
      </c>
      <c r="D171" s="1" t="str">
        <f>"قراردادي کارگري"</f>
        <v>قراردادي کارگري</v>
      </c>
      <c r="E171" s="1" t="str">
        <f>"پروژه تعميرات نيروگاه بوشهر"</f>
        <v>پروژه تعميرات نيروگاه بوشهر</v>
      </c>
      <c r="F171" s="1">
        <v>6026314</v>
      </c>
      <c r="G171" s="1">
        <v>3587705</v>
      </c>
      <c r="H171" s="1">
        <v>0</v>
      </c>
      <c r="I171" s="1">
        <v>4278683</v>
      </c>
      <c r="J171" s="1">
        <v>0</v>
      </c>
      <c r="K171" s="1">
        <v>0</v>
      </c>
      <c r="L171" s="1">
        <v>7672721</v>
      </c>
      <c r="M171" s="1">
        <v>1000000</v>
      </c>
      <c r="N171" s="1">
        <v>2993203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5944972</v>
      </c>
      <c r="W171" s="1">
        <v>1900000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3345163</v>
      </c>
      <c r="AE171" s="1">
        <v>0</v>
      </c>
      <c r="AF171" s="1">
        <v>4550643</v>
      </c>
      <c r="AG171" s="1">
        <v>1330166</v>
      </c>
      <c r="AH171" s="1">
        <v>0</v>
      </c>
      <c r="AI171" s="1">
        <v>0</v>
      </c>
      <c r="AJ171" s="1">
        <v>3826885</v>
      </c>
      <c r="AK171" s="1">
        <v>0</v>
      </c>
      <c r="AL171" s="1">
        <v>0</v>
      </c>
      <c r="AM171" s="1">
        <v>0</v>
      </c>
      <c r="AN171" s="1">
        <v>0</v>
      </c>
      <c r="AO171" s="1">
        <v>46456455</v>
      </c>
      <c r="AP171" s="1">
        <v>11861480</v>
      </c>
      <c r="AQ171" s="1">
        <v>34594975</v>
      </c>
      <c r="AR171" s="1">
        <v>8381162</v>
      </c>
      <c r="AS171" s="1">
        <v>1257174</v>
      </c>
      <c r="AT171" s="1">
        <f t="shared" si="12"/>
        <v>56094791</v>
      </c>
    </row>
    <row r="172" spans="1:46" x14ac:dyDescent="0.2">
      <c r="A172" s="1" t="str">
        <f>"00200"</f>
        <v>00200</v>
      </c>
      <c r="B172" s="1" t="str">
        <f>"كريم"</f>
        <v>كريم</v>
      </c>
      <c r="C172" s="1" t="str">
        <f>"نجف ونددريکوندي"</f>
        <v>نجف ونددريکوندي</v>
      </c>
      <c r="D172" s="1" t="str">
        <f>"قراردادي بهره بردار"</f>
        <v>قراردادي بهره بردار</v>
      </c>
      <c r="E172" s="1" t="str">
        <f>"پروژه بهره برداري نيروگاه بوشهر"</f>
        <v>پروژه بهره برداري نيروگاه بوشهر</v>
      </c>
      <c r="F172" s="1">
        <v>28375705</v>
      </c>
      <c r="G172" s="1">
        <v>25192760</v>
      </c>
      <c r="H172" s="1">
        <v>0</v>
      </c>
      <c r="I172" s="1">
        <v>28798218</v>
      </c>
      <c r="J172" s="1">
        <v>0</v>
      </c>
      <c r="K172" s="1">
        <v>0</v>
      </c>
      <c r="L172" s="1">
        <v>0</v>
      </c>
      <c r="M172" s="1">
        <v>1000000</v>
      </c>
      <c r="N172" s="1">
        <v>4555163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1606000</v>
      </c>
      <c r="U172" s="1">
        <v>0</v>
      </c>
      <c r="V172" s="1">
        <v>15030358</v>
      </c>
      <c r="W172" s="1">
        <v>1900000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3384580</v>
      </c>
      <c r="AD172" s="1">
        <v>0</v>
      </c>
      <c r="AE172" s="1">
        <v>3253688</v>
      </c>
      <c r="AF172" s="1">
        <v>4550643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5856638</v>
      </c>
      <c r="AM172" s="1">
        <v>0</v>
      </c>
      <c r="AN172" s="1">
        <v>0</v>
      </c>
      <c r="AO172" s="1">
        <v>123503753</v>
      </c>
      <c r="AP172" s="1">
        <v>31179861</v>
      </c>
      <c r="AQ172" s="1">
        <v>92323892</v>
      </c>
      <c r="AR172" s="1">
        <v>21944212</v>
      </c>
      <c r="AS172" s="1">
        <v>3291632</v>
      </c>
      <c r="AT172" s="1">
        <f t="shared" si="12"/>
        <v>148739597</v>
      </c>
    </row>
    <row r="173" spans="1:46" x14ac:dyDescent="0.2">
      <c r="A173" s="1" t="str">
        <f>"00203"</f>
        <v>00203</v>
      </c>
      <c r="B173" s="1" t="str">
        <f>"رازق"</f>
        <v>رازق</v>
      </c>
      <c r="C173" s="1" t="str">
        <f>"بستام"</f>
        <v>بستام</v>
      </c>
      <c r="D173" s="1" t="str">
        <f>"قراردادي کارگري"</f>
        <v>قراردادي کارگري</v>
      </c>
      <c r="E173" s="1" t="str">
        <f t="shared" ref="E173:E193" si="15">"پروژه تعميرات نيروگاه بوشهر"</f>
        <v>پروژه تعميرات نيروگاه بوشهر</v>
      </c>
      <c r="F173" s="1">
        <v>8643246</v>
      </c>
      <c r="G173" s="1">
        <v>7757301</v>
      </c>
      <c r="H173" s="1">
        <v>0</v>
      </c>
      <c r="I173" s="1">
        <v>6396003</v>
      </c>
      <c r="J173" s="1">
        <v>0</v>
      </c>
      <c r="K173" s="1">
        <v>0</v>
      </c>
      <c r="L173" s="1">
        <v>7628143</v>
      </c>
      <c r="M173" s="1">
        <v>1000000</v>
      </c>
      <c r="N173" s="1">
        <v>4579204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7107166</v>
      </c>
      <c r="W173" s="1">
        <v>1900000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4086989</v>
      </c>
      <c r="AE173" s="1">
        <v>0</v>
      </c>
      <c r="AF173" s="1">
        <v>3033762</v>
      </c>
      <c r="AG173" s="1">
        <v>0</v>
      </c>
      <c r="AH173" s="1">
        <v>0</v>
      </c>
      <c r="AI173" s="1">
        <v>0</v>
      </c>
      <c r="AJ173" s="1">
        <v>1551460</v>
      </c>
      <c r="AK173" s="1">
        <v>0</v>
      </c>
      <c r="AL173" s="1">
        <v>0</v>
      </c>
      <c r="AM173" s="1">
        <v>0</v>
      </c>
      <c r="AN173" s="1">
        <v>0</v>
      </c>
      <c r="AO173" s="1">
        <v>53683274</v>
      </c>
      <c r="AP173" s="1">
        <v>13202303</v>
      </c>
      <c r="AQ173" s="1">
        <v>40480971</v>
      </c>
      <c r="AR173" s="1">
        <v>10129902</v>
      </c>
      <c r="AS173" s="1">
        <v>1519485</v>
      </c>
      <c r="AT173" s="1">
        <f t="shared" si="12"/>
        <v>65332661</v>
      </c>
    </row>
    <row r="174" spans="1:46" x14ac:dyDescent="0.2">
      <c r="A174" s="1" t="str">
        <f>"00204"</f>
        <v>00204</v>
      </c>
      <c r="B174" s="1" t="str">
        <f>"محمد علي"</f>
        <v>محمد علي</v>
      </c>
      <c r="C174" s="1" t="str">
        <f>"كريمي آخورمه"</f>
        <v>كريمي آخورمه</v>
      </c>
      <c r="D174" s="1" t="str">
        <f>"قراردادي کارگري"</f>
        <v>قراردادي کارگري</v>
      </c>
      <c r="E174" s="1" t="str">
        <f t="shared" si="15"/>
        <v>پروژه تعميرات نيروگاه بوشهر</v>
      </c>
      <c r="F174" s="1">
        <v>7704908</v>
      </c>
      <c r="G174" s="1">
        <v>9168447</v>
      </c>
      <c r="H174" s="1">
        <v>0</v>
      </c>
      <c r="I174" s="1">
        <v>5701633</v>
      </c>
      <c r="J174" s="1">
        <v>0</v>
      </c>
      <c r="K174" s="1">
        <v>0</v>
      </c>
      <c r="L174" s="1">
        <v>7628143</v>
      </c>
      <c r="M174" s="1">
        <v>1000000</v>
      </c>
      <c r="N174" s="1">
        <v>4055215</v>
      </c>
      <c r="O174" s="1">
        <v>0</v>
      </c>
      <c r="P174" s="1">
        <v>0</v>
      </c>
      <c r="Q174" s="1">
        <v>0</v>
      </c>
      <c r="R174" s="1">
        <v>7481</v>
      </c>
      <c r="S174" s="1">
        <v>0</v>
      </c>
      <c r="T174" s="1">
        <v>0</v>
      </c>
      <c r="U174" s="1">
        <v>0</v>
      </c>
      <c r="V174" s="1">
        <v>6600343</v>
      </c>
      <c r="W174" s="1">
        <v>1900000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3763485</v>
      </c>
      <c r="AE174" s="1">
        <v>0</v>
      </c>
      <c r="AF174" s="1">
        <v>1516881</v>
      </c>
      <c r="AG174" s="1">
        <v>0</v>
      </c>
      <c r="AH174" s="1">
        <v>0</v>
      </c>
      <c r="AI174" s="1">
        <v>0</v>
      </c>
      <c r="AJ174" s="1">
        <v>4293517</v>
      </c>
      <c r="AK174" s="1">
        <v>0</v>
      </c>
      <c r="AL174" s="1">
        <v>0</v>
      </c>
      <c r="AM174" s="1">
        <v>0</v>
      </c>
      <c r="AN174" s="1">
        <v>0</v>
      </c>
      <c r="AO174" s="1">
        <v>53340053</v>
      </c>
      <c r="AP174" s="1">
        <v>12524379</v>
      </c>
      <c r="AQ174" s="1">
        <v>40815674</v>
      </c>
      <c r="AR174" s="1">
        <v>10363138</v>
      </c>
      <c r="AS174" s="1">
        <v>1554471</v>
      </c>
      <c r="AT174" s="1">
        <f t="shared" si="12"/>
        <v>65257662</v>
      </c>
    </row>
    <row r="175" spans="1:46" x14ac:dyDescent="0.2">
      <c r="A175" s="1" t="str">
        <f>"00205"</f>
        <v>00205</v>
      </c>
      <c r="B175" s="1" t="str">
        <f>"مسعود"</f>
        <v>مسعود</v>
      </c>
      <c r="C175" s="1" t="str">
        <f>"جوکار"</f>
        <v>جوکار</v>
      </c>
      <c r="D175" s="1" t="str">
        <f>"قراردادي بهره بردار"</f>
        <v>قراردادي بهره بردار</v>
      </c>
      <c r="E175" s="1" t="str">
        <f t="shared" si="15"/>
        <v>پروژه تعميرات نيروگاه بوشهر</v>
      </c>
      <c r="F175" s="1">
        <v>20042409</v>
      </c>
      <c r="G175" s="1">
        <v>25406463</v>
      </c>
      <c r="H175" s="1">
        <v>0</v>
      </c>
      <c r="I175" s="1">
        <v>22622774</v>
      </c>
      <c r="J175" s="1">
        <v>0</v>
      </c>
      <c r="K175" s="1">
        <v>0</v>
      </c>
      <c r="L175" s="1">
        <v>0</v>
      </c>
      <c r="M175" s="1">
        <v>1000000</v>
      </c>
      <c r="N175" s="1">
        <v>3472535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5643353</v>
      </c>
      <c r="W175" s="1">
        <v>1900000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2957400</v>
      </c>
      <c r="AD175" s="1">
        <v>0</v>
      </c>
      <c r="AE175" s="1">
        <v>2480382</v>
      </c>
      <c r="AF175" s="1">
        <v>1516881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4858022</v>
      </c>
      <c r="AM175" s="1">
        <v>0</v>
      </c>
      <c r="AN175" s="1">
        <v>0</v>
      </c>
      <c r="AO175" s="1">
        <v>91900219</v>
      </c>
      <c r="AP175" s="1">
        <v>48870562</v>
      </c>
      <c r="AQ175" s="1">
        <v>43029657</v>
      </c>
      <c r="AR175" s="1">
        <v>18076668</v>
      </c>
      <c r="AS175" s="1">
        <v>2711500</v>
      </c>
      <c r="AT175" s="1">
        <f t="shared" si="12"/>
        <v>112688387</v>
      </c>
    </row>
    <row r="176" spans="1:46" x14ac:dyDescent="0.2">
      <c r="A176" s="1" t="str">
        <f>"00206"</f>
        <v>00206</v>
      </c>
      <c r="B176" s="1" t="str">
        <f>"عليرضا"</f>
        <v>عليرضا</v>
      </c>
      <c r="C176" s="1" t="str">
        <f>"رضائي بوشهري"</f>
        <v>رضائي بوشهري</v>
      </c>
      <c r="D176" s="1" t="str">
        <f t="shared" ref="D176:D193" si="16">"قراردادي کارگري"</f>
        <v>قراردادي کارگري</v>
      </c>
      <c r="E176" s="1" t="str">
        <f t="shared" si="15"/>
        <v>پروژه تعميرات نيروگاه بوشهر</v>
      </c>
      <c r="F176" s="1">
        <v>7525581</v>
      </c>
      <c r="G176" s="1">
        <v>2404613</v>
      </c>
      <c r="H176" s="1">
        <v>0</v>
      </c>
      <c r="I176" s="1">
        <v>6384201</v>
      </c>
      <c r="J176" s="1">
        <v>0</v>
      </c>
      <c r="K176" s="1">
        <v>0</v>
      </c>
      <c r="L176" s="1">
        <v>7672721</v>
      </c>
      <c r="M176" s="1">
        <v>1000000</v>
      </c>
      <c r="N176" s="1">
        <v>3960831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2854000</v>
      </c>
      <c r="W176" s="1">
        <v>1900000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1516881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35218828</v>
      </c>
      <c r="AP176" s="1">
        <v>12840605</v>
      </c>
      <c r="AQ176" s="1">
        <v>22378223</v>
      </c>
      <c r="AR176" s="1">
        <v>6740389</v>
      </c>
      <c r="AS176" s="1">
        <v>1011058</v>
      </c>
      <c r="AT176" s="1">
        <f t="shared" si="12"/>
        <v>42970275</v>
      </c>
    </row>
    <row r="177" spans="1:46" x14ac:dyDescent="0.2">
      <c r="A177" s="1" t="str">
        <f>"00207"</f>
        <v>00207</v>
      </c>
      <c r="B177" s="1" t="str">
        <f>"محمد"</f>
        <v>محمد</v>
      </c>
      <c r="C177" s="1" t="str">
        <f>"احمدنيا"</f>
        <v>احمدنيا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6669868</v>
      </c>
      <c r="G177" s="1">
        <v>1978793</v>
      </c>
      <c r="H177" s="1">
        <v>0</v>
      </c>
      <c r="I177" s="1">
        <v>4735607</v>
      </c>
      <c r="J177" s="1">
        <v>0</v>
      </c>
      <c r="K177" s="1">
        <v>0</v>
      </c>
      <c r="L177" s="1">
        <v>7672721</v>
      </c>
      <c r="M177" s="1">
        <v>1000000</v>
      </c>
      <c r="N177" s="1">
        <v>3557262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8522682</v>
      </c>
      <c r="W177" s="1">
        <v>1900000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3395319</v>
      </c>
      <c r="AE177" s="1">
        <v>0</v>
      </c>
      <c r="AF177" s="1">
        <v>1516881</v>
      </c>
      <c r="AG177" s="1">
        <v>0</v>
      </c>
      <c r="AH177" s="1">
        <v>0</v>
      </c>
      <c r="AI177" s="1">
        <v>0</v>
      </c>
      <c r="AJ177" s="1">
        <v>4221425</v>
      </c>
      <c r="AK177" s="1">
        <v>0</v>
      </c>
      <c r="AL177" s="1">
        <v>0</v>
      </c>
      <c r="AM177" s="1">
        <v>0</v>
      </c>
      <c r="AN177" s="1">
        <v>0</v>
      </c>
      <c r="AO177" s="1">
        <v>45170558</v>
      </c>
      <c r="AP177" s="1">
        <v>6147001</v>
      </c>
      <c r="AQ177" s="1">
        <v>39023557</v>
      </c>
      <c r="AR177" s="1">
        <v>8730735</v>
      </c>
      <c r="AS177" s="1">
        <v>1309610</v>
      </c>
      <c r="AT177" s="1">
        <f t="shared" si="12"/>
        <v>55210903</v>
      </c>
    </row>
    <row r="178" spans="1:46" x14ac:dyDescent="0.2">
      <c r="A178" s="1" t="str">
        <f>"00208"</f>
        <v>00208</v>
      </c>
      <c r="B178" s="1" t="str">
        <f>"قاسم"</f>
        <v>قاسم</v>
      </c>
      <c r="C178" s="1" t="str">
        <f>"ارقون"</f>
        <v>ارقون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8119217</v>
      </c>
      <c r="G178" s="1">
        <v>5223106</v>
      </c>
      <c r="H178" s="1">
        <v>0</v>
      </c>
      <c r="I178" s="1">
        <v>5683452</v>
      </c>
      <c r="J178" s="1">
        <v>0</v>
      </c>
      <c r="K178" s="1">
        <v>0</v>
      </c>
      <c r="L178" s="1">
        <v>7628143</v>
      </c>
      <c r="M178" s="1">
        <v>1000000</v>
      </c>
      <c r="N178" s="1">
        <v>4273271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9543000</v>
      </c>
      <c r="W178" s="1">
        <v>1900000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3855613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4775411</v>
      </c>
      <c r="AK178" s="1">
        <v>0</v>
      </c>
      <c r="AL178" s="1">
        <v>0</v>
      </c>
      <c r="AM178" s="1">
        <v>0</v>
      </c>
      <c r="AN178" s="1">
        <v>0</v>
      </c>
      <c r="AO178" s="1">
        <v>52001213</v>
      </c>
      <c r="AP178" s="1">
        <v>6556762</v>
      </c>
      <c r="AQ178" s="1">
        <v>45444451</v>
      </c>
      <c r="AR178" s="1">
        <v>10400243</v>
      </c>
      <c r="AS178" s="1">
        <v>1560036</v>
      </c>
      <c r="AT178" s="1">
        <f t="shared" si="12"/>
        <v>63961492</v>
      </c>
    </row>
    <row r="179" spans="1:46" x14ac:dyDescent="0.2">
      <c r="A179" s="1" t="str">
        <f>"00209"</f>
        <v>00209</v>
      </c>
      <c r="B179" s="1" t="str">
        <f>"علي"</f>
        <v>علي</v>
      </c>
      <c r="C179" s="1" t="str">
        <f>"افراسن"</f>
        <v>افراسن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7568216</v>
      </c>
      <c r="G179" s="1">
        <v>7404544</v>
      </c>
      <c r="H179" s="1">
        <v>0</v>
      </c>
      <c r="I179" s="1">
        <v>5449115</v>
      </c>
      <c r="J179" s="1">
        <v>0</v>
      </c>
      <c r="K179" s="1">
        <v>0</v>
      </c>
      <c r="L179" s="1">
        <v>7628143</v>
      </c>
      <c r="M179" s="1">
        <v>1000000</v>
      </c>
      <c r="N179" s="1">
        <v>4009651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9194221</v>
      </c>
      <c r="W179" s="1">
        <v>1900000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3698269</v>
      </c>
      <c r="AE179" s="1">
        <v>0</v>
      </c>
      <c r="AF179" s="1">
        <v>3033762</v>
      </c>
      <c r="AG179" s="1">
        <v>0</v>
      </c>
      <c r="AH179" s="1">
        <v>0</v>
      </c>
      <c r="AI179" s="1">
        <v>0</v>
      </c>
      <c r="AJ179" s="1">
        <v>4586040</v>
      </c>
      <c r="AK179" s="1">
        <v>0</v>
      </c>
      <c r="AL179" s="1">
        <v>0</v>
      </c>
      <c r="AM179" s="1">
        <v>0</v>
      </c>
      <c r="AN179" s="1">
        <v>0</v>
      </c>
      <c r="AO179" s="1">
        <v>55471961</v>
      </c>
      <c r="AP179" s="1">
        <v>9325652</v>
      </c>
      <c r="AQ179" s="1">
        <v>46146309</v>
      </c>
      <c r="AR179" s="1">
        <v>10487640</v>
      </c>
      <c r="AS179" s="1">
        <v>1573146</v>
      </c>
      <c r="AT179" s="1">
        <f t="shared" si="12"/>
        <v>67532747</v>
      </c>
    </row>
    <row r="180" spans="1:46" x14ac:dyDescent="0.2">
      <c r="A180" s="1" t="str">
        <f>"00210"</f>
        <v>00210</v>
      </c>
      <c r="B180" s="1" t="str">
        <f>"محمدجواد"</f>
        <v>محمدجواد</v>
      </c>
      <c r="C180" s="1" t="str">
        <f>"اندرياي"</f>
        <v>اندرياي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7364804</v>
      </c>
      <c r="G180" s="1">
        <v>7497980</v>
      </c>
      <c r="H180" s="1">
        <v>0</v>
      </c>
      <c r="I180" s="1">
        <v>5302659</v>
      </c>
      <c r="J180" s="1">
        <v>0</v>
      </c>
      <c r="K180" s="1">
        <v>0</v>
      </c>
      <c r="L180" s="1">
        <v>7628143</v>
      </c>
      <c r="M180" s="1">
        <v>1000000</v>
      </c>
      <c r="N180" s="1">
        <v>3876213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9033522</v>
      </c>
      <c r="W180" s="1">
        <v>1900000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1516881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45120202</v>
      </c>
      <c r="AP180" s="1">
        <v>15149729</v>
      </c>
      <c r="AQ180" s="1">
        <v>29970473</v>
      </c>
      <c r="AR180" s="1">
        <v>8720664</v>
      </c>
      <c r="AS180" s="1">
        <v>1308100</v>
      </c>
      <c r="AT180" s="1">
        <f t="shared" si="12"/>
        <v>55148966</v>
      </c>
    </row>
    <row r="181" spans="1:46" x14ac:dyDescent="0.2">
      <c r="A181" s="1" t="str">
        <f>"00211"</f>
        <v>00211</v>
      </c>
      <c r="B181" s="1" t="str">
        <f>"عباس"</f>
        <v>عباس</v>
      </c>
      <c r="C181" s="1" t="str">
        <f>"انصاري"</f>
        <v>انصاري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7049435</v>
      </c>
      <c r="G181" s="1">
        <v>9482393</v>
      </c>
      <c r="H181" s="1">
        <v>0</v>
      </c>
      <c r="I181" s="1">
        <v>4511639</v>
      </c>
      <c r="J181" s="1">
        <v>0</v>
      </c>
      <c r="K181" s="1">
        <v>0</v>
      </c>
      <c r="L181" s="1">
        <v>7628143</v>
      </c>
      <c r="M181" s="1">
        <v>1000000</v>
      </c>
      <c r="N181" s="1">
        <v>3710229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8351496</v>
      </c>
      <c r="W181" s="1">
        <v>1900000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3033762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46667097</v>
      </c>
      <c r="AP181" s="1">
        <v>7940440</v>
      </c>
      <c r="AQ181" s="1">
        <v>38726657</v>
      </c>
      <c r="AR181" s="1">
        <v>8726667</v>
      </c>
      <c r="AS181" s="1">
        <v>1309000</v>
      </c>
      <c r="AT181" s="1">
        <f t="shared" si="12"/>
        <v>56702764</v>
      </c>
    </row>
    <row r="182" spans="1:46" x14ac:dyDescent="0.2">
      <c r="A182" s="1" t="str">
        <f>"00212"</f>
        <v>00212</v>
      </c>
      <c r="B182" s="1" t="str">
        <f>"عبدالکريم"</f>
        <v>عبدالکريم</v>
      </c>
      <c r="C182" s="1" t="str">
        <f>"جمالي"</f>
        <v>جمالي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8317666</v>
      </c>
      <c r="G182" s="1">
        <v>21270783</v>
      </c>
      <c r="H182" s="1">
        <v>0</v>
      </c>
      <c r="I182" s="1">
        <v>6155073</v>
      </c>
      <c r="J182" s="1">
        <v>0</v>
      </c>
      <c r="K182" s="1">
        <v>0</v>
      </c>
      <c r="L182" s="1">
        <v>7628143</v>
      </c>
      <c r="M182" s="1">
        <v>1000000</v>
      </c>
      <c r="N182" s="1">
        <v>4406710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9810166</v>
      </c>
      <c r="W182" s="1">
        <v>1900000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1516881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62005422</v>
      </c>
      <c r="AP182" s="1">
        <v>10159273</v>
      </c>
      <c r="AQ182" s="1">
        <v>51846149</v>
      </c>
      <c r="AR182" s="1">
        <v>12097708</v>
      </c>
      <c r="AS182" s="1">
        <v>1814656</v>
      </c>
      <c r="AT182" s="1">
        <f t="shared" si="12"/>
        <v>75917786</v>
      </c>
    </row>
    <row r="183" spans="1:46" x14ac:dyDescent="0.2">
      <c r="A183" s="1" t="str">
        <f>"00213"</f>
        <v>00213</v>
      </c>
      <c r="B183" s="1" t="str">
        <f>"عيسي"</f>
        <v>عيسي</v>
      </c>
      <c r="C183" s="1" t="str">
        <f>"حيدري"</f>
        <v>حيدري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4668704</v>
      </c>
      <c r="G183" s="1">
        <v>1715711</v>
      </c>
      <c r="H183" s="1">
        <v>0</v>
      </c>
      <c r="I183" s="1">
        <v>3128032</v>
      </c>
      <c r="J183" s="1">
        <v>0</v>
      </c>
      <c r="K183" s="1">
        <v>0</v>
      </c>
      <c r="L183" s="1">
        <v>7672721</v>
      </c>
      <c r="M183" s="1">
        <v>1000000</v>
      </c>
      <c r="N183" s="1">
        <v>2303639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9242544</v>
      </c>
      <c r="W183" s="1">
        <v>1900000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2665965</v>
      </c>
      <c r="AE183" s="1">
        <v>0</v>
      </c>
      <c r="AF183" s="1">
        <v>4550643</v>
      </c>
      <c r="AG183" s="1">
        <v>0</v>
      </c>
      <c r="AH183" s="1">
        <v>0</v>
      </c>
      <c r="AI183" s="1">
        <v>0</v>
      </c>
      <c r="AJ183" s="1">
        <v>2440122</v>
      </c>
      <c r="AK183" s="1">
        <v>0</v>
      </c>
      <c r="AL183" s="1">
        <v>0</v>
      </c>
      <c r="AM183" s="1">
        <v>0</v>
      </c>
      <c r="AN183" s="1">
        <v>0</v>
      </c>
      <c r="AO183" s="1">
        <v>41288081</v>
      </c>
      <c r="AP183" s="1">
        <v>7713297</v>
      </c>
      <c r="AQ183" s="1">
        <v>33574784</v>
      </c>
      <c r="AR183" s="1">
        <v>7347488</v>
      </c>
      <c r="AS183" s="1">
        <v>1102123</v>
      </c>
      <c r="AT183" s="1">
        <f t="shared" si="12"/>
        <v>49737692</v>
      </c>
    </row>
    <row r="184" spans="1:46" x14ac:dyDescent="0.2">
      <c r="A184" s="1" t="str">
        <f>"00214"</f>
        <v>00214</v>
      </c>
      <c r="B184" s="1" t="str">
        <f>"منصور"</f>
        <v>منصور</v>
      </c>
      <c r="C184" s="1" t="str">
        <f>"رشيدزاده"</f>
        <v>رشيدزاده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9128546</v>
      </c>
      <c r="G184" s="1">
        <v>6543680</v>
      </c>
      <c r="H184" s="1">
        <v>0</v>
      </c>
      <c r="I184" s="1">
        <v>6572553</v>
      </c>
      <c r="J184" s="1">
        <v>0</v>
      </c>
      <c r="K184" s="1">
        <v>0</v>
      </c>
      <c r="L184" s="1">
        <v>7628143</v>
      </c>
      <c r="M184" s="1">
        <v>1000000</v>
      </c>
      <c r="N184" s="1">
        <v>4836316</v>
      </c>
      <c r="O184" s="1">
        <v>0</v>
      </c>
      <c r="P184" s="1">
        <v>0</v>
      </c>
      <c r="Q184" s="1">
        <v>0</v>
      </c>
      <c r="R184" s="1">
        <v>46107</v>
      </c>
      <c r="S184" s="1">
        <v>0</v>
      </c>
      <c r="T184" s="1">
        <v>0</v>
      </c>
      <c r="U184" s="1">
        <v>0</v>
      </c>
      <c r="V184" s="1">
        <v>12153268</v>
      </c>
      <c r="W184" s="1">
        <v>1900000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3033762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52842375</v>
      </c>
      <c r="AP184" s="1">
        <v>10462264</v>
      </c>
      <c r="AQ184" s="1">
        <v>42380111</v>
      </c>
      <c r="AR184" s="1">
        <v>9952501</v>
      </c>
      <c r="AS184" s="1">
        <v>1492875</v>
      </c>
      <c r="AT184" s="1">
        <f t="shared" si="12"/>
        <v>64287751</v>
      </c>
    </row>
    <row r="185" spans="1:46" x14ac:dyDescent="0.2">
      <c r="A185" s="1" t="str">
        <f>"00215"</f>
        <v>00215</v>
      </c>
      <c r="B185" s="1" t="str">
        <f>"محمدرضا"</f>
        <v>محمدرضا</v>
      </c>
      <c r="C185" s="1" t="str">
        <f>"خوش دل سنگي"</f>
        <v>خوش دل سنگي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8490241</v>
      </c>
      <c r="G185" s="1">
        <v>5154435</v>
      </c>
      <c r="H185" s="1">
        <v>0</v>
      </c>
      <c r="I185" s="1">
        <v>6197875</v>
      </c>
      <c r="J185" s="1">
        <v>0</v>
      </c>
      <c r="K185" s="1">
        <v>0</v>
      </c>
      <c r="L185" s="1">
        <v>7672721</v>
      </c>
      <c r="M185" s="1">
        <v>1000000</v>
      </c>
      <c r="N185" s="1">
        <v>4468547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9693466</v>
      </c>
      <c r="W185" s="1">
        <v>1900000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4024408</v>
      </c>
      <c r="AE185" s="1">
        <v>0</v>
      </c>
      <c r="AF185" s="1">
        <v>3033762</v>
      </c>
      <c r="AG185" s="1">
        <v>0</v>
      </c>
      <c r="AH185" s="1">
        <v>0</v>
      </c>
      <c r="AI185" s="1">
        <v>0</v>
      </c>
      <c r="AJ185" s="1">
        <v>4948257</v>
      </c>
      <c r="AK185" s="1">
        <v>0</v>
      </c>
      <c r="AL185" s="1">
        <v>0</v>
      </c>
      <c r="AM185" s="1">
        <v>0</v>
      </c>
      <c r="AN185" s="1">
        <v>0</v>
      </c>
      <c r="AO185" s="1">
        <v>56583712</v>
      </c>
      <c r="AP185" s="1">
        <v>6132018</v>
      </c>
      <c r="AQ185" s="1">
        <v>50451694</v>
      </c>
      <c r="AR185" s="1">
        <v>10709990</v>
      </c>
      <c r="AS185" s="1">
        <v>1606499</v>
      </c>
      <c r="AT185" s="1">
        <f t="shared" si="12"/>
        <v>68900201</v>
      </c>
    </row>
    <row r="186" spans="1:46" x14ac:dyDescent="0.2">
      <c r="A186" s="1" t="str">
        <f>"00216"</f>
        <v>00216</v>
      </c>
      <c r="B186" s="1" t="str">
        <f>"مهدي"</f>
        <v>مهدي</v>
      </c>
      <c r="C186" s="1" t="str">
        <f>"حيدري"</f>
        <v>حيدري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7302967</v>
      </c>
      <c r="G186" s="1">
        <v>1796880</v>
      </c>
      <c r="H186" s="1">
        <v>0</v>
      </c>
      <c r="I186" s="1">
        <v>5477226</v>
      </c>
      <c r="J186" s="1">
        <v>0</v>
      </c>
      <c r="K186" s="1">
        <v>0</v>
      </c>
      <c r="L186" s="1">
        <v>7628143</v>
      </c>
      <c r="M186" s="1">
        <v>1000000</v>
      </c>
      <c r="N186" s="1">
        <v>3843667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12125657</v>
      </c>
      <c r="W186" s="1">
        <v>1900000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3637800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3285724</v>
      </c>
      <c r="AK186" s="1">
        <v>0</v>
      </c>
      <c r="AL186" s="1">
        <v>0</v>
      </c>
      <c r="AM186" s="1">
        <v>0</v>
      </c>
      <c r="AN186" s="1">
        <v>0</v>
      </c>
      <c r="AO186" s="1">
        <v>47998064</v>
      </c>
      <c r="AP186" s="1">
        <v>8078514</v>
      </c>
      <c r="AQ186" s="1">
        <v>39919550</v>
      </c>
      <c r="AR186" s="1">
        <v>9599613</v>
      </c>
      <c r="AS186" s="1">
        <v>1439942</v>
      </c>
      <c r="AT186" s="1">
        <f t="shared" si="12"/>
        <v>59037619</v>
      </c>
    </row>
    <row r="187" spans="1:46" x14ac:dyDescent="0.2">
      <c r="A187" s="1" t="str">
        <f>"00217"</f>
        <v>00217</v>
      </c>
      <c r="B187" s="1" t="str">
        <f>"اميد"</f>
        <v>اميد</v>
      </c>
      <c r="C187" s="1" t="str">
        <f>"سلطاني"</f>
        <v>سلطاني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8793242</v>
      </c>
      <c r="G187" s="1">
        <v>2613517</v>
      </c>
      <c r="H187" s="1">
        <v>0</v>
      </c>
      <c r="I187" s="1">
        <v>6506999</v>
      </c>
      <c r="J187" s="1">
        <v>0</v>
      </c>
      <c r="K187" s="1">
        <v>0</v>
      </c>
      <c r="L187" s="1">
        <v>7628143</v>
      </c>
      <c r="M187" s="1">
        <v>1000000</v>
      </c>
      <c r="N187" s="1">
        <v>4628023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13596117</v>
      </c>
      <c r="W187" s="1">
        <v>1900000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4133461</v>
      </c>
      <c r="AE187" s="1">
        <v>0</v>
      </c>
      <c r="AF187" s="1">
        <v>1516881</v>
      </c>
      <c r="AG187" s="1">
        <v>0</v>
      </c>
      <c r="AH187" s="1">
        <v>0</v>
      </c>
      <c r="AI187" s="1">
        <v>0</v>
      </c>
      <c r="AJ187" s="1">
        <v>3717002</v>
      </c>
      <c r="AK187" s="1">
        <v>0</v>
      </c>
      <c r="AL187" s="1">
        <v>0</v>
      </c>
      <c r="AM187" s="1">
        <v>0</v>
      </c>
      <c r="AN187" s="1">
        <v>0</v>
      </c>
      <c r="AO187" s="1">
        <v>56033385</v>
      </c>
      <c r="AP187" s="1">
        <v>11847398</v>
      </c>
      <c r="AQ187" s="1">
        <v>44185987</v>
      </c>
      <c r="AR187" s="1">
        <v>10903301</v>
      </c>
      <c r="AS187" s="1">
        <v>1635495</v>
      </c>
      <c r="AT187" s="1">
        <f t="shared" si="12"/>
        <v>68572181</v>
      </c>
    </row>
    <row r="188" spans="1:46" x14ac:dyDescent="0.2">
      <c r="A188" s="1" t="str">
        <f>"00219"</f>
        <v>00219</v>
      </c>
      <c r="B188" s="1" t="str">
        <f>"علي"</f>
        <v>علي</v>
      </c>
      <c r="C188" s="1" t="str">
        <f>"صالحي"</f>
        <v>صالحي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7525215</v>
      </c>
      <c r="G188" s="1">
        <v>1306779</v>
      </c>
      <c r="H188" s="1">
        <v>0</v>
      </c>
      <c r="I188" s="1">
        <v>5568659</v>
      </c>
      <c r="J188" s="1">
        <v>0</v>
      </c>
      <c r="K188" s="1">
        <v>0</v>
      </c>
      <c r="L188" s="1">
        <v>7628143</v>
      </c>
      <c r="M188" s="1">
        <v>1000000</v>
      </c>
      <c r="N188" s="1">
        <v>3986868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12328971</v>
      </c>
      <c r="W188" s="1">
        <v>1900000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1516881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42761516</v>
      </c>
      <c r="AP188" s="1">
        <v>5538327</v>
      </c>
      <c r="AQ188" s="1">
        <v>37223189</v>
      </c>
      <c r="AR188" s="1">
        <v>8248927</v>
      </c>
      <c r="AS188" s="1">
        <v>1237339</v>
      </c>
      <c r="AT188" s="1">
        <f t="shared" si="12"/>
        <v>52247782</v>
      </c>
    </row>
    <row r="189" spans="1:46" x14ac:dyDescent="0.2">
      <c r="A189" s="1" t="str">
        <f>"00220"</f>
        <v>00220</v>
      </c>
      <c r="B189" s="1" t="str">
        <f>"اصغر"</f>
        <v>اصغر</v>
      </c>
      <c r="C189" s="1" t="str">
        <f>"لاله سنگي"</f>
        <v>لاله سنگي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7568216</v>
      </c>
      <c r="G189" s="1">
        <v>3324063</v>
      </c>
      <c r="H189" s="1">
        <v>0</v>
      </c>
      <c r="I189" s="1">
        <v>5297751</v>
      </c>
      <c r="J189" s="1">
        <v>0</v>
      </c>
      <c r="K189" s="1">
        <v>0</v>
      </c>
      <c r="L189" s="1">
        <v>7628143</v>
      </c>
      <c r="M189" s="1">
        <v>1000000</v>
      </c>
      <c r="N189" s="1">
        <v>4009651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9143892</v>
      </c>
      <c r="W189" s="1">
        <v>1900000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3675564</v>
      </c>
      <c r="AE189" s="1">
        <v>0</v>
      </c>
      <c r="AF189" s="1">
        <v>3033762</v>
      </c>
      <c r="AG189" s="1">
        <v>0</v>
      </c>
      <c r="AH189" s="1">
        <v>0</v>
      </c>
      <c r="AI189" s="1">
        <v>0</v>
      </c>
      <c r="AJ189" s="1">
        <v>3039143</v>
      </c>
      <c r="AK189" s="1">
        <v>0</v>
      </c>
      <c r="AL189" s="1">
        <v>0</v>
      </c>
      <c r="AM189" s="1">
        <v>0</v>
      </c>
      <c r="AN189" s="1">
        <v>0</v>
      </c>
      <c r="AO189" s="1">
        <v>49620185</v>
      </c>
      <c r="AP189" s="1">
        <v>6786177</v>
      </c>
      <c r="AQ189" s="1">
        <v>42834008</v>
      </c>
      <c r="AR189" s="1">
        <v>9317285</v>
      </c>
      <c r="AS189" s="1">
        <v>1397593</v>
      </c>
      <c r="AT189" s="1">
        <f t="shared" si="12"/>
        <v>60335063</v>
      </c>
    </row>
    <row r="190" spans="1:46" x14ac:dyDescent="0.2">
      <c r="A190" s="1" t="str">
        <f>"00221"</f>
        <v>00221</v>
      </c>
      <c r="B190" s="1" t="str">
        <f>"نادر"</f>
        <v>نادر</v>
      </c>
      <c r="C190" s="1" t="str">
        <f>"پنهان گرد"</f>
        <v>پنهان گرد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6245551</v>
      </c>
      <c r="G190" s="1">
        <v>932981</v>
      </c>
      <c r="H190" s="1">
        <v>0</v>
      </c>
      <c r="I190" s="1">
        <v>4746620</v>
      </c>
      <c r="J190" s="1">
        <v>0</v>
      </c>
      <c r="K190" s="1">
        <v>0</v>
      </c>
      <c r="L190" s="1">
        <v>7672721</v>
      </c>
      <c r="M190" s="1">
        <v>1000000</v>
      </c>
      <c r="N190" s="1">
        <v>3287132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11102167</v>
      </c>
      <c r="W190" s="1">
        <v>1900000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3292804</v>
      </c>
      <c r="AE190" s="1">
        <v>0</v>
      </c>
      <c r="AF190" s="1">
        <v>3033762</v>
      </c>
      <c r="AG190" s="1">
        <v>0</v>
      </c>
      <c r="AH190" s="1">
        <v>0</v>
      </c>
      <c r="AI190" s="1">
        <v>0</v>
      </c>
      <c r="AJ190" s="1">
        <v>2985540</v>
      </c>
      <c r="AK190" s="1">
        <v>0</v>
      </c>
      <c r="AL190" s="1">
        <v>0</v>
      </c>
      <c r="AM190" s="1">
        <v>0</v>
      </c>
      <c r="AN190" s="1">
        <v>0</v>
      </c>
      <c r="AO190" s="1">
        <v>46199278</v>
      </c>
      <c r="AP190" s="1">
        <v>8616719</v>
      </c>
      <c r="AQ190" s="1">
        <v>37582559</v>
      </c>
      <c r="AR190" s="1">
        <v>8633103</v>
      </c>
      <c r="AS190" s="1">
        <v>1294965</v>
      </c>
      <c r="AT190" s="1">
        <f t="shared" si="12"/>
        <v>56127346</v>
      </c>
    </row>
    <row r="191" spans="1:46" x14ac:dyDescent="0.2">
      <c r="A191" s="1" t="str">
        <f>"00222"</f>
        <v>00222</v>
      </c>
      <c r="B191" s="1" t="str">
        <f>"كاظم"</f>
        <v>كاظم</v>
      </c>
      <c r="C191" s="1" t="str">
        <f>"رضايي"</f>
        <v>رضايي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8420988</v>
      </c>
      <c r="G191" s="1">
        <v>2013029</v>
      </c>
      <c r="H191" s="1">
        <v>0</v>
      </c>
      <c r="I191" s="1">
        <v>6905210</v>
      </c>
      <c r="J191" s="1">
        <v>0</v>
      </c>
      <c r="K191" s="1">
        <v>0</v>
      </c>
      <c r="L191" s="1">
        <v>7462913</v>
      </c>
      <c r="M191" s="1">
        <v>1000000</v>
      </c>
      <c r="N191" s="1">
        <v>4491194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13473252</v>
      </c>
      <c r="W191" s="1">
        <v>1900000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4092046</v>
      </c>
      <c r="AE191" s="1">
        <v>0</v>
      </c>
      <c r="AF191" s="1">
        <v>3033762</v>
      </c>
      <c r="AG191" s="1">
        <v>0</v>
      </c>
      <c r="AH191" s="1">
        <v>0</v>
      </c>
      <c r="AI191" s="1">
        <v>0</v>
      </c>
      <c r="AJ191" s="1">
        <v>5521450</v>
      </c>
      <c r="AK191" s="1">
        <v>0</v>
      </c>
      <c r="AL191" s="1">
        <v>0</v>
      </c>
      <c r="AM191" s="1">
        <v>0</v>
      </c>
      <c r="AN191" s="1">
        <v>0</v>
      </c>
      <c r="AO191" s="1">
        <v>58313844</v>
      </c>
      <c r="AP191" s="1">
        <v>12151058</v>
      </c>
      <c r="AQ191" s="1">
        <v>46162786</v>
      </c>
      <c r="AR191" s="1">
        <v>11056016</v>
      </c>
      <c r="AS191" s="1">
        <v>1658402</v>
      </c>
      <c r="AT191" s="1">
        <f t="shared" si="12"/>
        <v>71028262</v>
      </c>
    </row>
    <row r="192" spans="1:46" x14ac:dyDescent="0.2">
      <c r="A192" s="1" t="str">
        <f>"00223"</f>
        <v>00223</v>
      </c>
      <c r="B192" s="1" t="str">
        <f>"مهدي"</f>
        <v>مهدي</v>
      </c>
      <c r="C192" s="1" t="str">
        <f>"قرباني"</f>
        <v>قرباني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6455799</v>
      </c>
      <c r="G192" s="1">
        <v>2374884</v>
      </c>
      <c r="H192" s="1">
        <v>0</v>
      </c>
      <c r="I192" s="1">
        <v>4841849</v>
      </c>
      <c r="J192" s="1">
        <v>0</v>
      </c>
      <c r="K192" s="1">
        <v>0</v>
      </c>
      <c r="L192" s="1">
        <v>7672721</v>
      </c>
      <c r="M192" s="1">
        <v>1000000</v>
      </c>
      <c r="N192" s="1">
        <v>3397788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11287346</v>
      </c>
      <c r="W192" s="1">
        <v>1900000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4550643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43481030</v>
      </c>
      <c r="AP192" s="1">
        <v>8929287</v>
      </c>
      <c r="AQ192" s="1">
        <v>34551743</v>
      </c>
      <c r="AR192" s="1">
        <v>7786077</v>
      </c>
      <c r="AS192" s="1">
        <v>1167912</v>
      </c>
      <c r="AT192" s="1">
        <f t="shared" si="12"/>
        <v>52435019</v>
      </c>
    </row>
    <row r="193" spans="1:46" x14ac:dyDescent="0.2">
      <c r="A193" s="1" t="str">
        <f>"00224"</f>
        <v>00224</v>
      </c>
      <c r="B193" s="1" t="str">
        <f>"مهدي"</f>
        <v>مهدي</v>
      </c>
      <c r="C193" s="1" t="str">
        <f>"محمدحسيني"</f>
        <v>محمدحسيني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5441669</v>
      </c>
      <c r="G193" s="1">
        <v>1643730</v>
      </c>
      <c r="H193" s="1">
        <v>0</v>
      </c>
      <c r="I193" s="1">
        <v>3428252</v>
      </c>
      <c r="J193" s="1">
        <v>0</v>
      </c>
      <c r="K193" s="1">
        <v>0</v>
      </c>
      <c r="L193" s="1">
        <v>7672721</v>
      </c>
      <c r="M193" s="1">
        <v>1000000</v>
      </c>
      <c r="N193" s="1">
        <v>2685034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9889832</v>
      </c>
      <c r="W193" s="1">
        <v>1900000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2884151</v>
      </c>
      <c r="AE193" s="1">
        <v>0</v>
      </c>
      <c r="AF193" s="1">
        <v>4550643</v>
      </c>
      <c r="AG193" s="1">
        <v>0</v>
      </c>
      <c r="AH193" s="1">
        <v>0</v>
      </c>
      <c r="AI193" s="1">
        <v>0</v>
      </c>
      <c r="AJ193" s="1">
        <v>3944953</v>
      </c>
      <c r="AK193" s="1">
        <v>0</v>
      </c>
      <c r="AL193" s="1">
        <v>0</v>
      </c>
      <c r="AM193" s="1">
        <v>0</v>
      </c>
      <c r="AN193" s="1">
        <v>0</v>
      </c>
      <c r="AO193" s="1">
        <v>45040985</v>
      </c>
      <c r="AP193" s="1">
        <v>8633953</v>
      </c>
      <c r="AQ193" s="1">
        <v>36407032</v>
      </c>
      <c r="AR193" s="1">
        <v>8098068</v>
      </c>
      <c r="AS193" s="1">
        <v>1214710</v>
      </c>
      <c r="AT193" s="1">
        <f t="shared" si="12"/>
        <v>54353763</v>
      </c>
    </row>
    <row r="194" spans="1:46" x14ac:dyDescent="0.2">
      <c r="A194" s="1" t="str">
        <f>"00225"</f>
        <v>00225</v>
      </c>
      <c r="B194" s="1" t="str">
        <f>"عبدالمجيد"</f>
        <v>عبدالمجيد</v>
      </c>
      <c r="C194" s="1" t="str">
        <f>"ولي زاده"</f>
        <v>ولي زاده</v>
      </c>
      <c r="D194" s="1" t="str">
        <f>"قراردادي بهره بردار"</f>
        <v>قراردادي بهره بردار</v>
      </c>
      <c r="E194" s="1" t="str">
        <f>"پروژه بهره برداري نيروگاه بوشهر"</f>
        <v>پروژه بهره برداري نيروگاه بوشهر</v>
      </c>
      <c r="F194" s="1">
        <v>33539107</v>
      </c>
      <c r="G194" s="1">
        <v>14248034</v>
      </c>
      <c r="H194" s="1">
        <v>0</v>
      </c>
      <c r="I194" s="1">
        <v>37322848</v>
      </c>
      <c r="J194" s="1">
        <v>0</v>
      </c>
      <c r="K194" s="1">
        <v>5500000</v>
      </c>
      <c r="L194" s="1">
        <v>0</v>
      </c>
      <c r="M194" s="1">
        <v>1000000</v>
      </c>
      <c r="N194" s="1">
        <v>5413137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29970890</v>
      </c>
      <c r="W194" s="1">
        <v>1900000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3866527</v>
      </c>
      <c r="AF194" s="1">
        <v>3033762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8661020</v>
      </c>
      <c r="AM194" s="1">
        <v>0</v>
      </c>
      <c r="AN194" s="1">
        <v>0</v>
      </c>
      <c r="AO194" s="1">
        <v>144455325</v>
      </c>
      <c r="AP194" s="1">
        <v>59202155</v>
      </c>
      <c r="AQ194" s="1">
        <v>85253170</v>
      </c>
      <c r="AR194" s="1">
        <v>21944212</v>
      </c>
      <c r="AS194" s="1">
        <v>3291632</v>
      </c>
      <c r="AT194" s="1">
        <f t="shared" si="12"/>
        <v>169691169</v>
      </c>
    </row>
    <row r="195" spans="1:46" x14ac:dyDescent="0.2">
      <c r="A195" s="1" t="str">
        <f>"00226"</f>
        <v>00226</v>
      </c>
      <c r="B195" s="1" t="str">
        <f>"عليرضا"</f>
        <v>عليرضا</v>
      </c>
      <c r="C195" s="1" t="str">
        <f>"هوشنگي"</f>
        <v>هوشنگي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7364804</v>
      </c>
      <c r="G195" s="1">
        <v>3704671</v>
      </c>
      <c r="H195" s="1">
        <v>0</v>
      </c>
      <c r="I195" s="1">
        <v>5008067</v>
      </c>
      <c r="J195" s="1">
        <v>0</v>
      </c>
      <c r="K195" s="1">
        <v>0</v>
      </c>
      <c r="L195" s="1">
        <v>7628143</v>
      </c>
      <c r="M195" s="1">
        <v>1000000</v>
      </c>
      <c r="N195" s="1">
        <v>3876213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8935569</v>
      </c>
      <c r="W195" s="1">
        <v>1900000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3581584</v>
      </c>
      <c r="AE195" s="1">
        <v>0</v>
      </c>
      <c r="AF195" s="1">
        <v>1516881</v>
      </c>
      <c r="AG195" s="1">
        <v>0</v>
      </c>
      <c r="AH195" s="1">
        <v>0</v>
      </c>
      <c r="AI195" s="1">
        <v>0</v>
      </c>
      <c r="AJ195" s="1">
        <v>4445605</v>
      </c>
      <c r="AK195" s="1">
        <v>0</v>
      </c>
      <c r="AL195" s="1">
        <v>0</v>
      </c>
      <c r="AM195" s="1">
        <v>0</v>
      </c>
      <c r="AN195" s="1">
        <v>0</v>
      </c>
      <c r="AO195" s="1">
        <v>48961537</v>
      </c>
      <c r="AP195" s="1">
        <v>6160130</v>
      </c>
      <c r="AQ195" s="1">
        <v>42801407</v>
      </c>
      <c r="AR195" s="1">
        <v>9488931</v>
      </c>
      <c r="AS195" s="1">
        <v>1423340</v>
      </c>
      <c r="AT195" s="1">
        <f t="shared" ref="AT195:AT258" si="17">AO195+AR195+AS195</f>
        <v>59873808</v>
      </c>
    </row>
    <row r="196" spans="1:46" x14ac:dyDescent="0.2">
      <c r="A196" s="1" t="str">
        <f>"00227"</f>
        <v>00227</v>
      </c>
      <c r="B196" s="1" t="str">
        <f>"غلامحسين"</f>
        <v>غلامحسين</v>
      </c>
      <c r="C196" s="1" t="str">
        <f>"سليماني"</f>
        <v>سليماني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5750854</v>
      </c>
      <c r="G196" s="1">
        <v>5228286</v>
      </c>
      <c r="H196" s="1">
        <v>0</v>
      </c>
      <c r="I196" s="1">
        <v>4888227</v>
      </c>
      <c r="J196" s="1">
        <v>0</v>
      </c>
      <c r="K196" s="1">
        <v>0</v>
      </c>
      <c r="L196" s="1">
        <v>7672721</v>
      </c>
      <c r="M196" s="1">
        <v>1000000</v>
      </c>
      <c r="N196" s="1">
        <v>2837591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5312133</v>
      </c>
      <c r="W196" s="1">
        <v>1900000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1516881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36106693</v>
      </c>
      <c r="AP196" s="1">
        <v>8469964</v>
      </c>
      <c r="AQ196" s="1">
        <v>27636729</v>
      </c>
      <c r="AR196" s="1">
        <v>6917962</v>
      </c>
      <c r="AS196" s="1">
        <v>1037694</v>
      </c>
      <c r="AT196" s="1">
        <f t="shared" si="17"/>
        <v>44062349</v>
      </c>
    </row>
    <row r="197" spans="1:46" x14ac:dyDescent="0.2">
      <c r="A197" s="1" t="str">
        <f>"00228"</f>
        <v>00228</v>
      </c>
      <c r="B197" s="1" t="str">
        <f>"محمود"</f>
        <v>محمود</v>
      </c>
      <c r="C197" s="1" t="str">
        <f>"شوركي"</f>
        <v>شوركي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9570844</v>
      </c>
      <c r="G197" s="1">
        <v>30675381</v>
      </c>
      <c r="H197" s="1">
        <v>0</v>
      </c>
      <c r="I197" s="1">
        <v>7082425</v>
      </c>
      <c r="J197" s="1">
        <v>0</v>
      </c>
      <c r="K197" s="1">
        <v>0</v>
      </c>
      <c r="L197" s="1">
        <v>7628143</v>
      </c>
      <c r="M197" s="1">
        <v>1000000</v>
      </c>
      <c r="N197" s="1">
        <v>5070647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6874104</v>
      </c>
      <c r="W197" s="1">
        <v>1900000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3033762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72835306</v>
      </c>
      <c r="AP197" s="1">
        <v>15475227</v>
      </c>
      <c r="AQ197" s="1">
        <v>57360079</v>
      </c>
      <c r="AR197" s="1">
        <v>13960309</v>
      </c>
      <c r="AS197" s="1">
        <v>2094046</v>
      </c>
      <c r="AT197" s="1">
        <f t="shared" si="17"/>
        <v>88889661</v>
      </c>
    </row>
    <row r="198" spans="1:46" x14ac:dyDescent="0.2">
      <c r="A198" s="1" t="str">
        <f>"00229"</f>
        <v>00229</v>
      </c>
      <c r="B198" s="1" t="str">
        <f>"حسين"</f>
        <v>حسين</v>
      </c>
      <c r="C198" s="1" t="str">
        <f>"پردل"</f>
        <v>پردل</v>
      </c>
      <c r="D198" s="1" t="str">
        <f>"قراردادي کارگري"</f>
        <v>قراردادي کارگري</v>
      </c>
      <c r="E198" s="1" t="str">
        <f>"پروژه تعميرات نيروگاه بوشهر"</f>
        <v>پروژه تعميرات نيروگاه بوشهر</v>
      </c>
      <c r="F198" s="1">
        <v>7333886</v>
      </c>
      <c r="G198" s="1">
        <v>15803072</v>
      </c>
      <c r="H198" s="1">
        <v>0</v>
      </c>
      <c r="I198" s="1">
        <v>7113869</v>
      </c>
      <c r="J198" s="1">
        <v>0</v>
      </c>
      <c r="K198" s="1">
        <v>0</v>
      </c>
      <c r="L198" s="1">
        <v>7672721</v>
      </c>
      <c r="M198" s="1">
        <v>1000000</v>
      </c>
      <c r="N198" s="1">
        <v>3859938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6012745</v>
      </c>
      <c r="W198" s="1">
        <v>1900000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3033762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53729993</v>
      </c>
      <c r="AP198" s="1">
        <v>16837330</v>
      </c>
      <c r="AQ198" s="1">
        <v>36892663</v>
      </c>
      <c r="AR198" s="1">
        <v>10139246</v>
      </c>
      <c r="AS198" s="1">
        <v>1520887</v>
      </c>
      <c r="AT198" s="1">
        <f t="shared" si="17"/>
        <v>65390126</v>
      </c>
    </row>
    <row r="199" spans="1:46" x14ac:dyDescent="0.2">
      <c r="A199" s="1" t="str">
        <f>"00230"</f>
        <v>00230</v>
      </c>
      <c r="B199" s="1" t="str">
        <f>"عباس"</f>
        <v>عباس</v>
      </c>
      <c r="C199" s="1" t="str">
        <f>"شيركاني"</f>
        <v>شيركاني</v>
      </c>
      <c r="D199" s="1" t="str">
        <f>"قراردادي بهره بردار"</f>
        <v>قراردادي بهره بردار</v>
      </c>
      <c r="E199" s="1" t="str">
        <f>"پروژه بهره برداري نيروگاه بوشهر"</f>
        <v>پروژه بهره برداري نيروگاه بوشهر</v>
      </c>
      <c r="F199" s="1">
        <v>12968747</v>
      </c>
      <c r="G199" s="1">
        <v>2832013</v>
      </c>
      <c r="H199" s="1">
        <v>0</v>
      </c>
      <c r="I199" s="1">
        <v>9069599</v>
      </c>
      <c r="J199" s="1">
        <v>0</v>
      </c>
      <c r="K199" s="1">
        <v>4620000</v>
      </c>
      <c r="L199" s="1">
        <v>0</v>
      </c>
      <c r="M199" s="1">
        <v>1000000</v>
      </c>
      <c r="N199" s="1">
        <v>2016509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1606000</v>
      </c>
      <c r="U199" s="1">
        <v>0</v>
      </c>
      <c r="V199" s="1">
        <v>15449379</v>
      </c>
      <c r="W199" s="1">
        <v>1900000</v>
      </c>
      <c r="X199" s="1">
        <v>1882560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1440363</v>
      </c>
      <c r="AF199" s="1">
        <v>3033762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9222488</v>
      </c>
      <c r="AM199" s="1">
        <v>0</v>
      </c>
      <c r="AN199" s="1">
        <v>0</v>
      </c>
      <c r="AO199" s="1">
        <v>67041420</v>
      </c>
      <c r="AP199" s="1">
        <v>23699394</v>
      </c>
      <c r="AQ199" s="1">
        <v>43342026</v>
      </c>
      <c r="AR199" s="1">
        <v>12480332</v>
      </c>
      <c r="AS199" s="1">
        <v>1872050</v>
      </c>
      <c r="AT199" s="1">
        <f t="shared" si="17"/>
        <v>81393802</v>
      </c>
    </row>
    <row r="200" spans="1:46" x14ac:dyDescent="0.2">
      <c r="A200" s="1" t="str">
        <f>"00231"</f>
        <v>00231</v>
      </c>
      <c r="B200" s="1" t="str">
        <f>"شاهرخ"</f>
        <v>شاهرخ</v>
      </c>
      <c r="C200" s="1" t="str">
        <f>"چمن کار"</f>
        <v>چمن کار</v>
      </c>
      <c r="D200" s="1" t="str">
        <f t="shared" ref="D200:D210" si="18">"قراردادي کارگري"</f>
        <v>قراردادي کارگري</v>
      </c>
      <c r="E200" s="1" t="str">
        <f t="shared" ref="E200:E210" si="19">"پروژه تعميرات نيروگاه بوشهر"</f>
        <v>پروژه تعميرات نيروگاه بوشهر</v>
      </c>
      <c r="F200" s="1">
        <v>10531043</v>
      </c>
      <c r="G200" s="1">
        <v>11318118</v>
      </c>
      <c r="H200" s="1">
        <v>0</v>
      </c>
      <c r="I200" s="1">
        <v>11900079</v>
      </c>
      <c r="J200" s="1">
        <v>0</v>
      </c>
      <c r="K200" s="1">
        <v>0</v>
      </c>
      <c r="L200" s="1">
        <v>7462913</v>
      </c>
      <c r="M200" s="1">
        <v>1000000</v>
      </c>
      <c r="N200" s="1">
        <v>5332173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13378007</v>
      </c>
      <c r="W200" s="1">
        <v>1900000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1516881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64339214</v>
      </c>
      <c r="AP200" s="1">
        <v>9008474</v>
      </c>
      <c r="AQ200" s="1">
        <v>55330740</v>
      </c>
      <c r="AR200" s="1">
        <v>12564467</v>
      </c>
      <c r="AS200" s="1">
        <v>1884670</v>
      </c>
      <c r="AT200" s="1">
        <f t="shared" si="17"/>
        <v>78788351</v>
      </c>
    </row>
    <row r="201" spans="1:46" x14ac:dyDescent="0.2">
      <c r="A201" s="1" t="str">
        <f>"00232"</f>
        <v>00232</v>
      </c>
      <c r="B201" s="1" t="str">
        <f>"مهدي"</f>
        <v>مهدي</v>
      </c>
      <c r="C201" s="1" t="str">
        <f>"خليلي نيا"</f>
        <v>خليلي نيا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7549787</v>
      </c>
      <c r="G201" s="1">
        <v>2095396</v>
      </c>
      <c r="H201" s="1">
        <v>0</v>
      </c>
      <c r="I201" s="1">
        <v>5586842</v>
      </c>
      <c r="J201" s="1">
        <v>0</v>
      </c>
      <c r="K201" s="1">
        <v>0</v>
      </c>
      <c r="L201" s="1">
        <v>7628143</v>
      </c>
      <c r="M201" s="1">
        <v>1000000</v>
      </c>
      <c r="N201" s="1">
        <v>3999887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12353790</v>
      </c>
      <c r="W201" s="1">
        <v>1900000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3714699</v>
      </c>
      <c r="AE201" s="1">
        <v>0</v>
      </c>
      <c r="AF201" s="1">
        <v>3033762</v>
      </c>
      <c r="AG201" s="1">
        <v>0</v>
      </c>
      <c r="AH201" s="1">
        <v>0</v>
      </c>
      <c r="AI201" s="1">
        <v>0</v>
      </c>
      <c r="AJ201" s="1">
        <v>3352634</v>
      </c>
      <c r="AK201" s="1">
        <v>0</v>
      </c>
      <c r="AL201" s="1">
        <v>0</v>
      </c>
      <c r="AM201" s="1">
        <v>0</v>
      </c>
      <c r="AN201" s="1">
        <v>0</v>
      </c>
      <c r="AO201" s="1">
        <v>52214940</v>
      </c>
      <c r="AP201" s="1">
        <v>9761147</v>
      </c>
      <c r="AQ201" s="1">
        <v>42453793</v>
      </c>
      <c r="AR201" s="1">
        <v>9836236</v>
      </c>
      <c r="AS201" s="1">
        <v>1475435</v>
      </c>
      <c r="AT201" s="1">
        <f t="shared" si="17"/>
        <v>63526611</v>
      </c>
    </row>
    <row r="202" spans="1:46" x14ac:dyDescent="0.2">
      <c r="A202" s="1" t="str">
        <f>"00233"</f>
        <v>00233</v>
      </c>
      <c r="B202" s="1" t="str">
        <f>"عباس"</f>
        <v>عباس</v>
      </c>
      <c r="C202" s="1" t="str">
        <f>"نيكروان"</f>
        <v>نيكروان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7543643</v>
      </c>
      <c r="G202" s="1">
        <v>2088105</v>
      </c>
      <c r="H202" s="1">
        <v>0</v>
      </c>
      <c r="I202" s="1">
        <v>5506860</v>
      </c>
      <c r="J202" s="1">
        <v>0</v>
      </c>
      <c r="K202" s="1">
        <v>0</v>
      </c>
      <c r="L202" s="1">
        <v>7628143</v>
      </c>
      <c r="M202" s="1">
        <v>1000000</v>
      </c>
      <c r="N202" s="1">
        <v>3996633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12314016</v>
      </c>
      <c r="W202" s="1">
        <v>1900000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3701292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3340969</v>
      </c>
      <c r="AK202" s="1">
        <v>0</v>
      </c>
      <c r="AL202" s="1">
        <v>0</v>
      </c>
      <c r="AM202" s="1">
        <v>0</v>
      </c>
      <c r="AN202" s="1">
        <v>0</v>
      </c>
      <c r="AO202" s="1">
        <v>49019661</v>
      </c>
      <c r="AP202" s="1">
        <v>7085968</v>
      </c>
      <c r="AQ202" s="1">
        <v>41933693</v>
      </c>
      <c r="AR202" s="1">
        <v>9803932</v>
      </c>
      <c r="AS202" s="1">
        <v>1470590</v>
      </c>
      <c r="AT202" s="1">
        <f t="shared" si="17"/>
        <v>60294183</v>
      </c>
    </row>
    <row r="203" spans="1:46" x14ac:dyDescent="0.2">
      <c r="A203" s="1" t="str">
        <f>"00234"</f>
        <v>00234</v>
      </c>
      <c r="B203" s="1" t="str">
        <f>"حسن"</f>
        <v>حسن</v>
      </c>
      <c r="C203" s="1" t="str">
        <f>"فقيه"</f>
        <v>فقيه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7414274</v>
      </c>
      <c r="G203" s="1">
        <v>2062150</v>
      </c>
      <c r="H203" s="1">
        <v>0</v>
      </c>
      <c r="I203" s="1">
        <v>5412420</v>
      </c>
      <c r="J203" s="1">
        <v>0</v>
      </c>
      <c r="K203" s="1">
        <v>0</v>
      </c>
      <c r="L203" s="1">
        <v>7628143</v>
      </c>
      <c r="M203" s="1">
        <v>1000000</v>
      </c>
      <c r="N203" s="1">
        <v>3902249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12172420</v>
      </c>
      <c r="W203" s="1">
        <v>1900000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4550643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46042299</v>
      </c>
      <c r="AP203" s="1">
        <v>7937394</v>
      </c>
      <c r="AQ203" s="1">
        <v>38104905</v>
      </c>
      <c r="AR203" s="1">
        <v>8298331</v>
      </c>
      <c r="AS203" s="1">
        <v>1244750</v>
      </c>
      <c r="AT203" s="1">
        <f t="shared" si="17"/>
        <v>55585380</v>
      </c>
    </row>
    <row r="204" spans="1:46" x14ac:dyDescent="0.2">
      <c r="A204" s="1" t="str">
        <f>"00235"</f>
        <v>00235</v>
      </c>
      <c r="B204" s="1" t="str">
        <f>"حسين"</f>
        <v>حسين</v>
      </c>
      <c r="C204" s="1" t="str">
        <f>"خليلي"</f>
        <v>خليلي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9158081</v>
      </c>
      <c r="G204" s="1">
        <v>2697800</v>
      </c>
      <c r="H204" s="1">
        <v>0</v>
      </c>
      <c r="I204" s="1">
        <v>6868562</v>
      </c>
      <c r="J204" s="1">
        <v>0</v>
      </c>
      <c r="K204" s="1">
        <v>0</v>
      </c>
      <c r="L204" s="1">
        <v>7628143</v>
      </c>
      <c r="M204" s="1">
        <v>1000000</v>
      </c>
      <c r="N204" s="1">
        <v>4820043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14004815</v>
      </c>
      <c r="W204" s="1">
        <v>1900000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4271224</v>
      </c>
      <c r="AE204" s="1">
        <v>0</v>
      </c>
      <c r="AF204" s="1">
        <v>3033762</v>
      </c>
      <c r="AG204" s="1">
        <v>0</v>
      </c>
      <c r="AH204" s="1">
        <v>0</v>
      </c>
      <c r="AI204" s="1">
        <v>0</v>
      </c>
      <c r="AJ204" s="1">
        <v>5755307</v>
      </c>
      <c r="AK204" s="1">
        <v>0</v>
      </c>
      <c r="AL204" s="1">
        <v>0</v>
      </c>
      <c r="AM204" s="1">
        <v>0</v>
      </c>
      <c r="AN204" s="1">
        <v>0</v>
      </c>
      <c r="AO204" s="1">
        <v>61137737</v>
      </c>
      <c r="AP204" s="1">
        <v>13178238</v>
      </c>
      <c r="AQ204" s="1">
        <v>47959499</v>
      </c>
      <c r="AR204" s="1">
        <v>11620795</v>
      </c>
      <c r="AS204" s="1">
        <v>1743119</v>
      </c>
      <c r="AT204" s="1">
        <f t="shared" si="17"/>
        <v>74501651</v>
      </c>
    </row>
    <row r="205" spans="1:46" x14ac:dyDescent="0.2">
      <c r="A205" s="1" t="str">
        <f>"00236"</f>
        <v>00236</v>
      </c>
      <c r="B205" s="1" t="str">
        <f>"مهدي"</f>
        <v>مهدي</v>
      </c>
      <c r="C205" s="1" t="str">
        <f>"افتخار"</f>
        <v>افتخار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8508100</v>
      </c>
      <c r="G205" s="1">
        <v>2830477</v>
      </c>
      <c r="H205" s="1">
        <v>0</v>
      </c>
      <c r="I205" s="1">
        <v>6295994</v>
      </c>
      <c r="J205" s="1">
        <v>0</v>
      </c>
      <c r="K205" s="1">
        <v>0</v>
      </c>
      <c r="L205" s="1">
        <v>7628143</v>
      </c>
      <c r="M205" s="1">
        <v>1000000</v>
      </c>
      <c r="N205" s="1">
        <v>4507602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13172062</v>
      </c>
      <c r="W205" s="1">
        <v>1900000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4040976</v>
      </c>
      <c r="AE205" s="1">
        <v>0</v>
      </c>
      <c r="AF205" s="1">
        <v>3033762</v>
      </c>
      <c r="AG205" s="1">
        <v>0</v>
      </c>
      <c r="AH205" s="1">
        <v>0</v>
      </c>
      <c r="AI205" s="1">
        <v>0</v>
      </c>
      <c r="AJ205" s="1">
        <v>5434516</v>
      </c>
      <c r="AK205" s="1">
        <v>0</v>
      </c>
      <c r="AL205" s="1">
        <v>0</v>
      </c>
      <c r="AM205" s="1">
        <v>0</v>
      </c>
      <c r="AN205" s="1">
        <v>0</v>
      </c>
      <c r="AO205" s="1">
        <v>58351632</v>
      </c>
      <c r="AP205" s="1">
        <v>12894593</v>
      </c>
      <c r="AQ205" s="1">
        <v>45457039</v>
      </c>
      <c r="AR205" s="1">
        <v>11063574</v>
      </c>
      <c r="AS205" s="1">
        <v>1659536</v>
      </c>
      <c r="AT205" s="1">
        <f t="shared" si="17"/>
        <v>71074742</v>
      </c>
    </row>
    <row r="206" spans="1:46" x14ac:dyDescent="0.2">
      <c r="A206" s="1" t="str">
        <f>"00237"</f>
        <v>00237</v>
      </c>
      <c r="B206" s="1" t="str">
        <f>"عارف"</f>
        <v>عارف</v>
      </c>
      <c r="C206" s="1" t="str">
        <f>"حسن احمدي"</f>
        <v>حسن احمدي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7086537</v>
      </c>
      <c r="G206" s="1">
        <v>2239050</v>
      </c>
      <c r="H206" s="1">
        <v>0</v>
      </c>
      <c r="I206" s="1">
        <v>5031442</v>
      </c>
      <c r="J206" s="1">
        <v>0</v>
      </c>
      <c r="K206" s="1">
        <v>0</v>
      </c>
      <c r="L206" s="1">
        <v>7628143</v>
      </c>
      <c r="M206" s="1">
        <v>1000000</v>
      </c>
      <c r="N206" s="1">
        <v>3729755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11780282</v>
      </c>
      <c r="W206" s="1">
        <v>1900000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3521381</v>
      </c>
      <c r="AE206" s="1">
        <v>0</v>
      </c>
      <c r="AF206" s="1">
        <v>3033762</v>
      </c>
      <c r="AG206" s="1">
        <v>0</v>
      </c>
      <c r="AH206" s="1">
        <v>0</v>
      </c>
      <c r="AI206" s="1">
        <v>0</v>
      </c>
      <c r="AJ206" s="1">
        <v>3184427</v>
      </c>
      <c r="AK206" s="1">
        <v>0</v>
      </c>
      <c r="AL206" s="1">
        <v>0</v>
      </c>
      <c r="AM206" s="1">
        <v>0</v>
      </c>
      <c r="AN206" s="1">
        <v>0</v>
      </c>
      <c r="AO206" s="1">
        <v>50134779</v>
      </c>
      <c r="AP206" s="1">
        <v>8459005</v>
      </c>
      <c r="AQ206" s="1">
        <v>41675774</v>
      </c>
      <c r="AR206" s="1">
        <v>9420203</v>
      </c>
      <c r="AS206" s="1">
        <v>1413031</v>
      </c>
      <c r="AT206" s="1">
        <f t="shared" si="17"/>
        <v>60968013</v>
      </c>
    </row>
    <row r="207" spans="1:46" x14ac:dyDescent="0.2">
      <c r="A207" s="1" t="str">
        <f>"00238"</f>
        <v>00238</v>
      </c>
      <c r="B207" s="1" t="str">
        <f>"محمد"</f>
        <v>محمد</v>
      </c>
      <c r="C207" s="1" t="str">
        <f>"حيدري"</f>
        <v>حيدري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7129823</v>
      </c>
      <c r="G207" s="1">
        <v>1758571</v>
      </c>
      <c r="H207" s="1">
        <v>0</v>
      </c>
      <c r="I207" s="1">
        <v>5204771</v>
      </c>
      <c r="J207" s="1">
        <v>0</v>
      </c>
      <c r="K207" s="1">
        <v>0</v>
      </c>
      <c r="L207" s="1">
        <v>7628143</v>
      </c>
      <c r="M207" s="1">
        <v>1000000</v>
      </c>
      <c r="N207" s="1">
        <v>3752538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11886815</v>
      </c>
      <c r="W207" s="1">
        <v>1900000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3557291</v>
      </c>
      <c r="AE207" s="1">
        <v>0</v>
      </c>
      <c r="AF207" s="1">
        <v>3033762</v>
      </c>
      <c r="AG207" s="1">
        <v>0</v>
      </c>
      <c r="AH207" s="1">
        <v>0</v>
      </c>
      <c r="AI207" s="1">
        <v>0</v>
      </c>
      <c r="AJ207" s="1">
        <v>4823509</v>
      </c>
      <c r="AK207" s="1">
        <v>0</v>
      </c>
      <c r="AL207" s="1">
        <v>0</v>
      </c>
      <c r="AM207" s="1">
        <v>0</v>
      </c>
      <c r="AN207" s="1">
        <v>0</v>
      </c>
      <c r="AO207" s="1">
        <v>51675223</v>
      </c>
      <c r="AP207" s="1">
        <v>7910898</v>
      </c>
      <c r="AQ207" s="1">
        <v>43764325</v>
      </c>
      <c r="AR207" s="1">
        <v>9728292</v>
      </c>
      <c r="AS207" s="1">
        <v>1459244</v>
      </c>
      <c r="AT207" s="1">
        <f t="shared" si="17"/>
        <v>62862759</v>
      </c>
    </row>
    <row r="208" spans="1:46" x14ac:dyDescent="0.2">
      <c r="A208" s="1" t="str">
        <f>"00239"</f>
        <v>00239</v>
      </c>
      <c r="B208" s="1" t="str">
        <f>"حيدر"</f>
        <v>حيدر</v>
      </c>
      <c r="C208" s="1" t="str">
        <f>"توكلي"</f>
        <v>توكلي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9245263</v>
      </c>
      <c r="G208" s="1">
        <v>2508487</v>
      </c>
      <c r="H208" s="1">
        <v>0</v>
      </c>
      <c r="I208" s="1">
        <v>7303758</v>
      </c>
      <c r="J208" s="1">
        <v>0</v>
      </c>
      <c r="K208" s="1">
        <v>0</v>
      </c>
      <c r="L208" s="1">
        <v>7628143</v>
      </c>
      <c r="M208" s="1">
        <v>1000000</v>
      </c>
      <c r="N208" s="1">
        <v>4898152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10423395</v>
      </c>
      <c r="W208" s="1">
        <v>1900000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4550643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49457841</v>
      </c>
      <c r="AP208" s="1">
        <v>7779211</v>
      </c>
      <c r="AQ208" s="1">
        <v>41678630</v>
      </c>
      <c r="AR208" s="1">
        <v>8981440</v>
      </c>
      <c r="AS208" s="1">
        <v>1347216</v>
      </c>
      <c r="AT208" s="1">
        <f t="shared" si="17"/>
        <v>59786497</v>
      </c>
    </row>
    <row r="209" spans="1:46" x14ac:dyDescent="0.2">
      <c r="A209" s="1" t="str">
        <f>"00240"</f>
        <v>00240</v>
      </c>
      <c r="B209" s="1" t="str">
        <f>"عبدالنبي"</f>
        <v>عبدالنبي</v>
      </c>
      <c r="C209" s="1" t="str">
        <f>"بحريني"</f>
        <v>بحريني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8527343</v>
      </c>
      <c r="G209" s="1">
        <v>5700645</v>
      </c>
      <c r="H209" s="1">
        <v>0</v>
      </c>
      <c r="I209" s="1">
        <v>6736601</v>
      </c>
      <c r="J209" s="1">
        <v>0</v>
      </c>
      <c r="K209" s="1">
        <v>0</v>
      </c>
      <c r="L209" s="1">
        <v>7628143</v>
      </c>
      <c r="M209" s="1">
        <v>1000000</v>
      </c>
      <c r="N209" s="1">
        <v>4488075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9340875</v>
      </c>
      <c r="W209" s="1">
        <v>1900000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3033762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48355444</v>
      </c>
      <c r="AP209" s="1">
        <v>23273588</v>
      </c>
      <c r="AQ209" s="1">
        <v>25081856</v>
      </c>
      <c r="AR209" s="1">
        <v>9064336</v>
      </c>
      <c r="AS209" s="1">
        <v>1359650</v>
      </c>
      <c r="AT209" s="1">
        <f t="shared" si="17"/>
        <v>58779430</v>
      </c>
    </row>
    <row r="210" spans="1:46" x14ac:dyDescent="0.2">
      <c r="A210" s="1" t="str">
        <f>"00241"</f>
        <v>00241</v>
      </c>
      <c r="B210" s="1" t="str">
        <f>"سجاد"</f>
        <v>سجاد</v>
      </c>
      <c r="C210" s="1" t="str">
        <f>"مقدم پور"</f>
        <v>مقدم پور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10138735</v>
      </c>
      <c r="G210" s="1">
        <v>1698546</v>
      </c>
      <c r="H210" s="1">
        <v>0</v>
      </c>
      <c r="I210" s="1">
        <v>8212375</v>
      </c>
      <c r="J210" s="1">
        <v>0</v>
      </c>
      <c r="K210" s="1">
        <v>0</v>
      </c>
      <c r="L210" s="1">
        <v>7462913</v>
      </c>
      <c r="M210" s="1">
        <v>1000000</v>
      </c>
      <c r="N210" s="1">
        <v>5407326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8896684</v>
      </c>
      <c r="W210" s="1">
        <v>1900000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1516881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46233460</v>
      </c>
      <c r="AP210" s="1">
        <v>6104255</v>
      </c>
      <c r="AQ210" s="1">
        <v>40129205</v>
      </c>
      <c r="AR210" s="1">
        <v>8943316</v>
      </c>
      <c r="AS210" s="1">
        <v>1341497</v>
      </c>
      <c r="AT210" s="1">
        <f t="shared" si="17"/>
        <v>56518273</v>
      </c>
    </row>
    <row r="211" spans="1:46" x14ac:dyDescent="0.2">
      <c r="A211" s="1" t="str">
        <f>"00242"</f>
        <v>00242</v>
      </c>
      <c r="B211" s="1" t="str">
        <f>"مجاهد"</f>
        <v>مجاهد</v>
      </c>
      <c r="C211" s="1" t="str">
        <f>"نصاري"</f>
        <v>نصاري</v>
      </c>
      <c r="D211" s="1" t="str">
        <f>"قراردادي بهره بردار"</f>
        <v>قراردادي بهره بردار</v>
      </c>
      <c r="E211" s="1" t="str">
        <f>"پروژه بهره برداري نيروگاه بوشهر"</f>
        <v>پروژه بهره برداري نيروگاه بوشهر</v>
      </c>
      <c r="F211" s="1">
        <v>15301807</v>
      </c>
      <c r="G211" s="1">
        <v>7521564</v>
      </c>
      <c r="H211" s="1">
        <v>0</v>
      </c>
      <c r="I211" s="1">
        <v>12003942</v>
      </c>
      <c r="J211" s="1">
        <v>0</v>
      </c>
      <c r="K211" s="1">
        <v>0</v>
      </c>
      <c r="L211" s="1">
        <v>0</v>
      </c>
      <c r="M211" s="1">
        <v>1000000</v>
      </c>
      <c r="N211" s="1">
        <v>2833080</v>
      </c>
      <c r="O211" s="1">
        <v>0</v>
      </c>
      <c r="P211" s="1">
        <v>0</v>
      </c>
      <c r="Q211" s="1">
        <v>0</v>
      </c>
      <c r="R211" s="1">
        <v>319051</v>
      </c>
      <c r="S211" s="1">
        <v>0</v>
      </c>
      <c r="T211" s="1">
        <v>0</v>
      </c>
      <c r="U211" s="1">
        <v>0</v>
      </c>
      <c r="V211" s="1">
        <v>12562237</v>
      </c>
      <c r="W211" s="1">
        <v>1900000</v>
      </c>
      <c r="X211" s="1">
        <v>0</v>
      </c>
      <c r="Y211" s="1">
        <v>32562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2023628</v>
      </c>
      <c r="AF211" s="1">
        <v>3033762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8360898</v>
      </c>
      <c r="AM211" s="1">
        <v>0</v>
      </c>
      <c r="AN211" s="1">
        <v>0</v>
      </c>
      <c r="AO211" s="1">
        <v>66892531</v>
      </c>
      <c r="AP211" s="1">
        <v>40546982</v>
      </c>
      <c r="AQ211" s="1">
        <v>26345549</v>
      </c>
      <c r="AR211" s="1">
        <v>12707943</v>
      </c>
      <c r="AS211" s="1">
        <v>1906190</v>
      </c>
      <c r="AT211" s="1">
        <f t="shared" si="17"/>
        <v>81506664</v>
      </c>
    </row>
    <row r="212" spans="1:46" x14ac:dyDescent="0.2">
      <c r="A212" s="1" t="str">
        <f>"00243"</f>
        <v>00243</v>
      </c>
      <c r="B212" s="1" t="str">
        <f>"هادي"</f>
        <v>هادي</v>
      </c>
      <c r="C212" s="1" t="str">
        <f>"آذرباد"</f>
        <v>آذرباد</v>
      </c>
      <c r="D212" s="1" t="str">
        <f>"قراردادي کارگري"</f>
        <v>قراردادي کارگري</v>
      </c>
      <c r="E212" s="1" t="str">
        <f>"پروژه تعميرات نيروگاه بوشهر"</f>
        <v>پروژه تعميرات نيروگاه بوشهر</v>
      </c>
      <c r="F212" s="1">
        <v>11903451</v>
      </c>
      <c r="G212" s="1">
        <v>8825002</v>
      </c>
      <c r="H212" s="1">
        <v>0</v>
      </c>
      <c r="I212" s="1">
        <v>9998899</v>
      </c>
      <c r="J212" s="1">
        <v>0</v>
      </c>
      <c r="K212" s="1">
        <v>0</v>
      </c>
      <c r="L212" s="1">
        <v>7462913</v>
      </c>
      <c r="M212" s="1">
        <v>1000000</v>
      </c>
      <c r="N212" s="1">
        <v>6348509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12387340</v>
      </c>
      <c r="W212" s="1">
        <v>1900000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1516881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61342995</v>
      </c>
      <c r="AP212" s="1">
        <v>14229891</v>
      </c>
      <c r="AQ212" s="1">
        <v>47113104</v>
      </c>
      <c r="AR212" s="1">
        <v>11965223</v>
      </c>
      <c r="AS212" s="1">
        <v>1794783</v>
      </c>
      <c r="AT212" s="1">
        <f t="shared" si="17"/>
        <v>75103001</v>
      </c>
    </row>
    <row r="213" spans="1:46" x14ac:dyDescent="0.2">
      <c r="A213" s="1" t="str">
        <f>"00244"</f>
        <v>00244</v>
      </c>
      <c r="B213" s="1" t="str">
        <f>"فريدون"</f>
        <v>فريدون</v>
      </c>
      <c r="C213" s="1" t="str">
        <f>"بناءزاده"</f>
        <v>بناءزاده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30044993</v>
      </c>
      <c r="G213" s="1">
        <v>7727131</v>
      </c>
      <c r="H213" s="1">
        <v>0</v>
      </c>
      <c r="I213" s="1">
        <v>30283443</v>
      </c>
      <c r="J213" s="1">
        <v>0</v>
      </c>
      <c r="K213" s="1">
        <v>5500000</v>
      </c>
      <c r="L213" s="1">
        <v>0</v>
      </c>
      <c r="M213" s="1">
        <v>1000000</v>
      </c>
      <c r="N213" s="1">
        <v>4506859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16760891</v>
      </c>
      <c r="W213" s="1">
        <v>1900000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3219185</v>
      </c>
      <c r="AF213" s="1">
        <v>3033762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6438369</v>
      </c>
      <c r="AM213" s="1">
        <v>0</v>
      </c>
      <c r="AN213" s="1">
        <v>0</v>
      </c>
      <c r="AO213" s="1">
        <v>110414633</v>
      </c>
      <c r="AP213" s="1">
        <v>16760255</v>
      </c>
      <c r="AQ213" s="1">
        <v>93654378</v>
      </c>
      <c r="AR213" s="1">
        <v>21476174</v>
      </c>
      <c r="AS213" s="1">
        <v>3221426</v>
      </c>
      <c r="AT213" s="1">
        <f t="shared" si="17"/>
        <v>135112233</v>
      </c>
    </row>
    <row r="214" spans="1:46" x14ac:dyDescent="0.2">
      <c r="A214" s="1" t="str">
        <f>"00246"</f>
        <v>00246</v>
      </c>
      <c r="B214" s="1" t="str">
        <f>"جاويد"</f>
        <v>جاويد</v>
      </c>
      <c r="C214" s="1" t="str">
        <f>"ارمي"</f>
        <v>ارمي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13612803</v>
      </c>
      <c r="G214" s="1">
        <v>2426648</v>
      </c>
      <c r="H214" s="1">
        <v>0</v>
      </c>
      <c r="I214" s="1">
        <v>10174882</v>
      </c>
      <c r="J214" s="1">
        <v>0</v>
      </c>
      <c r="K214" s="1">
        <v>4620000</v>
      </c>
      <c r="L214" s="1">
        <v>0</v>
      </c>
      <c r="M214" s="1">
        <v>1000000</v>
      </c>
      <c r="N214" s="1">
        <v>2241928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1606000</v>
      </c>
      <c r="U214" s="1">
        <v>0</v>
      </c>
      <c r="V214" s="1">
        <v>12669177</v>
      </c>
      <c r="W214" s="1">
        <v>1900000</v>
      </c>
      <c r="X214" s="1">
        <v>1976052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1601377</v>
      </c>
      <c r="AF214" s="1">
        <v>1516881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8827072</v>
      </c>
      <c r="AM214" s="1">
        <v>0</v>
      </c>
      <c r="AN214" s="1">
        <v>0</v>
      </c>
      <c r="AO214" s="1">
        <v>64172820</v>
      </c>
      <c r="AP214" s="1">
        <v>29228707</v>
      </c>
      <c r="AQ214" s="1">
        <v>34944113</v>
      </c>
      <c r="AR214" s="1">
        <v>12209988</v>
      </c>
      <c r="AS214" s="1">
        <v>1831498</v>
      </c>
      <c r="AT214" s="1">
        <f t="shared" si="17"/>
        <v>78214306</v>
      </c>
    </row>
    <row r="215" spans="1:46" x14ac:dyDescent="0.2">
      <c r="A215" s="1" t="str">
        <f>"00247"</f>
        <v>00247</v>
      </c>
      <c r="B215" s="1" t="str">
        <f>"آرمان"</f>
        <v>آرمان</v>
      </c>
      <c r="C215" s="1" t="str">
        <f>"غريبي"</f>
        <v>غريبي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13531748</v>
      </c>
      <c r="G215" s="1">
        <v>8908629</v>
      </c>
      <c r="H215" s="1">
        <v>0</v>
      </c>
      <c r="I215" s="1">
        <v>9882313</v>
      </c>
      <c r="J215" s="1">
        <v>0</v>
      </c>
      <c r="K215" s="1">
        <v>4620000</v>
      </c>
      <c r="L215" s="1">
        <v>0</v>
      </c>
      <c r="M215" s="1">
        <v>1000000</v>
      </c>
      <c r="N215" s="1">
        <v>2213559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1606000</v>
      </c>
      <c r="U215" s="1">
        <v>0</v>
      </c>
      <c r="V215" s="1">
        <v>12522100</v>
      </c>
      <c r="W215" s="1">
        <v>1900000</v>
      </c>
      <c r="X215" s="1">
        <v>1964286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1581114</v>
      </c>
      <c r="AF215" s="1">
        <v>3033762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8826086</v>
      </c>
      <c r="AM215" s="1">
        <v>0</v>
      </c>
      <c r="AN215" s="1">
        <v>0</v>
      </c>
      <c r="AO215" s="1">
        <v>71589597</v>
      </c>
      <c r="AP215" s="1">
        <v>14247032</v>
      </c>
      <c r="AQ215" s="1">
        <v>57342565</v>
      </c>
      <c r="AR215" s="1">
        <v>13389967</v>
      </c>
      <c r="AS215" s="1">
        <v>2008495</v>
      </c>
      <c r="AT215" s="1">
        <f t="shared" si="17"/>
        <v>86988059</v>
      </c>
    </row>
    <row r="216" spans="1:46" x14ac:dyDescent="0.2">
      <c r="A216" s="1" t="str">
        <f>"00248"</f>
        <v>00248</v>
      </c>
      <c r="B216" s="1" t="str">
        <f>"احسان"</f>
        <v>احسان</v>
      </c>
      <c r="C216" s="1" t="str">
        <f>"محمدي نژاد"</f>
        <v>محمدي نژاد</v>
      </c>
      <c r="D216" s="1" t="str">
        <f>"قراردادي کارگري"</f>
        <v>قراردادي کارگري</v>
      </c>
      <c r="E216" s="1" t="str">
        <f>"پروژه تعميرات نيروگاه بوشهر"</f>
        <v>پروژه تعميرات نيروگاه بوشهر</v>
      </c>
      <c r="F216" s="1">
        <v>7358621</v>
      </c>
      <c r="G216" s="1">
        <v>4189395</v>
      </c>
      <c r="H216" s="1">
        <v>0</v>
      </c>
      <c r="I216" s="1">
        <v>5298207</v>
      </c>
      <c r="J216" s="1">
        <v>0</v>
      </c>
      <c r="K216" s="1">
        <v>0</v>
      </c>
      <c r="L216" s="1">
        <v>7628143</v>
      </c>
      <c r="M216" s="1">
        <v>1000000</v>
      </c>
      <c r="N216" s="1">
        <v>3872959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8825243</v>
      </c>
      <c r="W216" s="1">
        <v>1900000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3623690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5958251</v>
      </c>
      <c r="AK216" s="1">
        <v>0</v>
      </c>
      <c r="AL216" s="1">
        <v>0</v>
      </c>
      <c r="AM216" s="1">
        <v>0</v>
      </c>
      <c r="AN216" s="1">
        <v>0</v>
      </c>
      <c r="AO216" s="1">
        <v>49654509</v>
      </c>
      <c r="AP216" s="1">
        <v>9439315</v>
      </c>
      <c r="AQ216" s="1">
        <v>40215194</v>
      </c>
      <c r="AR216" s="1">
        <v>9930902</v>
      </c>
      <c r="AS216" s="1">
        <v>1489635</v>
      </c>
      <c r="AT216" s="1">
        <f t="shared" si="17"/>
        <v>61075046</v>
      </c>
    </row>
    <row r="217" spans="1:46" x14ac:dyDescent="0.2">
      <c r="A217" s="1" t="str">
        <f>"00249"</f>
        <v>00249</v>
      </c>
      <c r="B217" s="1" t="str">
        <f>"سيدمسعود"</f>
        <v>سيدمسعود</v>
      </c>
      <c r="C217" s="1" t="str">
        <f>"امامزاده نژاد"</f>
        <v>امامزاده نژاد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14162660</v>
      </c>
      <c r="G217" s="1">
        <v>3271392</v>
      </c>
      <c r="H217" s="1">
        <v>0</v>
      </c>
      <c r="I217" s="1">
        <v>10748246</v>
      </c>
      <c r="J217" s="1">
        <v>0</v>
      </c>
      <c r="K217" s="1">
        <v>4620000</v>
      </c>
      <c r="L217" s="1">
        <v>0</v>
      </c>
      <c r="M217" s="1">
        <v>1000000</v>
      </c>
      <c r="N217" s="1">
        <v>2434378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1606000</v>
      </c>
      <c r="U217" s="1">
        <v>0</v>
      </c>
      <c r="V217" s="1">
        <v>13284029</v>
      </c>
      <c r="W217" s="1">
        <v>1900000</v>
      </c>
      <c r="X217" s="1">
        <v>2055870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1738842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9143295</v>
      </c>
      <c r="AM217" s="1">
        <v>0</v>
      </c>
      <c r="AN217" s="1">
        <v>0</v>
      </c>
      <c r="AO217" s="1">
        <v>65964712</v>
      </c>
      <c r="AP217" s="1">
        <v>11377434</v>
      </c>
      <c r="AQ217" s="1">
        <v>54587278</v>
      </c>
      <c r="AR217" s="1">
        <v>12871742</v>
      </c>
      <c r="AS217" s="1">
        <v>1930761</v>
      </c>
      <c r="AT217" s="1">
        <f t="shared" si="17"/>
        <v>80767215</v>
      </c>
    </row>
    <row r="218" spans="1:46" x14ac:dyDescent="0.2">
      <c r="A218" s="1" t="str">
        <f>"00250"</f>
        <v>00250</v>
      </c>
      <c r="B218" s="1" t="str">
        <f>"مهدي"</f>
        <v>مهدي</v>
      </c>
      <c r="C218" s="1" t="str">
        <f>"بندرگاهي"</f>
        <v>بندرگاهي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13772721</v>
      </c>
      <c r="G218" s="1">
        <v>9195401</v>
      </c>
      <c r="H218" s="1">
        <v>0</v>
      </c>
      <c r="I218" s="1">
        <v>10554867</v>
      </c>
      <c r="J218" s="1">
        <v>0</v>
      </c>
      <c r="K218" s="1">
        <v>4620000</v>
      </c>
      <c r="L218" s="1">
        <v>0</v>
      </c>
      <c r="M218" s="1">
        <v>1000000</v>
      </c>
      <c r="N218" s="1">
        <v>2297900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1606000</v>
      </c>
      <c r="U218" s="1">
        <v>0</v>
      </c>
      <c r="V218" s="1">
        <v>12925192</v>
      </c>
      <c r="W218" s="1">
        <v>1900000</v>
      </c>
      <c r="X218" s="1">
        <v>1999266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1641357</v>
      </c>
      <c r="AF218" s="1">
        <v>3033762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8927952</v>
      </c>
      <c r="AM218" s="1">
        <v>0</v>
      </c>
      <c r="AN218" s="1">
        <v>0</v>
      </c>
      <c r="AO218" s="1">
        <v>73474418</v>
      </c>
      <c r="AP218" s="1">
        <v>29927030</v>
      </c>
      <c r="AQ218" s="1">
        <v>43547388</v>
      </c>
      <c r="AR218" s="1">
        <v>13766931</v>
      </c>
      <c r="AS218" s="1">
        <v>2065040</v>
      </c>
      <c r="AT218" s="1">
        <f t="shared" si="17"/>
        <v>89306389</v>
      </c>
    </row>
    <row r="219" spans="1:46" x14ac:dyDescent="0.2">
      <c r="A219" s="1" t="str">
        <f>"00251"</f>
        <v>00251</v>
      </c>
      <c r="B219" s="1" t="str">
        <f>"قدرت اله"</f>
        <v>قدرت اله</v>
      </c>
      <c r="C219" s="1" t="str">
        <f>"ايازي"</f>
        <v>ايازي</v>
      </c>
      <c r="D219" s="1" t="str">
        <f>"قراردادي کارگري"</f>
        <v>قراردادي کارگري</v>
      </c>
      <c r="E219" s="1" t="str">
        <f>"پروژه تعميرات نيروگاه بوشهر"</f>
        <v>پروژه تعميرات نيروگاه بوشهر</v>
      </c>
      <c r="F219" s="1">
        <v>8255259</v>
      </c>
      <c r="G219" s="1">
        <v>4295015</v>
      </c>
      <c r="H219" s="1">
        <v>0</v>
      </c>
      <c r="I219" s="1">
        <v>6026339</v>
      </c>
      <c r="J219" s="1">
        <v>0</v>
      </c>
      <c r="K219" s="1">
        <v>0</v>
      </c>
      <c r="L219" s="1">
        <v>7660247</v>
      </c>
      <c r="M219" s="1">
        <v>1000000</v>
      </c>
      <c r="N219" s="1">
        <v>4344874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9517100</v>
      </c>
      <c r="W219" s="1">
        <v>1900000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3943008</v>
      </c>
      <c r="AE219" s="1">
        <v>0</v>
      </c>
      <c r="AF219" s="1">
        <v>3033762</v>
      </c>
      <c r="AG219" s="1">
        <v>0</v>
      </c>
      <c r="AH219" s="1">
        <v>0</v>
      </c>
      <c r="AI219" s="1">
        <v>0</v>
      </c>
      <c r="AJ219" s="1">
        <v>8084733</v>
      </c>
      <c r="AK219" s="1">
        <v>0</v>
      </c>
      <c r="AL219" s="1">
        <v>0</v>
      </c>
      <c r="AM219" s="1">
        <v>0</v>
      </c>
      <c r="AN219" s="1">
        <v>0</v>
      </c>
      <c r="AO219" s="1">
        <v>58060337</v>
      </c>
      <c r="AP219" s="1">
        <v>12550072</v>
      </c>
      <c r="AQ219" s="1">
        <v>45510265</v>
      </c>
      <c r="AR219" s="1">
        <v>11005315</v>
      </c>
      <c r="AS219" s="1">
        <v>1650797</v>
      </c>
      <c r="AT219" s="1">
        <f t="shared" si="17"/>
        <v>70716449</v>
      </c>
    </row>
    <row r="220" spans="1:46" x14ac:dyDescent="0.2">
      <c r="A220" s="1" t="str">
        <f>"00252"</f>
        <v>00252</v>
      </c>
      <c r="B220" s="1" t="str">
        <f>"عبدالکريم"</f>
        <v>عبدالکريم</v>
      </c>
      <c r="C220" s="1" t="str">
        <f>"پژمان"</f>
        <v>پژمان</v>
      </c>
      <c r="D220" s="1" t="str">
        <f t="shared" ref="D220:D225" si="20">"قراردادي بهره بردار"</f>
        <v>قراردادي بهره بردار</v>
      </c>
      <c r="E220" s="1" t="str">
        <f t="shared" ref="E220:E225" si="21">"پروژه بهره برداري نيروگاه بوشهر"</f>
        <v>پروژه بهره برداري نيروگاه بوشهر</v>
      </c>
      <c r="F220" s="1">
        <v>25891489</v>
      </c>
      <c r="G220" s="1">
        <v>38074442</v>
      </c>
      <c r="H220" s="1">
        <v>0</v>
      </c>
      <c r="I220" s="1">
        <v>27408054</v>
      </c>
      <c r="J220" s="1">
        <v>0</v>
      </c>
      <c r="K220" s="1">
        <v>5500000</v>
      </c>
      <c r="L220" s="1">
        <v>0</v>
      </c>
      <c r="M220" s="1">
        <v>1000000</v>
      </c>
      <c r="N220" s="1">
        <v>3958644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14791724</v>
      </c>
      <c r="W220" s="1">
        <v>1900000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2827603</v>
      </c>
      <c r="AF220" s="1">
        <v>4550643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5655206</v>
      </c>
      <c r="AM220" s="1">
        <v>0</v>
      </c>
      <c r="AN220" s="1">
        <v>0</v>
      </c>
      <c r="AO220" s="1">
        <v>131557805</v>
      </c>
      <c r="AP220" s="1">
        <v>50839098</v>
      </c>
      <c r="AQ220" s="1">
        <v>80718707</v>
      </c>
      <c r="AR220" s="1">
        <v>21944212</v>
      </c>
      <c r="AS220" s="1">
        <v>3291632</v>
      </c>
      <c r="AT220" s="1">
        <f t="shared" si="17"/>
        <v>156793649</v>
      </c>
    </row>
    <row r="221" spans="1:46" x14ac:dyDescent="0.2">
      <c r="A221" s="1" t="str">
        <f>"00254"</f>
        <v>00254</v>
      </c>
      <c r="B221" s="1" t="str">
        <f>"سيداصغر"</f>
        <v>سيداصغر</v>
      </c>
      <c r="C221" s="1" t="str">
        <f>"هاشمي"</f>
        <v>هاشمي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12528423</v>
      </c>
      <c r="G221" s="1">
        <v>2856552</v>
      </c>
      <c r="H221" s="1">
        <v>0</v>
      </c>
      <c r="I221" s="1">
        <v>9551545</v>
      </c>
      <c r="J221" s="1">
        <v>0</v>
      </c>
      <c r="K221" s="1">
        <v>4620000</v>
      </c>
      <c r="L221" s="1">
        <v>0</v>
      </c>
      <c r="M221" s="1">
        <v>1000000</v>
      </c>
      <c r="N221" s="1">
        <v>2103916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1606000</v>
      </c>
      <c r="U221" s="1">
        <v>0</v>
      </c>
      <c r="V221" s="1">
        <v>15583244</v>
      </c>
      <c r="W221" s="1">
        <v>1900000</v>
      </c>
      <c r="X221" s="1">
        <v>1818642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1502797</v>
      </c>
      <c r="AF221" s="1">
        <v>3033762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9331845</v>
      </c>
      <c r="AM221" s="1">
        <v>0</v>
      </c>
      <c r="AN221" s="1">
        <v>0</v>
      </c>
      <c r="AO221" s="1">
        <v>67436726</v>
      </c>
      <c r="AP221" s="1">
        <v>29806253</v>
      </c>
      <c r="AQ221" s="1">
        <v>37630473</v>
      </c>
      <c r="AR221" s="1">
        <v>12559393</v>
      </c>
      <c r="AS221" s="1">
        <v>1883909</v>
      </c>
      <c r="AT221" s="1">
        <f t="shared" si="17"/>
        <v>81880028</v>
      </c>
    </row>
    <row r="222" spans="1:46" x14ac:dyDescent="0.2">
      <c r="A222" s="1" t="str">
        <f>"00255"</f>
        <v>00255</v>
      </c>
      <c r="B222" s="1" t="str">
        <f>"مرتضي"</f>
        <v>مرتضي</v>
      </c>
      <c r="C222" s="1" t="str">
        <f>"بشار"</f>
        <v>بشار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13897589</v>
      </c>
      <c r="G222" s="1">
        <v>2729909</v>
      </c>
      <c r="H222" s="1">
        <v>0</v>
      </c>
      <c r="I222" s="1">
        <v>10447261</v>
      </c>
      <c r="J222" s="1">
        <v>0</v>
      </c>
      <c r="K222" s="1">
        <v>4620000</v>
      </c>
      <c r="L222" s="1">
        <v>0</v>
      </c>
      <c r="M222" s="1">
        <v>1000000</v>
      </c>
      <c r="N222" s="1">
        <v>2341604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1606000</v>
      </c>
      <c r="U222" s="1">
        <v>0</v>
      </c>
      <c r="V222" s="1">
        <v>17019855</v>
      </c>
      <c r="W222" s="1">
        <v>1900000</v>
      </c>
      <c r="X222" s="1">
        <v>2017392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1672574</v>
      </c>
      <c r="AF222" s="1">
        <v>3033762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9887836</v>
      </c>
      <c r="AM222" s="1">
        <v>0</v>
      </c>
      <c r="AN222" s="1">
        <v>0</v>
      </c>
      <c r="AO222" s="1">
        <v>72173782</v>
      </c>
      <c r="AP222" s="1">
        <v>12781401</v>
      </c>
      <c r="AQ222" s="1">
        <v>59392381</v>
      </c>
      <c r="AR222" s="1">
        <v>13506804</v>
      </c>
      <c r="AS222" s="1">
        <v>2026021</v>
      </c>
      <c r="AT222" s="1">
        <f t="shared" si="17"/>
        <v>87706607</v>
      </c>
    </row>
    <row r="223" spans="1:46" x14ac:dyDescent="0.2">
      <c r="A223" s="1" t="str">
        <f>"00256"</f>
        <v>00256</v>
      </c>
      <c r="B223" s="1" t="str">
        <f>"اكبر"</f>
        <v>اكبر</v>
      </c>
      <c r="C223" s="1" t="str">
        <f>"كازروني زاده"</f>
        <v>كازروني زاده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12598524</v>
      </c>
      <c r="G223" s="1">
        <v>5391578</v>
      </c>
      <c r="H223" s="1">
        <v>0</v>
      </c>
      <c r="I223" s="1">
        <v>9619288</v>
      </c>
      <c r="J223" s="1">
        <v>0</v>
      </c>
      <c r="K223" s="1">
        <v>4620000</v>
      </c>
      <c r="L223" s="1">
        <v>0</v>
      </c>
      <c r="M223" s="1">
        <v>1000000</v>
      </c>
      <c r="N223" s="1">
        <v>2128452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1606000</v>
      </c>
      <c r="U223" s="1">
        <v>0</v>
      </c>
      <c r="V223" s="1">
        <v>15686659</v>
      </c>
      <c r="W223" s="1">
        <v>1900000</v>
      </c>
      <c r="X223" s="1">
        <v>1828818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1520323</v>
      </c>
      <c r="AF223" s="1">
        <v>6370900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9384334</v>
      </c>
      <c r="AM223" s="1">
        <v>0</v>
      </c>
      <c r="AN223" s="1">
        <v>0</v>
      </c>
      <c r="AO223" s="1">
        <v>73654876</v>
      </c>
      <c r="AP223" s="1">
        <v>9180200</v>
      </c>
      <c r="AQ223" s="1">
        <v>64474676</v>
      </c>
      <c r="AR223" s="1">
        <v>13135595</v>
      </c>
      <c r="AS223" s="1">
        <v>1970339</v>
      </c>
      <c r="AT223" s="1">
        <f t="shared" si="17"/>
        <v>88760810</v>
      </c>
    </row>
    <row r="224" spans="1:46" x14ac:dyDescent="0.2">
      <c r="A224" s="1" t="str">
        <f>"00257"</f>
        <v>00257</v>
      </c>
      <c r="B224" s="1" t="str">
        <f>"سيدابراهيم"</f>
        <v>سيدابراهيم</v>
      </c>
      <c r="C224" s="1" t="str">
        <f>"طباطبايي"</f>
        <v>طباطبايي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25175141</v>
      </c>
      <c r="G224" s="1">
        <v>13764934</v>
      </c>
      <c r="H224" s="1">
        <v>1484000</v>
      </c>
      <c r="I224" s="1">
        <v>26337612</v>
      </c>
      <c r="J224" s="1">
        <v>0</v>
      </c>
      <c r="K224" s="1">
        <v>5500000</v>
      </c>
      <c r="L224" s="1">
        <v>0</v>
      </c>
      <c r="M224" s="1">
        <v>1000000</v>
      </c>
      <c r="N224" s="1">
        <v>3707922</v>
      </c>
      <c r="O224" s="1">
        <v>0</v>
      </c>
      <c r="P224" s="1">
        <v>0</v>
      </c>
      <c r="Q224" s="1">
        <v>0</v>
      </c>
      <c r="R224" s="1">
        <v>0</v>
      </c>
      <c r="S224" s="1">
        <v>636000</v>
      </c>
      <c r="T224" s="1">
        <v>0</v>
      </c>
      <c r="U224" s="1">
        <v>0</v>
      </c>
      <c r="V224" s="1">
        <v>14331583</v>
      </c>
      <c r="W224" s="1">
        <v>1900000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2648516</v>
      </c>
      <c r="AF224" s="1">
        <v>3033762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5826735</v>
      </c>
      <c r="AM224" s="1">
        <v>0</v>
      </c>
      <c r="AN224" s="1">
        <v>0</v>
      </c>
      <c r="AO224" s="1">
        <v>105346205</v>
      </c>
      <c r="AP224" s="1">
        <v>40247071</v>
      </c>
      <c r="AQ224" s="1">
        <v>65099134</v>
      </c>
      <c r="AR224" s="1">
        <v>20038489</v>
      </c>
      <c r="AS224" s="1">
        <v>3005773</v>
      </c>
      <c r="AT224" s="1">
        <f t="shared" si="17"/>
        <v>128390467</v>
      </c>
    </row>
    <row r="225" spans="1:46" x14ac:dyDescent="0.2">
      <c r="A225" s="1" t="str">
        <f>"00259"</f>
        <v>00259</v>
      </c>
      <c r="B225" s="1" t="str">
        <f>"حسنعلي"</f>
        <v>حسنعلي</v>
      </c>
      <c r="C225" s="1" t="str">
        <f>"لهسائي"</f>
        <v>لهسائي</v>
      </c>
      <c r="D225" s="1" t="str">
        <f t="shared" si="20"/>
        <v>قراردادي بهره بردار</v>
      </c>
      <c r="E225" s="1" t="str">
        <f t="shared" si="21"/>
        <v>پروژه بهره برداري نيروگاه بوشهر</v>
      </c>
      <c r="F225" s="1">
        <v>29203777</v>
      </c>
      <c r="G225" s="1">
        <v>20938340</v>
      </c>
      <c r="H225" s="1">
        <v>0</v>
      </c>
      <c r="I225" s="1">
        <v>28661137</v>
      </c>
      <c r="J225" s="1">
        <v>0</v>
      </c>
      <c r="K225" s="1">
        <v>5500000</v>
      </c>
      <c r="L225" s="1">
        <v>0</v>
      </c>
      <c r="M225" s="1">
        <v>1000000</v>
      </c>
      <c r="N225" s="1">
        <v>4212433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1606000</v>
      </c>
      <c r="U225" s="1">
        <v>0</v>
      </c>
      <c r="V225" s="1">
        <v>14276698</v>
      </c>
      <c r="W225" s="1">
        <v>1900000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3008881</v>
      </c>
      <c r="AF225" s="1">
        <v>3033762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5415985</v>
      </c>
      <c r="AM225" s="1">
        <v>0</v>
      </c>
      <c r="AN225" s="1">
        <v>0</v>
      </c>
      <c r="AO225" s="1">
        <v>118757013</v>
      </c>
      <c r="AP225" s="1">
        <v>45500648</v>
      </c>
      <c r="AQ225" s="1">
        <v>73256365</v>
      </c>
      <c r="AR225" s="1">
        <v>21944212</v>
      </c>
      <c r="AS225" s="1">
        <v>3291632</v>
      </c>
      <c r="AT225" s="1">
        <f t="shared" si="17"/>
        <v>143992857</v>
      </c>
    </row>
    <row r="226" spans="1:46" x14ac:dyDescent="0.2">
      <c r="A226" s="1" t="str">
        <f>"00260"</f>
        <v>00260</v>
      </c>
      <c r="B226" s="1" t="str">
        <f>"بهروز"</f>
        <v>بهروز</v>
      </c>
      <c r="C226" s="1" t="str">
        <f>"مرادي"</f>
        <v>مرادي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9997826</v>
      </c>
      <c r="G226" s="1">
        <v>11940110</v>
      </c>
      <c r="H226" s="1">
        <v>0</v>
      </c>
      <c r="I226" s="1">
        <v>8398174</v>
      </c>
      <c r="J226" s="1">
        <v>0</v>
      </c>
      <c r="K226" s="1">
        <v>0</v>
      </c>
      <c r="L226" s="1">
        <v>7462913</v>
      </c>
      <c r="M226" s="1">
        <v>1000000</v>
      </c>
      <c r="N226" s="1">
        <v>5332173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11111020</v>
      </c>
      <c r="W226" s="1">
        <v>1900000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57142216</v>
      </c>
      <c r="AP226" s="1">
        <v>16187479</v>
      </c>
      <c r="AQ226" s="1">
        <v>40954737</v>
      </c>
      <c r="AR226" s="1">
        <v>11428443</v>
      </c>
      <c r="AS226" s="1">
        <v>1714266</v>
      </c>
      <c r="AT226" s="1">
        <f t="shared" si="17"/>
        <v>70284925</v>
      </c>
    </row>
    <row r="227" spans="1:46" x14ac:dyDescent="0.2">
      <c r="A227" s="1" t="str">
        <f>"00261"</f>
        <v>00261</v>
      </c>
      <c r="B227" s="1" t="str">
        <f>"محسن"</f>
        <v>محسن</v>
      </c>
      <c r="C227" s="1" t="str">
        <f>"زاهدي كللي"</f>
        <v>زاهدي كللي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8164090</v>
      </c>
      <c r="G227" s="1">
        <v>11315422</v>
      </c>
      <c r="H227" s="1">
        <v>0</v>
      </c>
      <c r="I227" s="1">
        <v>6041427</v>
      </c>
      <c r="J227" s="1">
        <v>0</v>
      </c>
      <c r="K227" s="1">
        <v>0</v>
      </c>
      <c r="L227" s="1">
        <v>7628143</v>
      </c>
      <c r="M227" s="1">
        <v>1000000</v>
      </c>
      <c r="N227" s="1">
        <v>4325345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9475593</v>
      </c>
      <c r="W227" s="1">
        <v>1900000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4550643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54400663</v>
      </c>
      <c r="AP227" s="1">
        <v>9850647</v>
      </c>
      <c r="AQ227" s="1">
        <v>44550016</v>
      </c>
      <c r="AR227" s="1">
        <v>9970004</v>
      </c>
      <c r="AS227" s="1">
        <v>1495501</v>
      </c>
      <c r="AT227" s="1">
        <f t="shared" si="17"/>
        <v>65866168</v>
      </c>
    </row>
    <row r="228" spans="1:46" x14ac:dyDescent="0.2">
      <c r="A228" s="1" t="str">
        <f>"00262"</f>
        <v>00262</v>
      </c>
      <c r="B228" s="1" t="str">
        <f>"غلامرضا"</f>
        <v>غلامرضا</v>
      </c>
      <c r="C228" s="1" t="str">
        <f>"حيدري"</f>
        <v>حيدري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7166925</v>
      </c>
      <c r="G228" s="1">
        <v>1380349</v>
      </c>
      <c r="H228" s="1">
        <v>0</v>
      </c>
      <c r="I228" s="1">
        <v>5303524</v>
      </c>
      <c r="J228" s="1">
        <v>0</v>
      </c>
      <c r="K228" s="1">
        <v>0</v>
      </c>
      <c r="L228" s="1">
        <v>7628143</v>
      </c>
      <c r="M228" s="1">
        <v>1000000</v>
      </c>
      <c r="N228" s="1">
        <v>3772066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8731881</v>
      </c>
      <c r="W228" s="1">
        <v>1900000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1516881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38399769</v>
      </c>
      <c r="AP228" s="1">
        <v>8308428</v>
      </c>
      <c r="AQ228" s="1">
        <v>30091341</v>
      </c>
      <c r="AR228" s="1">
        <v>7376578</v>
      </c>
      <c r="AS228" s="1">
        <v>1106487</v>
      </c>
      <c r="AT228" s="1">
        <f t="shared" si="17"/>
        <v>46882834</v>
      </c>
    </row>
    <row r="229" spans="1:46" x14ac:dyDescent="0.2">
      <c r="A229" s="1" t="str">
        <f>"00263"</f>
        <v>00263</v>
      </c>
      <c r="B229" s="1" t="str">
        <f>"محمدمهدي"</f>
        <v>محمدمهدي</v>
      </c>
      <c r="C229" s="1" t="str">
        <f>"لشكرشكن"</f>
        <v>لشكرشكن</v>
      </c>
      <c r="D229" s="1" t="str">
        <f>"قراردادي بهره بردار"</f>
        <v>قراردادي بهره بردار</v>
      </c>
      <c r="E229" s="1" t="str">
        <f>"پروژه بهره برداري نيروگاه بوشهر"</f>
        <v>پروژه بهره برداري نيروگاه بوشهر</v>
      </c>
      <c r="F229" s="1">
        <v>14528501</v>
      </c>
      <c r="G229" s="1">
        <v>10161051</v>
      </c>
      <c r="H229" s="1">
        <v>0</v>
      </c>
      <c r="I229" s="1">
        <v>12703568</v>
      </c>
      <c r="J229" s="1">
        <v>0</v>
      </c>
      <c r="K229" s="1">
        <v>4620000</v>
      </c>
      <c r="L229" s="1">
        <v>0</v>
      </c>
      <c r="M229" s="1">
        <v>1000000</v>
      </c>
      <c r="N229" s="1">
        <v>2803944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1606000</v>
      </c>
      <c r="U229" s="1">
        <v>0</v>
      </c>
      <c r="V229" s="1">
        <v>13753541</v>
      </c>
      <c r="W229" s="1">
        <v>1900000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2002817</v>
      </c>
      <c r="AF229" s="1">
        <v>1516881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7539705</v>
      </c>
      <c r="AM229" s="1">
        <v>0</v>
      </c>
      <c r="AN229" s="1">
        <v>0</v>
      </c>
      <c r="AO229" s="1">
        <v>74136008</v>
      </c>
      <c r="AP229" s="1">
        <v>39256210</v>
      </c>
      <c r="AQ229" s="1">
        <v>34879798</v>
      </c>
      <c r="AR229" s="1">
        <v>14202625</v>
      </c>
      <c r="AS229" s="1">
        <v>2130394</v>
      </c>
      <c r="AT229" s="1">
        <f t="shared" si="17"/>
        <v>90469027</v>
      </c>
    </row>
    <row r="230" spans="1:46" x14ac:dyDescent="0.2">
      <c r="A230" s="1" t="str">
        <f>"00264"</f>
        <v>00264</v>
      </c>
      <c r="B230" s="1" t="str">
        <f>"اكبر"</f>
        <v>اكبر</v>
      </c>
      <c r="C230" s="1" t="str">
        <f>"ملكي"</f>
        <v>ملكي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8845967</v>
      </c>
      <c r="G230" s="1">
        <v>7445892</v>
      </c>
      <c r="H230" s="1">
        <v>0</v>
      </c>
      <c r="I230" s="1">
        <v>6546015</v>
      </c>
      <c r="J230" s="1">
        <v>0</v>
      </c>
      <c r="K230" s="1">
        <v>0</v>
      </c>
      <c r="L230" s="1">
        <v>7628143</v>
      </c>
      <c r="M230" s="1">
        <v>1000000</v>
      </c>
      <c r="N230" s="1">
        <v>4686605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9978603</v>
      </c>
      <c r="W230" s="1">
        <v>1900000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3033762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51064987</v>
      </c>
      <c r="AP230" s="1">
        <v>6143332</v>
      </c>
      <c r="AQ230" s="1">
        <v>44921655</v>
      </c>
      <c r="AR230" s="1">
        <v>9606245</v>
      </c>
      <c r="AS230" s="1">
        <v>1440937</v>
      </c>
      <c r="AT230" s="1">
        <f t="shared" si="17"/>
        <v>62112169</v>
      </c>
    </row>
    <row r="231" spans="1:46" x14ac:dyDescent="0.2">
      <c r="A231" s="1" t="str">
        <f>"00265"</f>
        <v>00265</v>
      </c>
      <c r="B231" s="1" t="str">
        <f>"مهتاب"</f>
        <v>مهتاب</v>
      </c>
      <c r="C231" s="1" t="str">
        <f>"همتي قلائي"</f>
        <v>همتي قلائي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8735392</v>
      </c>
      <c r="G231" s="1">
        <v>11479203</v>
      </c>
      <c r="H231" s="1">
        <v>0</v>
      </c>
      <c r="I231" s="1">
        <v>6464190</v>
      </c>
      <c r="J231" s="1">
        <v>0</v>
      </c>
      <c r="K231" s="1">
        <v>0</v>
      </c>
      <c r="L231" s="1">
        <v>7628143</v>
      </c>
      <c r="M231" s="1">
        <v>1000000</v>
      </c>
      <c r="N231" s="1">
        <v>4628023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7156317</v>
      </c>
      <c r="W231" s="1">
        <v>1900000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1516881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50508149</v>
      </c>
      <c r="AP231" s="1">
        <v>6412229</v>
      </c>
      <c r="AQ231" s="1">
        <v>44095920</v>
      </c>
      <c r="AR231" s="1">
        <v>9798254</v>
      </c>
      <c r="AS231" s="1">
        <v>1469738</v>
      </c>
      <c r="AT231" s="1">
        <f t="shared" si="17"/>
        <v>61776141</v>
      </c>
    </row>
    <row r="232" spans="1:46" x14ac:dyDescent="0.2">
      <c r="A232" s="1" t="str">
        <f>"00266"</f>
        <v>00266</v>
      </c>
      <c r="B232" s="1" t="str">
        <f>"سيداسماعيل"</f>
        <v>سيداسماعيل</v>
      </c>
      <c r="C232" s="1" t="str">
        <f>"هاشمي"</f>
        <v>هاشمي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8385240</v>
      </c>
      <c r="G232" s="1">
        <v>5227581</v>
      </c>
      <c r="H232" s="1">
        <v>0</v>
      </c>
      <c r="I232" s="1">
        <v>6205077</v>
      </c>
      <c r="J232" s="1">
        <v>0</v>
      </c>
      <c r="K232" s="1">
        <v>0</v>
      </c>
      <c r="L232" s="1">
        <v>7628143</v>
      </c>
      <c r="M232" s="1">
        <v>1000000</v>
      </c>
      <c r="N232" s="1">
        <v>4442510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10380173</v>
      </c>
      <c r="W232" s="1">
        <v>1900000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3033762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48202486</v>
      </c>
      <c r="AP232" s="1">
        <v>48202486</v>
      </c>
      <c r="AQ232" s="1">
        <v>0</v>
      </c>
      <c r="AR232" s="1">
        <v>9033745</v>
      </c>
      <c r="AS232" s="1">
        <v>1355062</v>
      </c>
      <c r="AT232" s="1">
        <f t="shared" si="17"/>
        <v>58591293</v>
      </c>
    </row>
    <row r="233" spans="1:46" x14ac:dyDescent="0.2">
      <c r="A233" s="1" t="str">
        <f>"00267"</f>
        <v>00267</v>
      </c>
      <c r="B233" s="1" t="str">
        <f>"محمد"</f>
        <v>محمد</v>
      </c>
      <c r="C233" s="1" t="str">
        <f>"دهقاني"</f>
        <v>دهقاني</v>
      </c>
      <c r="D233" s="1" t="str">
        <f>"قراردادي بهره بردار"</f>
        <v>قراردادي بهره بردار</v>
      </c>
      <c r="E233" s="1" t="str">
        <f>"پروژه تعميرات نيروگاه بوشهر"</f>
        <v>پروژه تعميرات نيروگاه بوشهر</v>
      </c>
      <c r="F233" s="1">
        <v>15133125</v>
      </c>
      <c r="G233" s="1">
        <v>354481</v>
      </c>
      <c r="H233" s="1">
        <v>0</v>
      </c>
      <c r="I233" s="1">
        <v>12610088</v>
      </c>
      <c r="J233" s="1">
        <v>0</v>
      </c>
      <c r="K233" s="1">
        <v>3465000</v>
      </c>
      <c r="L233" s="1">
        <v>0</v>
      </c>
      <c r="M233" s="1">
        <v>1000000</v>
      </c>
      <c r="N233" s="1">
        <v>2774041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11960710</v>
      </c>
      <c r="W233" s="1">
        <v>1900000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1981458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5775561</v>
      </c>
      <c r="AM233" s="1">
        <v>0</v>
      </c>
      <c r="AN233" s="1">
        <v>0</v>
      </c>
      <c r="AO233" s="1">
        <v>56954464</v>
      </c>
      <c r="AP233" s="1">
        <v>22940947</v>
      </c>
      <c r="AQ233" s="1">
        <v>34013517</v>
      </c>
      <c r="AR233" s="1">
        <v>11390893</v>
      </c>
      <c r="AS233" s="1">
        <v>1708634</v>
      </c>
      <c r="AT233" s="1">
        <f t="shared" si="17"/>
        <v>70053991</v>
      </c>
    </row>
    <row r="234" spans="1:46" x14ac:dyDescent="0.2">
      <c r="A234" s="1" t="str">
        <f>"00270"</f>
        <v>00270</v>
      </c>
      <c r="B234" s="1" t="str">
        <f>"امين"</f>
        <v>امين</v>
      </c>
      <c r="C234" s="1" t="str">
        <f>"آژده"</f>
        <v>آژده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7676756</v>
      </c>
      <c r="G234" s="1">
        <v>2108593</v>
      </c>
      <c r="H234" s="1">
        <v>0</v>
      </c>
      <c r="I234" s="1">
        <v>5527265</v>
      </c>
      <c r="J234" s="1">
        <v>0</v>
      </c>
      <c r="K234" s="1">
        <v>0</v>
      </c>
      <c r="L234" s="1">
        <v>7628143</v>
      </c>
      <c r="M234" s="1">
        <v>1000000</v>
      </c>
      <c r="N234" s="1">
        <v>4094269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12425780</v>
      </c>
      <c r="W234" s="1">
        <v>1900000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3738965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3373748</v>
      </c>
      <c r="AK234" s="1">
        <v>0</v>
      </c>
      <c r="AL234" s="1">
        <v>0</v>
      </c>
      <c r="AM234" s="1">
        <v>0</v>
      </c>
      <c r="AN234" s="1">
        <v>0</v>
      </c>
      <c r="AO234" s="1">
        <v>49473519</v>
      </c>
      <c r="AP234" s="1">
        <v>9858613</v>
      </c>
      <c r="AQ234" s="1">
        <v>39614906</v>
      </c>
      <c r="AR234" s="1">
        <v>9894704</v>
      </c>
      <c r="AS234" s="1">
        <v>1484206</v>
      </c>
      <c r="AT234" s="1">
        <f t="shared" si="17"/>
        <v>60852429</v>
      </c>
    </row>
    <row r="235" spans="1:46" x14ac:dyDescent="0.2">
      <c r="A235" s="1" t="str">
        <f>"00271"</f>
        <v>00271</v>
      </c>
      <c r="B235" s="1" t="str">
        <f>"احمد"</f>
        <v>احمد</v>
      </c>
      <c r="C235" s="1" t="str">
        <f>"منصورنژاد"</f>
        <v>منصورنژاد</v>
      </c>
      <c r="D235" s="1" t="str">
        <f>"قراردادي بهره بردار"</f>
        <v>قراردادي بهره بردار</v>
      </c>
      <c r="E235" s="1" t="str">
        <f>"پروژه بهره برداري نيروگاه بوشهر"</f>
        <v>پروژه بهره برداري نيروگاه بوشهر</v>
      </c>
      <c r="F235" s="1">
        <v>13888827</v>
      </c>
      <c r="G235" s="1">
        <v>3154227</v>
      </c>
      <c r="H235" s="1">
        <v>0</v>
      </c>
      <c r="I235" s="1">
        <v>9951436</v>
      </c>
      <c r="J235" s="1">
        <v>0</v>
      </c>
      <c r="K235" s="1">
        <v>4620000</v>
      </c>
      <c r="L235" s="1">
        <v>0</v>
      </c>
      <c r="M235" s="1">
        <v>1000000</v>
      </c>
      <c r="N235" s="1">
        <v>2338537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1606000</v>
      </c>
      <c r="U235" s="1">
        <v>0</v>
      </c>
      <c r="V235" s="1">
        <v>12808259</v>
      </c>
      <c r="W235" s="1">
        <v>1900000</v>
      </c>
      <c r="X235" s="1">
        <v>2016120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1670383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9009117</v>
      </c>
      <c r="AM235" s="1">
        <v>0</v>
      </c>
      <c r="AN235" s="1">
        <v>0</v>
      </c>
      <c r="AO235" s="1">
        <v>63962906</v>
      </c>
      <c r="AP235" s="1">
        <v>27935739</v>
      </c>
      <c r="AQ235" s="1">
        <v>36027167</v>
      </c>
      <c r="AR235" s="1">
        <v>12471381</v>
      </c>
      <c r="AS235" s="1">
        <v>1870707</v>
      </c>
      <c r="AT235" s="1">
        <f t="shared" si="17"/>
        <v>78304994</v>
      </c>
    </row>
    <row r="236" spans="1:46" x14ac:dyDescent="0.2">
      <c r="A236" s="1" t="str">
        <f>"00272"</f>
        <v>00272</v>
      </c>
      <c r="B236" s="1" t="str">
        <f>"هادي"</f>
        <v>هادي</v>
      </c>
      <c r="C236" s="1" t="str">
        <f>"سليماني"</f>
        <v>سليماني</v>
      </c>
      <c r="D236" s="1" t="str">
        <f>"قراردادي کارگري"</f>
        <v>قراردادي کارگري</v>
      </c>
      <c r="E236" s="1" t="str">
        <f>"پروژه تعميرات نيروگاه بوشهر"</f>
        <v>پروژه تعميرات نيروگاه بوشهر</v>
      </c>
      <c r="F236" s="1">
        <v>7643072</v>
      </c>
      <c r="G236" s="1">
        <v>2394706</v>
      </c>
      <c r="H236" s="1">
        <v>0</v>
      </c>
      <c r="I236" s="1">
        <v>5426581</v>
      </c>
      <c r="J236" s="1">
        <v>0</v>
      </c>
      <c r="K236" s="1">
        <v>0</v>
      </c>
      <c r="L236" s="1">
        <v>7628143</v>
      </c>
      <c r="M236" s="1">
        <v>1000000</v>
      </c>
      <c r="N236" s="1">
        <v>4022670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9215946</v>
      </c>
      <c r="W236" s="1">
        <v>1900000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3708070</v>
      </c>
      <c r="AE236" s="1">
        <v>0</v>
      </c>
      <c r="AF236" s="1">
        <v>1516881</v>
      </c>
      <c r="AG236" s="1">
        <v>0</v>
      </c>
      <c r="AH236" s="1">
        <v>0</v>
      </c>
      <c r="AI236" s="1">
        <v>0</v>
      </c>
      <c r="AJ236" s="1">
        <v>4597836</v>
      </c>
      <c r="AK236" s="1">
        <v>0</v>
      </c>
      <c r="AL236" s="1">
        <v>0</v>
      </c>
      <c r="AM236" s="1">
        <v>0</v>
      </c>
      <c r="AN236" s="1">
        <v>0</v>
      </c>
      <c r="AO236" s="1">
        <v>49053905</v>
      </c>
      <c r="AP236" s="1">
        <v>6563987</v>
      </c>
      <c r="AQ236" s="1">
        <v>42489918</v>
      </c>
      <c r="AR236" s="1">
        <v>9507405</v>
      </c>
      <c r="AS236" s="1">
        <v>1426111</v>
      </c>
      <c r="AT236" s="1">
        <f t="shared" si="17"/>
        <v>59987421</v>
      </c>
    </row>
    <row r="237" spans="1:46" x14ac:dyDescent="0.2">
      <c r="A237" s="1" t="str">
        <f>"00273"</f>
        <v>00273</v>
      </c>
      <c r="B237" s="1" t="str">
        <f>"عليرضا"</f>
        <v>عليرضا</v>
      </c>
      <c r="C237" s="1" t="str">
        <f>"امام دادي"</f>
        <v>امام دادي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28688971</v>
      </c>
      <c r="G237" s="1">
        <v>11204173</v>
      </c>
      <c r="H237" s="1">
        <v>0</v>
      </c>
      <c r="I237" s="1">
        <v>23016837</v>
      </c>
      <c r="J237" s="1">
        <v>0</v>
      </c>
      <c r="K237" s="1">
        <v>5500000</v>
      </c>
      <c r="L237" s="1">
        <v>0</v>
      </c>
      <c r="M237" s="1">
        <v>1000000</v>
      </c>
      <c r="N237" s="1">
        <v>3596746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13585066</v>
      </c>
      <c r="W237" s="1">
        <v>1900000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2569104</v>
      </c>
      <c r="AF237" s="1">
        <v>3033762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2506397</v>
      </c>
      <c r="AM237" s="1">
        <v>0</v>
      </c>
      <c r="AN237" s="1">
        <v>0</v>
      </c>
      <c r="AO237" s="1">
        <v>96601056</v>
      </c>
      <c r="AP237" s="1">
        <v>24598442</v>
      </c>
      <c r="AQ237" s="1">
        <v>72002614</v>
      </c>
      <c r="AR237" s="1">
        <v>18713459</v>
      </c>
      <c r="AS237" s="1">
        <v>2807020</v>
      </c>
      <c r="AT237" s="1">
        <f t="shared" si="17"/>
        <v>118121535</v>
      </c>
    </row>
    <row r="238" spans="1:46" x14ac:dyDescent="0.2">
      <c r="A238" s="1" t="str">
        <f>"00276"</f>
        <v>00276</v>
      </c>
      <c r="B238" s="1" t="str">
        <f>"هوشنگ"</f>
        <v>هوشنگ</v>
      </c>
      <c r="C238" s="1" t="str">
        <f>"جوکار"</f>
        <v>جوکار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13919496</v>
      </c>
      <c r="G238" s="1">
        <v>18270513</v>
      </c>
      <c r="H238" s="1">
        <v>0</v>
      </c>
      <c r="I238" s="1">
        <v>14395105</v>
      </c>
      <c r="J238" s="1">
        <v>0</v>
      </c>
      <c r="K238" s="1">
        <v>0</v>
      </c>
      <c r="L238" s="1">
        <v>0</v>
      </c>
      <c r="M238" s="1">
        <v>1000000</v>
      </c>
      <c r="N238" s="1">
        <v>2916654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3858707</v>
      </c>
      <c r="W238" s="1">
        <v>1900000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2083324</v>
      </c>
      <c r="AF238" s="1">
        <v>3033762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5272497</v>
      </c>
      <c r="AM238" s="1">
        <v>0</v>
      </c>
      <c r="AN238" s="1">
        <v>0</v>
      </c>
      <c r="AO238" s="1">
        <v>66650058</v>
      </c>
      <c r="AP238" s="1">
        <v>17207375</v>
      </c>
      <c r="AQ238" s="1">
        <v>49442683</v>
      </c>
      <c r="AR238" s="1">
        <v>12723259</v>
      </c>
      <c r="AS238" s="1">
        <v>1908489</v>
      </c>
      <c r="AT238" s="1">
        <f t="shared" si="17"/>
        <v>81281806</v>
      </c>
    </row>
    <row r="239" spans="1:46" x14ac:dyDescent="0.2">
      <c r="A239" s="1" t="str">
        <f>"00277"</f>
        <v>00277</v>
      </c>
      <c r="B239" s="1" t="str">
        <f>"سيدآقارضا"</f>
        <v>سيدآقارضا</v>
      </c>
      <c r="C239" s="1" t="str">
        <f>"كسائي"</f>
        <v>كسائي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28857652</v>
      </c>
      <c r="G239" s="1">
        <v>21509805</v>
      </c>
      <c r="H239" s="1">
        <v>0</v>
      </c>
      <c r="I239" s="1">
        <v>31714015</v>
      </c>
      <c r="J239" s="1">
        <v>0</v>
      </c>
      <c r="K239" s="1">
        <v>5500000</v>
      </c>
      <c r="L239" s="1">
        <v>0</v>
      </c>
      <c r="M239" s="1">
        <v>1000000</v>
      </c>
      <c r="N239" s="1">
        <v>4723844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22535676</v>
      </c>
      <c r="W239" s="1">
        <v>1900000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3384580</v>
      </c>
      <c r="AD239" s="1">
        <v>0</v>
      </c>
      <c r="AE239" s="1">
        <v>3374174</v>
      </c>
      <c r="AF239" s="1">
        <v>1516881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7018282</v>
      </c>
      <c r="AM239" s="1">
        <v>0</v>
      </c>
      <c r="AN239" s="1">
        <v>0</v>
      </c>
      <c r="AO239" s="1">
        <v>133034909</v>
      </c>
      <c r="AP239" s="1">
        <v>49269678</v>
      </c>
      <c r="AQ239" s="1">
        <v>83765231</v>
      </c>
      <c r="AR239" s="1">
        <v>21944212</v>
      </c>
      <c r="AS239" s="1">
        <v>3291632</v>
      </c>
      <c r="AT239" s="1">
        <f t="shared" si="17"/>
        <v>158270753</v>
      </c>
    </row>
    <row r="240" spans="1:46" x14ac:dyDescent="0.2">
      <c r="A240" s="1" t="str">
        <f>"00279"</f>
        <v>00279</v>
      </c>
      <c r="B240" s="1" t="str">
        <f>"صابر"</f>
        <v>صابر</v>
      </c>
      <c r="C240" s="1" t="str">
        <f>"عليزاده مروانکندي"</f>
        <v>عليزاده مروانکندي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1">
        <v>26833476</v>
      </c>
      <c r="G240" s="1">
        <v>10885259</v>
      </c>
      <c r="H240" s="1">
        <v>0</v>
      </c>
      <c r="I240" s="1">
        <v>28062303</v>
      </c>
      <c r="J240" s="1">
        <v>0</v>
      </c>
      <c r="K240" s="1">
        <v>5500000</v>
      </c>
      <c r="L240" s="1">
        <v>0</v>
      </c>
      <c r="M240" s="1">
        <v>1000000</v>
      </c>
      <c r="N240" s="1">
        <v>4288340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1606000</v>
      </c>
      <c r="U240" s="1">
        <v>0</v>
      </c>
      <c r="V240" s="1">
        <v>11206899</v>
      </c>
      <c r="W240" s="1">
        <v>1900000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3063100</v>
      </c>
      <c r="AF240" s="1">
        <v>3033762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3675720</v>
      </c>
      <c r="AM240" s="1">
        <v>0</v>
      </c>
      <c r="AN240" s="1">
        <v>0</v>
      </c>
      <c r="AO240" s="1">
        <v>101054859</v>
      </c>
      <c r="AP240" s="1">
        <v>20605291</v>
      </c>
      <c r="AQ240" s="1">
        <v>80449568</v>
      </c>
      <c r="AR240" s="1">
        <v>19283019</v>
      </c>
      <c r="AS240" s="1">
        <v>2892453</v>
      </c>
      <c r="AT240" s="1">
        <f t="shared" si="17"/>
        <v>123230331</v>
      </c>
    </row>
    <row r="241" spans="1:46" x14ac:dyDescent="0.2">
      <c r="A241" s="1" t="str">
        <f>"00281"</f>
        <v>00281</v>
      </c>
      <c r="B241" s="1" t="str">
        <f>"روح اله"</f>
        <v>روح اله</v>
      </c>
      <c r="C241" s="1" t="str">
        <f>"جعفري"</f>
        <v>جعفري</v>
      </c>
      <c r="D241" s="1" t="str">
        <f t="shared" ref="D241:D248" si="22">"قراردادي کارگري"</f>
        <v>قراردادي کارگري</v>
      </c>
      <c r="E241" s="1" t="str">
        <f t="shared" ref="E241:E248" si="23">"پروژه تعميرات نيروگاه بوشهر"</f>
        <v>پروژه تعميرات نيروگاه بوشهر</v>
      </c>
      <c r="F241" s="1">
        <v>6696719</v>
      </c>
      <c r="G241" s="1">
        <v>0</v>
      </c>
      <c r="H241" s="1">
        <v>0</v>
      </c>
      <c r="I241" s="1">
        <v>6027047</v>
      </c>
      <c r="J241" s="1">
        <v>0</v>
      </c>
      <c r="K241" s="1">
        <v>0</v>
      </c>
      <c r="L241" s="1">
        <v>7672721</v>
      </c>
      <c r="M241" s="1">
        <v>1000000</v>
      </c>
      <c r="N241" s="1">
        <v>3456372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9397334</v>
      </c>
      <c r="W241" s="1">
        <v>1900000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3033762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39183955</v>
      </c>
      <c r="AP241" s="1">
        <v>3295858</v>
      </c>
      <c r="AQ241" s="1">
        <v>35888097</v>
      </c>
      <c r="AR241" s="1">
        <v>7230039</v>
      </c>
      <c r="AS241" s="1">
        <v>1084506</v>
      </c>
      <c r="AT241" s="1">
        <f t="shared" si="17"/>
        <v>47498500</v>
      </c>
    </row>
    <row r="242" spans="1:46" x14ac:dyDescent="0.2">
      <c r="A242" s="1" t="str">
        <f>"00282"</f>
        <v>00282</v>
      </c>
      <c r="B242" s="1" t="str">
        <f>"اميد"</f>
        <v>اميد</v>
      </c>
      <c r="C242" s="1" t="str">
        <f>"جعفري زاده"</f>
        <v>جعفري زاده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8416036</v>
      </c>
      <c r="G242" s="1">
        <v>3914456</v>
      </c>
      <c r="H242" s="1">
        <v>0</v>
      </c>
      <c r="I242" s="1">
        <v>6143706</v>
      </c>
      <c r="J242" s="1">
        <v>0</v>
      </c>
      <c r="K242" s="1">
        <v>0</v>
      </c>
      <c r="L242" s="1">
        <v>7628143</v>
      </c>
      <c r="M242" s="1">
        <v>1000000</v>
      </c>
      <c r="N242" s="1">
        <v>4429493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10364915</v>
      </c>
      <c r="W242" s="1">
        <v>1900000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1516881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45313630</v>
      </c>
      <c r="AP242" s="1">
        <v>5371122</v>
      </c>
      <c r="AQ242" s="1">
        <v>39942508</v>
      </c>
      <c r="AR242" s="1">
        <v>8759350</v>
      </c>
      <c r="AS242" s="1">
        <v>1313902</v>
      </c>
      <c r="AT242" s="1">
        <f t="shared" si="17"/>
        <v>55386882</v>
      </c>
    </row>
    <row r="243" spans="1:46" x14ac:dyDescent="0.2">
      <c r="A243" s="1" t="str">
        <f>"00283"</f>
        <v>00283</v>
      </c>
      <c r="B243" s="1" t="str">
        <f>"حامد"</f>
        <v>حامد</v>
      </c>
      <c r="C243" s="1" t="str">
        <f>"حاجي پور"</f>
        <v>حاجي پور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2075334</v>
      </c>
      <c r="G243" s="1">
        <v>0</v>
      </c>
      <c r="H243" s="1">
        <v>0</v>
      </c>
      <c r="I243" s="1">
        <v>1494241</v>
      </c>
      <c r="J243" s="1">
        <v>0</v>
      </c>
      <c r="K243" s="1">
        <v>0</v>
      </c>
      <c r="L243" s="1">
        <v>2214622</v>
      </c>
      <c r="M243" s="1">
        <v>290323</v>
      </c>
      <c r="N243" s="1">
        <v>1092281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2517606</v>
      </c>
      <c r="W243" s="1">
        <v>551613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880770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11116790</v>
      </c>
      <c r="AP243" s="1">
        <v>11116790</v>
      </c>
      <c r="AQ243" s="1">
        <v>0</v>
      </c>
      <c r="AR243" s="1">
        <v>2047204</v>
      </c>
      <c r="AS243" s="1">
        <v>307081</v>
      </c>
      <c r="AT243" s="1">
        <f t="shared" si="17"/>
        <v>13471075</v>
      </c>
    </row>
    <row r="244" spans="1:46" x14ac:dyDescent="0.2">
      <c r="A244" s="1" t="str">
        <f>"00284"</f>
        <v>00284</v>
      </c>
      <c r="B244" s="1" t="str">
        <f>"محمد"</f>
        <v>محمد</v>
      </c>
      <c r="C244" s="1" t="str">
        <f>"خضري"</f>
        <v>خضري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7160742</v>
      </c>
      <c r="G244" s="1">
        <v>5706287</v>
      </c>
      <c r="H244" s="1">
        <v>0</v>
      </c>
      <c r="I244" s="1">
        <v>5227341</v>
      </c>
      <c r="J244" s="1">
        <v>0</v>
      </c>
      <c r="K244" s="1">
        <v>0</v>
      </c>
      <c r="L244" s="1">
        <v>7628143</v>
      </c>
      <c r="M244" s="1">
        <v>1000000</v>
      </c>
      <c r="N244" s="1">
        <v>3768813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9909231</v>
      </c>
      <c r="W244" s="1">
        <v>1900000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1516881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43817438</v>
      </c>
      <c r="AP244" s="1">
        <v>5745079</v>
      </c>
      <c r="AQ244" s="1">
        <v>38072359</v>
      </c>
      <c r="AR244" s="1">
        <v>8460111</v>
      </c>
      <c r="AS244" s="1">
        <v>1269017</v>
      </c>
      <c r="AT244" s="1">
        <f t="shared" si="17"/>
        <v>53546566</v>
      </c>
    </row>
    <row r="245" spans="1:46" x14ac:dyDescent="0.2">
      <c r="A245" s="1" t="str">
        <f>"00285"</f>
        <v>00285</v>
      </c>
      <c r="B245" s="1" t="str">
        <f>"خضر"</f>
        <v>خضر</v>
      </c>
      <c r="C245" s="1" t="str">
        <f>"خورموجي"</f>
        <v>خورموجي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6225861</v>
      </c>
      <c r="G245" s="1">
        <v>5473312</v>
      </c>
      <c r="H245" s="1">
        <v>0</v>
      </c>
      <c r="I245" s="1">
        <v>3984551</v>
      </c>
      <c r="J245" s="1">
        <v>0</v>
      </c>
      <c r="K245" s="1">
        <v>0</v>
      </c>
      <c r="L245" s="1">
        <v>7672721</v>
      </c>
      <c r="M245" s="1">
        <v>1000000</v>
      </c>
      <c r="N245" s="1">
        <v>2993203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11220131</v>
      </c>
      <c r="W245" s="1">
        <v>1900000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1627293</v>
      </c>
      <c r="AD245" s="1">
        <v>0</v>
      </c>
      <c r="AE245" s="1">
        <v>0</v>
      </c>
      <c r="AF245" s="1">
        <v>3033762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45130834</v>
      </c>
      <c r="AP245" s="1">
        <v>6912428</v>
      </c>
      <c r="AQ245" s="1">
        <v>38218406</v>
      </c>
      <c r="AR245" s="1">
        <v>8419414</v>
      </c>
      <c r="AS245" s="1">
        <v>1262912</v>
      </c>
      <c r="AT245" s="1">
        <f t="shared" si="17"/>
        <v>54813160</v>
      </c>
    </row>
    <row r="246" spans="1:46" x14ac:dyDescent="0.2">
      <c r="A246" s="1" t="str">
        <f>"00286"</f>
        <v>00286</v>
      </c>
      <c r="B246" s="1" t="str">
        <f>"حسنعلي"</f>
        <v>حسنعلي</v>
      </c>
      <c r="C246" s="1" t="str">
        <f>"كره بندي"</f>
        <v>كره بندي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7236492</v>
      </c>
      <c r="G246" s="1">
        <v>7908972</v>
      </c>
      <c r="H246" s="1">
        <v>0</v>
      </c>
      <c r="I246" s="1">
        <v>5355004</v>
      </c>
      <c r="J246" s="1">
        <v>0</v>
      </c>
      <c r="K246" s="1">
        <v>0</v>
      </c>
      <c r="L246" s="1">
        <v>7672721</v>
      </c>
      <c r="M246" s="1">
        <v>1000000</v>
      </c>
      <c r="N246" s="1">
        <v>3833902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12057180</v>
      </c>
      <c r="W246" s="1">
        <v>1900000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1516881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48481152</v>
      </c>
      <c r="AP246" s="1">
        <v>8419393</v>
      </c>
      <c r="AQ246" s="1">
        <v>40061759</v>
      </c>
      <c r="AR246" s="1">
        <v>9392854</v>
      </c>
      <c r="AS246" s="1">
        <v>1408928</v>
      </c>
      <c r="AT246" s="1">
        <f t="shared" si="17"/>
        <v>59282934</v>
      </c>
    </row>
    <row r="247" spans="1:46" x14ac:dyDescent="0.2">
      <c r="A247" s="1" t="str">
        <f>"00287"</f>
        <v>00287</v>
      </c>
      <c r="B247" s="1" t="str">
        <f>"عبدالکريم"</f>
        <v>عبدالکريم</v>
      </c>
      <c r="C247" s="1" t="str">
        <f>"منصوري"</f>
        <v>منصوري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7185477</v>
      </c>
      <c r="G247" s="1">
        <v>3986737</v>
      </c>
      <c r="H247" s="1">
        <v>0</v>
      </c>
      <c r="I247" s="1">
        <v>5245397</v>
      </c>
      <c r="J247" s="1">
        <v>0</v>
      </c>
      <c r="K247" s="1">
        <v>0</v>
      </c>
      <c r="L247" s="1">
        <v>7628143</v>
      </c>
      <c r="M247" s="1">
        <v>1000000</v>
      </c>
      <c r="N247" s="1">
        <v>3781828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9393130</v>
      </c>
      <c r="W247" s="1">
        <v>1900000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1516881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41637593</v>
      </c>
      <c r="AP247" s="1">
        <v>3791364</v>
      </c>
      <c r="AQ247" s="1">
        <v>37846229</v>
      </c>
      <c r="AR247" s="1">
        <v>8024142</v>
      </c>
      <c r="AS247" s="1">
        <v>1203621</v>
      </c>
      <c r="AT247" s="1">
        <f t="shared" si="17"/>
        <v>50865356</v>
      </c>
    </row>
    <row r="248" spans="1:46" x14ac:dyDescent="0.2">
      <c r="A248" s="1" t="str">
        <f>"00288"</f>
        <v>00288</v>
      </c>
      <c r="B248" s="1" t="str">
        <f>"سيدمحسن"</f>
        <v>سيدمحسن</v>
      </c>
      <c r="C248" s="1" t="str">
        <f>"موسوي"</f>
        <v>موسوي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8416335</v>
      </c>
      <c r="G248" s="1">
        <v>1454540</v>
      </c>
      <c r="H248" s="1">
        <v>0</v>
      </c>
      <c r="I248" s="1">
        <v>6143924</v>
      </c>
      <c r="J248" s="1">
        <v>0</v>
      </c>
      <c r="K248" s="1">
        <v>0</v>
      </c>
      <c r="L248" s="1">
        <v>7628143</v>
      </c>
      <c r="M248" s="1">
        <v>1000000</v>
      </c>
      <c r="N248" s="1">
        <v>4458986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7707455</v>
      </c>
      <c r="W248" s="1">
        <v>1900000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1516881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40226264</v>
      </c>
      <c r="AP248" s="1">
        <v>8475210</v>
      </c>
      <c r="AQ248" s="1">
        <v>31751054</v>
      </c>
      <c r="AR248" s="1">
        <v>7741877</v>
      </c>
      <c r="AS248" s="1">
        <v>1161281</v>
      </c>
      <c r="AT248" s="1">
        <f t="shared" si="17"/>
        <v>49129422</v>
      </c>
    </row>
    <row r="249" spans="1:46" x14ac:dyDescent="0.2">
      <c r="A249" s="1" t="str">
        <f>"00290"</f>
        <v>00290</v>
      </c>
      <c r="B249" s="1" t="str">
        <f>"محمدرضا"</f>
        <v>محمدرضا</v>
      </c>
      <c r="C249" s="1" t="str">
        <f>"اميدوار ماکلواني"</f>
        <v>اميدوار ماکلواني</v>
      </c>
      <c r="D249" s="1" t="str">
        <f t="shared" ref="D249:D296" si="24">"قراردادي بهره بردار"</f>
        <v>قراردادي بهره بردار</v>
      </c>
      <c r="E249" s="1" t="str">
        <f t="shared" ref="E249:E260" si="25">"پروژه بهره برداري نيروگاه بوشهر"</f>
        <v>پروژه بهره برداري نيروگاه بوشهر</v>
      </c>
      <c r="F249" s="1">
        <v>13308300</v>
      </c>
      <c r="G249" s="1">
        <v>0</v>
      </c>
      <c r="H249" s="1">
        <v>0</v>
      </c>
      <c r="I249" s="1">
        <v>9718762</v>
      </c>
      <c r="J249" s="1">
        <v>0</v>
      </c>
      <c r="K249" s="1">
        <v>3465000</v>
      </c>
      <c r="L249" s="1">
        <v>0</v>
      </c>
      <c r="M249" s="1">
        <v>1000000</v>
      </c>
      <c r="N249" s="1">
        <v>2403709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5889227</v>
      </c>
      <c r="W249" s="1">
        <v>1900000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1716935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4261504</v>
      </c>
      <c r="AM249" s="1">
        <v>0</v>
      </c>
      <c r="AN249" s="1">
        <v>0</v>
      </c>
      <c r="AO249" s="1">
        <v>43663437</v>
      </c>
      <c r="AP249" s="1">
        <v>13482507</v>
      </c>
      <c r="AQ249" s="1">
        <v>30180930</v>
      </c>
      <c r="AR249" s="1">
        <v>8732687</v>
      </c>
      <c r="AS249" s="1">
        <v>1309903</v>
      </c>
      <c r="AT249" s="1">
        <f t="shared" si="17"/>
        <v>53706027</v>
      </c>
    </row>
    <row r="250" spans="1:46" x14ac:dyDescent="0.2">
      <c r="A250" s="1" t="str">
        <f>"00291"</f>
        <v>00291</v>
      </c>
      <c r="B250" s="1" t="str">
        <f>"سيدجواد"</f>
        <v>سيدجواد</v>
      </c>
      <c r="C250" s="1" t="str">
        <f>"بيزه"</f>
        <v>بيزه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20793808</v>
      </c>
      <c r="G250" s="1">
        <v>4894034</v>
      </c>
      <c r="H250" s="1">
        <v>0</v>
      </c>
      <c r="I250" s="1">
        <v>17506400</v>
      </c>
      <c r="J250" s="1">
        <v>0</v>
      </c>
      <c r="K250" s="1">
        <v>5500000</v>
      </c>
      <c r="L250" s="1">
        <v>0</v>
      </c>
      <c r="M250" s="1">
        <v>1000000</v>
      </c>
      <c r="N250" s="1">
        <v>3540008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1606000</v>
      </c>
      <c r="U250" s="1">
        <v>0</v>
      </c>
      <c r="V250" s="1">
        <v>19727222</v>
      </c>
      <c r="W250" s="1">
        <v>1900000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2528577</v>
      </c>
      <c r="AF250" s="1">
        <v>1516881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5259440</v>
      </c>
      <c r="AM250" s="1">
        <v>0</v>
      </c>
      <c r="AN250" s="1">
        <v>0</v>
      </c>
      <c r="AO250" s="1">
        <v>85772370</v>
      </c>
      <c r="AP250" s="1">
        <v>32292760</v>
      </c>
      <c r="AQ250" s="1">
        <v>53479610</v>
      </c>
      <c r="AR250" s="1">
        <v>16529898</v>
      </c>
      <c r="AS250" s="1">
        <v>2479485</v>
      </c>
      <c r="AT250" s="1">
        <f t="shared" si="17"/>
        <v>104781753</v>
      </c>
    </row>
    <row r="251" spans="1:46" x14ac:dyDescent="0.2">
      <c r="A251" s="1" t="str">
        <f>"00292"</f>
        <v>00292</v>
      </c>
      <c r="B251" s="1" t="str">
        <f>"مهدي"</f>
        <v>مهدي</v>
      </c>
      <c r="C251" s="1" t="str">
        <f>"حصارکي"</f>
        <v>حصارکي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24509179</v>
      </c>
      <c r="G251" s="1">
        <v>10710958</v>
      </c>
      <c r="H251" s="1">
        <v>0</v>
      </c>
      <c r="I251" s="1">
        <v>20600591</v>
      </c>
      <c r="J251" s="1">
        <v>0</v>
      </c>
      <c r="K251" s="1">
        <v>5500000</v>
      </c>
      <c r="L251" s="1">
        <v>0</v>
      </c>
      <c r="M251" s="1">
        <v>1000000</v>
      </c>
      <c r="N251" s="1">
        <v>3906506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18507424</v>
      </c>
      <c r="W251" s="1">
        <v>1900000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2790362</v>
      </c>
      <c r="AF251" s="1">
        <v>3033762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5580723</v>
      </c>
      <c r="AM251" s="1">
        <v>0</v>
      </c>
      <c r="AN251" s="1">
        <v>0</v>
      </c>
      <c r="AO251" s="1">
        <v>98039505</v>
      </c>
      <c r="AP251" s="1">
        <v>44919639</v>
      </c>
      <c r="AQ251" s="1">
        <v>53119866</v>
      </c>
      <c r="AR251" s="1">
        <v>19001149</v>
      </c>
      <c r="AS251" s="1">
        <v>2850172</v>
      </c>
      <c r="AT251" s="1">
        <f t="shared" si="17"/>
        <v>119890826</v>
      </c>
    </row>
    <row r="252" spans="1:46" x14ac:dyDescent="0.2">
      <c r="A252" s="1" t="str">
        <f>"00293"</f>
        <v>00293</v>
      </c>
      <c r="B252" s="1" t="str">
        <f>"حامد"</f>
        <v>حامد</v>
      </c>
      <c r="C252" s="1" t="str">
        <f>"پور تيموري"</f>
        <v>پور تيموري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16156167</v>
      </c>
      <c r="G252" s="1">
        <v>8863540</v>
      </c>
      <c r="H252" s="1">
        <v>0</v>
      </c>
      <c r="I252" s="1">
        <v>15442008</v>
      </c>
      <c r="J252" s="1">
        <v>0</v>
      </c>
      <c r="K252" s="1">
        <v>4620000</v>
      </c>
      <c r="L252" s="1">
        <v>0</v>
      </c>
      <c r="M252" s="1">
        <v>1000000</v>
      </c>
      <c r="N252" s="1">
        <v>3132106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1606000</v>
      </c>
      <c r="U252" s="1">
        <v>0</v>
      </c>
      <c r="V252" s="1">
        <v>16957587</v>
      </c>
      <c r="W252" s="1">
        <v>1900000</v>
      </c>
      <c r="X252" s="1">
        <v>2345250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2237218</v>
      </c>
      <c r="AF252" s="1">
        <v>1516881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12184926</v>
      </c>
      <c r="AM252" s="1">
        <v>0</v>
      </c>
      <c r="AN252" s="1">
        <v>0</v>
      </c>
      <c r="AO252" s="1">
        <v>87961683</v>
      </c>
      <c r="AP252" s="1">
        <v>15691725</v>
      </c>
      <c r="AQ252" s="1">
        <v>72269958</v>
      </c>
      <c r="AR252" s="1">
        <v>16967760</v>
      </c>
      <c r="AS252" s="1">
        <v>2545164</v>
      </c>
      <c r="AT252" s="1">
        <f t="shared" si="17"/>
        <v>107474607</v>
      </c>
    </row>
    <row r="253" spans="1:46" x14ac:dyDescent="0.2">
      <c r="A253" s="1" t="str">
        <f>"00294"</f>
        <v>00294</v>
      </c>
      <c r="B253" s="1" t="str">
        <f>"آزاده"</f>
        <v>آزاده</v>
      </c>
      <c r="C253" s="1" t="str">
        <f>"محمدطاهري"</f>
        <v>محمدطاهري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13744243</v>
      </c>
      <c r="G253" s="1">
        <v>517506</v>
      </c>
      <c r="H253" s="1">
        <v>0</v>
      </c>
      <c r="I253" s="1">
        <v>10629203</v>
      </c>
      <c r="J253" s="1">
        <v>0</v>
      </c>
      <c r="K253" s="1">
        <v>3465000</v>
      </c>
      <c r="L253" s="1">
        <v>0</v>
      </c>
      <c r="M253" s="1">
        <v>1000000</v>
      </c>
      <c r="N253" s="1">
        <v>2556289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3333546</v>
      </c>
      <c r="W253" s="1">
        <v>1900000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1825921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4579808</v>
      </c>
      <c r="AM253" s="1">
        <v>0</v>
      </c>
      <c r="AN253" s="1">
        <v>0</v>
      </c>
      <c r="AO253" s="1">
        <v>43551516</v>
      </c>
      <c r="AP253" s="1">
        <v>9512952</v>
      </c>
      <c r="AQ253" s="1">
        <v>34038564</v>
      </c>
      <c r="AR253" s="1">
        <v>8710303</v>
      </c>
      <c r="AS253" s="1">
        <v>1306545</v>
      </c>
      <c r="AT253" s="1">
        <f t="shared" si="17"/>
        <v>53568364</v>
      </c>
    </row>
    <row r="254" spans="1:46" x14ac:dyDescent="0.2">
      <c r="A254" s="1" t="str">
        <f>"00295"</f>
        <v>00295</v>
      </c>
      <c r="B254" s="1" t="str">
        <f>"احسان"</f>
        <v>احسان</v>
      </c>
      <c r="C254" s="1" t="str">
        <f>"ياوري پور"</f>
        <v>ياوري پور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17400465</v>
      </c>
      <c r="G254" s="1">
        <v>6892660</v>
      </c>
      <c r="H254" s="1">
        <v>0</v>
      </c>
      <c r="I254" s="1">
        <v>13328616</v>
      </c>
      <c r="J254" s="1">
        <v>0</v>
      </c>
      <c r="K254" s="1">
        <v>4620000</v>
      </c>
      <c r="L254" s="1">
        <v>0</v>
      </c>
      <c r="M254" s="1">
        <v>1000000</v>
      </c>
      <c r="N254" s="1">
        <v>2601527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1606000</v>
      </c>
      <c r="U254" s="1">
        <v>0</v>
      </c>
      <c r="V254" s="1">
        <v>21391560</v>
      </c>
      <c r="W254" s="1">
        <v>1900000</v>
      </c>
      <c r="X254" s="1">
        <v>2525874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1858233</v>
      </c>
      <c r="AF254" s="1">
        <v>1516881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11825571</v>
      </c>
      <c r="AM254" s="1">
        <v>0</v>
      </c>
      <c r="AN254" s="1">
        <v>0</v>
      </c>
      <c r="AO254" s="1">
        <v>88467387</v>
      </c>
      <c r="AP254" s="1">
        <v>33472309</v>
      </c>
      <c r="AQ254" s="1">
        <v>54995078</v>
      </c>
      <c r="AR254" s="1">
        <v>17068900</v>
      </c>
      <c r="AS254" s="1">
        <v>2560336</v>
      </c>
      <c r="AT254" s="1">
        <f t="shared" si="17"/>
        <v>108096623</v>
      </c>
    </row>
    <row r="255" spans="1:46" x14ac:dyDescent="0.2">
      <c r="A255" s="1" t="str">
        <f>"00296"</f>
        <v>00296</v>
      </c>
      <c r="B255" s="1" t="str">
        <f>"رضا"</f>
        <v>رضا</v>
      </c>
      <c r="C255" s="1" t="str">
        <f>"فاضلي"</f>
        <v>فاضلي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21034781</v>
      </c>
      <c r="G255" s="1">
        <v>9188773</v>
      </c>
      <c r="H255" s="1">
        <v>0</v>
      </c>
      <c r="I255" s="1">
        <v>16806184</v>
      </c>
      <c r="J255" s="1">
        <v>0</v>
      </c>
      <c r="K255" s="1">
        <v>5500000</v>
      </c>
      <c r="L255" s="1">
        <v>0</v>
      </c>
      <c r="M255" s="1">
        <v>1000000</v>
      </c>
      <c r="N255" s="1">
        <v>3624348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1606000</v>
      </c>
      <c r="U255" s="1">
        <v>0</v>
      </c>
      <c r="V255" s="1">
        <v>15877247</v>
      </c>
      <c r="W255" s="1">
        <v>1900000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2588820</v>
      </c>
      <c r="AF255" s="1">
        <v>1516881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5177641</v>
      </c>
      <c r="AM255" s="1">
        <v>0</v>
      </c>
      <c r="AN255" s="1">
        <v>0</v>
      </c>
      <c r="AO255" s="1">
        <v>85820675</v>
      </c>
      <c r="AP255" s="1">
        <v>16444486</v>
      </c>
      <c r="AQ255" s="1">
        <v>69376189</v>
      </c>
      <c r="AR255" s="1">
        <v>16539559</v>
      </c>
      <c r="AS255" s="1">
        <v>2480934</v>
      </c>
      <c r="AT255" s="1">
        <f t="shared" si="17"/>
        <v>104841168</v>
      </c>
    </row>
    <row r="256" spans="1:46" x14ac:dyDescent="0.2">
      <c r="A256" s="1" t="str">
        <f>"00297"</f>
        <v>00297</v>
      </c>
      <c r="B256" s="1" t="str">
        <f>"محمد"</f>
        <v>محمد</v>
      </c>
      <c r="C256" s="1" t="str">
        <f>"احمد نيا"</f>
        <v>احمد نيا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14261240</v>
      </c>
      <c r="G256" s="1">
        <v>11233259</v>
      </c>
      <c r="H256" s="1">
        <v>0</v>
      </c>
      <c r="I256" s="1">
        <v>12848204</v>
      </c>
      <c r="J256" s="1">
        <v>0</v>
      </c>
      <c r="K256" s="1">
        <v>4620000</v>
      </c>
      <c r="L256" s="1">
        <v>0</v>
      </c>
      <c r="M256" s="1">
        <v>1000000</v>
      </c>
      <c r="N256" s="1">
        <v>2710402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1606000</v>
      </c>
      <c r="U256" s="1">
        <v>0</v>
      </c>
      <c r="V256" s="1">
        <v>10010002</v>
      </c>
      <c r="W256" s="1">
        <v>1900000</v>
      </c>
      <c r="X256" s="1">
        <v>2070180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1936002</v>
      </c>
      <c r="AF256" s="1">
        <v>3033762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11297925</v>
      </c>
      <c r="AM256" s="1">
        <v>0</v>
      </c>
      <c r="AN256" s="1">
        <v>0</v>
      </c>
      <c r="AO256" s="1">
        <v>78526976</v>
      </c>
      <c r="AP256" s="1">
        <v>39007579</v>
      </c>
      <c r="AQ256" s="1">
        <v>39519397</v>
      </c>
      <c r="AR256" s="1">
        <v>14777443</v>
      </c>
      <c r="AS256" s="1">
        <v>2216616</v>
      </c>
      <c r="AT256" s="1">
        <f t="shared" si="17"/>
        <v>95521035</v>
      </c>
    </row>
    <row r="257" spans="1:46" x14ac:dyDescent="0.2">
      <c r="A257" s="1" t="str">
        <f>"00298"</f>
        <v>00298</v>
      </c>
      <c r="B257" s="1" t="str">
        <f>"حميدرضا"</f>
        <v>حميدرضا</v>
      </c>
      <c r="C257" s="1" t="str">
        <f>"كرمي"</f>
        <v>كرمي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15612881</v>
      </c>
      <c r="G257" s="1">
        <v>11230081</v>
      </c>
      <c r="H257" s="1">
        <v>0</v>
      </c>
      <c r="I257" s="1">
        <v>14734521</v>
      </c>
      <c r="J257" s="1">
        <v>0</v>
      </c>
      <c r="K257" s="1">
        <v>4620000</v>
      </c>
      <c r="L257" s="1">
        <v>0</v>
      </c>
      <c r="M257" s="1">
        <v>1000000</v>
      </c>
      <c r="N257" s="1">
        <v>2941956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1606000</v>
      </c>
      <c r="U257" s="1">
        <v>0</v>
      </c>
      <c r="V257" s="1">
        <v>11119079</v>
      </c>
      <c r="W257" s="1">
        <v>1900000</v>
      </c>
      <c r="X257" s="1">
        <v>2266386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2101397</v>
      </c>
      <c r="AF257" s="1">
        <v>1516881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12433238</v>
      </c>
      <c r="AM257" s="1">
        <v>0</v>
      </c>
      <c r="AN257" s="1">
        <v>0</v>
      </c>
      <c r="AO257" s="1">
        <v>83082420</v>
      </c>
      <c r="AP257" s="1">
        <v>14582202</v>
      </c>
      <c r="AQ257" s="1">
        <v>68500218</v>
      </c>
      <c r="AR257" s="1">
        <v>15991908</v>
      </c>
      <c r="AS257" s="1">
        <v>2398786</v>
      </c>
      <c r="AT257" s="1">
        <f t="shared" si="17"/>
        <v>101473114</v>
      </c>
    </row>
    <row r="258" spans="1:46" x14ac:dyDescent="0.2">
      <c r="A258" s="1" t="str">
        <f>"00299"</f>
        <v>00299</v>
      </c>
      <c r="B258" s="1" t="str">
        <f>"محمدمحسن"</f>
        <v>محمدمحسن</v>
      </c>
      <c r="C258" s="1" t="str">
        <f>"اکرام زاده"</f>
        <v>اکرام زاده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13516413</v>
      </c>
      <c r="G258" s="1">
        <v>8507005</v>
      </c>
      <c r="H258" s="1">
        <v>0</v>
      </c>
      <c r="I258" s="1">
        <v>11375796</v>
      </c>
      <c r="J258" s="1">
        <v>0</v>
      </c>
      <c r="K258" s="1">
        <v>4620000</v>
      </c>
      <c r="L258" s="1">
        <v>0</v>
      </c>
      <c r="M258" s="1">
        <v>1000000</v>
      </c>
      <c r="N258" s="1">
        <v>2449713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1606000</v>
      </c>
      <c r="U258" s="1">
        <v>0</v>
      </c>
      <c r="V258" s="1">
        <v>17884363</v>
      </c>
      <c r="W258" s="1">
        <v>1900000</v>
      </c>
      <c r="X258" s="1">
        <v>1962060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1749795</v>
      </c>
      <c r="AF258" s="1">
        <v>1516881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10431736</v>
      </c>
      <c r="AM258" s="1">
        <v>0</v>
      </c>
      <c r="AN258" s="1">
        <v>0</v>
      </c>
      <c r="AO258" s="1">
        <v>78519762</v>
      </c>
      <c r="AP258" s="1">
        <v>36945554</v>
      </c>
      <c r="AQ258" s="1">
        <v>41574208</v>
      </c>
      <c r="AR258" s="1">
        <v>15079376</v>
      </c>
      <c r="AS258" s="1">
        <v>2261906</v>
      </c>
      <c r="AT258" s="1">
        <f t="shared" si="17"/>
        <v>95861044</v>
      </c>
    </row>
    <row r="259" spans="1:46" x14ac:dyDescent="0.2">
      <c r="A259" s="1" t="str">
        <f>"00300"</f>
        <v>00300</v>
      </c>
      <c r="B259" s="1" t="str">
        <f>"هادي"</f>
        <v>هادي</v>
      </c>
      <c r="C259" s="1" t="str">
        <f>"غلامي سرلک"</f>
        <v>غلامي سرلک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15978723</v>
      </c>
      <c r="G259" s="1">
        <v>5346540</v>
      </c>
      <c r="H259" s="1">
        <v>0</v>
      </c>
      <c r="I259" s="1">
        <v>13901231</v>
      </c>
      <c r="J259" s="1">
        <v>0</v>
      </c>
      <c r="K259" s="1">
        <v>4620000</v>
      </c>
      <c r="L259" s="1">
        <v>0</v>
      </c>
      <c r="M259" s="1">
        <v>1000000</v>
      </c>
      <c r="N259" s="1">
        <v>3070000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1606000</v>
      </c>
      <c r="U259" s="1">
        <v>0</v>
      </c>
      <c r="V259" s="1">
        <v>10994592</v>
      </c>
      <c r="W259" s="1">
        <v>1900000</v>
      </c>
      <c r="X259" s="1">
        <v>2319492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2192857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12145757</v>
      </c>
      <c r="AM259" s="1">
        <v>0</v>
      </c>
      <c r="AN259" s="1">
        <v>0</v>
      </c>
      <c r="AO259" s="1">
        <v>75075192</v>
      </c>
      <c r="AP259" s="1">
        <v>37705932</v>
      </c>
      <c r="AQ259" s="1">
        <v>37369260</v>
      </c>
      <c r="AR259" s="1">
        <v>14693838</v>
      </c>
      <c r="AS259" s="1">
        <v>2204076</v>
      </c>
      <c r="AT259" s="1">
        <f t="shared" ref="AT259:AT322" si="26">AO259+AR259+AS259</f>
        <v>91973106</v>
      </c>
    </row>
    <row r="260" spans="1:46" x14ac:dyDescent="0.2">
      <c r="A260" s="1" t="str">
        <f>"00301"</f>
        <v>00301</v>
      </c>
      <c r="B260" s="1" t="str">
        <f>"علي اکبر"</f>
        <v>علي اکبر</v>
      </c>
      <c r="C260" s="1" t="str">
        <f>"مدبري"</f>
        <v>مدبري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16105781</v>
      </c>
      <c r="G260" s="1">
        <v>11420099</v>
      </c>
      <c r="H260" s="1">
        <v>0</v>
      </c>
      <c r="I260" s="1">
        <v>14359252</v>
      </c>
      <c r="J260" s="1">
        <v>0</v>
      </c>
      <c r="K260" s="1">
        <v>4620000</v>
      </c>
      <c r="L260" s="1">
        <v>0</v>
      </c>
      <c r="M260" s="1">
        <v>1000000</v>
      </c>
      <c r="N260" s="1">
        <v>3114471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11405666</v>
      </c>
      <c r="W260" s="1">
        <v>1900000</v>
      </c>
      <c r="X260" s="1">
        <v>2337936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2224622</v>
      </c>
      <c r="AF260" s="1">
        <v>3033762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12730621</v>
      </c>
      <c r="AM260" s="1">
        <v>0</v>
      </c>
      <c r="AN260" s="1">
        <v>0</v>
      </c>
      <c r="AO260" s="1">
        <v>84252210</v>
      </c>
      <c r="AP260" s="1">
        <v>30021837</v>
      </c>
      <c r="AQ260" s="1">
        <v>54230373</v>
      </c>
      <c r="AR260" s="1">
        <v>16243690</v>
      </c>
      <c r="AS260" s="1">
        <v>2436553</v>
      </c>
      <c r="AT260" s="1">
        <f t="shared" si="26"/>
        <v>102932453</v>
      </c>
    </row>
    <row r="261" spans="1:46" x14ac:dyDescent="0.2">
      <c r="A261" s="1" t="str">
        <f>"00303"</f>
        <v>00303</v>
      </c>
      <c r="B261" s="1" t="str">
        <f>"مسعود"</f>
        <v>مسعود</v>
      </c>
      <c r="C261" s="1" t="str">
        <f>"قهرماني"</f>
        <v>قهرماني</v>
      </c>
      <c r="D261" s="1" t="str">
        <f t="shared" si="24"/>
        <v>قراردادي بهره بردار</v>
      </c>
      <c r="E261" s="1" t="str">
        <f>"پروژه تعميرات نيروگاه بوشهر"</f>
        <v>پروژه تعميرات نيروگاه بوشهر</v>
      </c>
      <c r="F261" s="1">
        <v>21356809</v>
      </c>
      <c r="G261" s="1">
        <v>11583449</v>
      </c>
      <c r="H261" s="1">
        <v>0</v>
      </c>
      <c r="I261" s="1">
        <v>21006350</v>
      </c>
      <c r="J261" s="1">
        <v>0</v>
      </c>
      <c r="K261" s="1">
        <v>5500000</v>
      </c>
      <c r="L261" s="1">
        <v>0</v>
      </c>
      <c r="M261" s="1">
        <v>1000000</v>
      </c>
      <c r="N261" s="1">
        <v>3737058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14839580</v>
      </c>
      <c r="W261" s="1">
        <v>1900000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2957400</v>
      </c>
      <c r="AD261" s="1">
        <v>0</v>
      </c>
      <c r="AE261" s="1">
        <v>2669327</v>
      </c>
      <c r="AF261" s="1">
        <v>1516881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4804789</v>
      </c>
      <c r="AM261" s="1">
        <v>0</v>
      </c>
      <c r="AN261" s="1">
        <v>0</v>
      </c>
      <c r="AO261" s="1">
        <v>92871643</v>
      </c>
      <c r="AP261" s="1">
        <v>39280739</v>
      </c>
      <c r="AQ261" s="1">
        <v>53590904</v>
      </c>
      <c r="AR261" s="1">
        <v>18270952</v>
      </c>
      <c r="AS261" s="1">
        <v>2740643</v>
      </c>
      <c r="AT261" s="1">
        <f t="shared" si="26"/>
        <v>113883238</v>
      </c>
    </row>
    <row r="262" spans="1:46" x14ac:dyDescent="0.2">
      <c r="A262" s="1" t="str">
        <f>"00304"</f>
        <v>00304</v>
      </c>
      <c r="B262" s="1" t="str">
        <f>"سيد اسماعيل"</f>
        <v>سيد اسماعيل</v>
      </c>
      <c r="C262" s="1" t="str">
        <f>"حسيني"</f>
        <v>حسيني</v>
      </c>
      <c r="D262" s="1" t="str">
        <f t="shared" si="24"/>
        <v>قراردادي بهره بردار</v>
      </c>
      <c r="E262" s="1" t="str">
        <f t="shared" ref="E262:E269" si="27">"پروژه بهره برداري نيروگاه بوشهر"</f>
        <v>پروژه بهره برداري نيروگاه بوشهر</v>
      </c>
      <c r="F262" s="1">
        <v>16423428</v>
      </c>
      <c r="G262" s="1">
        <v>7897553</v>
      </c>
      <c r="H262" s="1">
        <v>0</v>
      </c>
      <c r="I262" s="1">
        <v>15638082</v>
      </c>
      <c r="J262" s="1">
        <v>0</v>
      </c>
      <c r="K262" s="1">
        <v>4620000</v>
      </c>
      <c r="L262" s="1">
        <v>0</v>
      </c>
      <c r="M262" s="1">
        <v>1000000</v>
      </c>
      <c r="N262" s="1">
        <v>3225647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11729235</v>
      </c>
      <c r="W262" s="1">
        <v>1900000</v>
      </c>
      <c r="X262" s="1">
        <v>2384046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2304034</v>
      </c>
      <c r="AF262" s="1">
        <v>1516881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12857132</v>
      </c>
      <c r="AM262" s="1">
        <v>0</v>
      </c>
      <c r="AN262" s="1">
        <v>0</v>
      </c>
      <c r="AO262" s="1">
        <v>81496038</v>
      </c>
      <c r="AP262" s="1">
        <v>36002610</v>
      </c>
      <c r="AQ262" s="1">
        <v>45493428</v>
      </c>
      <c r="AR262" s="1">
        <v>15995831</v>
      </c>
      <c r="AS262" s="1">
        <v>2399375</v>
      </c>
      <c r="AT262" s="1">
        <f t="shared" si="26"/>
        <v>99891244</v>
      </c>
    </row>
    <row r="263" spans="1:46" x14ac:dyDescent="0.2">
      <c r="A263" s="1" t="str">
        <f>"00305"</f>
        <v>00305</v>
      </c>
      <c r="B263" s="1" t="str">
        <f>"حميد رضا"</f>
        <v>حميد رضا</v>
      </c>
      <c r="C263" s="1" t="str">
        <f>"راجي"</f>
        <v>راجي</v>
      </c>
      <c r="D263" s="1" t="str">
        <f t="shared" si="24"/>
        <v>قراردادي بهره بردار</v>
      </c>
      <c r="E263" s="1" t="str">
        <f t="shared" si="27"/>
        <v>پروژه بهره برداري نيروگاه بوشهر</v>
      </c>
      <c r="F263" s="1">
        <v>21302043</v>
      </c>
      <c r="G263" s="1">
        <v>9807874</v>
      </c>
      <c r="H263" s="1">
        <v>0</v>
      </c>
      <c r="I263" s="1">
        <v>16227856</v>
      </c>
      <c r="J263" s="1">
        <v>0</v>
      </c>
      <c r="K263" s="1">
        <v>5500000</v>
      </c>
      <c r="L263" s="1">
        <v>0</v>
      </c>
      <c r="M263" s="1">
        <v>1000000</v>
      </c>
      <c r="N263" s="1">
        <v>3717890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20812226</v>
      </c>
      <c r="W263" s="1">
        <v>1900000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2655636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4780144</v>
      </c>
      <c r="AM263" s="1">
        <v>0</v>
      </c>
      <c r="AN263" s="1">
        <v>0</v>
      </c>
      <c r="AO263" s="1">
        <v>87703669</v>
      </c>
      <c r="AP263" s="1">
        <v>27786175</v>
      </c>
      <c r="AQ263" s="1">
        <v>59917494</v>
      </c>
      <c r="AR263" s="1">
        <v>17540734</v>
      </c>
      <c r="AS263" s="1">
        <v>2631110</v>
      </c>
      <c r="AT263" s="1">
        <f t="shared" si="26"/>
        <v>107875513</v>
      </c>
    </row>
    <row r="264" spans="1:46" x14ac:dyDescent="0.2">
      <c r="A264" s="1" t="str">
        <f>"00306"</f>
        <v>00306</v>
      </c>
      <c r="B264" s="1" t="str">
        <f>"ميثم"</f>
        <v>ميثم</v>
      </c>
      <c r="C264" s="1" t="str">
        <f>"اماني هاروني"</f>
        <v>اماني هاروني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21120217</v>
      </c>
      <c r="G264" s="1">
        <v>10844958</v>
      </c>
      <c r="H264" s="1">
        <v>0</v>
      </c>
      <c r="I264" s="1">
        <v>18002257</v>
      </c>
      <c r="J264" s="1">
        <v>0</v>
      </c>
      <c r="K264" s="1">
        <v>5500000</v>
      </c>
      <c r="L264" s="1">
        <v>0</v>
      </c>
      <c r="M264" s="1">
        <v>1000000</v>
      </c>
      <c r="N264" s="1">
        <v>3654251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1606000</v>
      </c>
      <c r="U264" s="1">
        <v>0</v>
      </c>
      <c r="V264" s="1">
        <v>18207096</v>
      </c>
      <c r="W264" s="1">
        <v>1900000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2610179</v>
      </c>
      <c r="AF264" s="1">
        <v>1516881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6264430</v>
      </c>
      <c r="AM264" s="1">
        <v>0</v>
      </c>
      <c r="AN264" s="1">
        <v>0</v>
      </c>
      <c r="AO264" s="1">
        <v>92226269</v>
      </c>
      <c r="AP264" s="1">
        <v>37253899</v>
      </c>
      <c r="AQ264" s="1">
        <v>54972370</v>
      </c>
      <c r="AR264" s="1">
        <v>17820678</v>
      </c>
      <c r="AS264" s="1">
        <v>2673102</v>
      </c>
      <c r="AT264" s="1">
        <f t="shared" si="26"/>
        <v>112720049</v>
      </c>
    </row>
    <row r="265" spans="1:46" x14ac:dyDescent="0.2">
      <c r="A265" s="1" t="str">
        <f>"00307"</f>
        <v>00307</v>
      </c>
      <c r="B265" s="1" t="str">
        <f>"حبيب اله"</f>
        <v>حبيب اله</v>
      </c>
      <c r="C265" s="1" t="str">
        <f>"خدادادي"</f>
        <v>خدادادي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15529636</v>
      </c>
      <c r="G265" s="1">
        <v>9299819</v>
      </c>
      <c r="H265" s="1">
        <v>0</v>
      </c>
      <c r="I265" s="1">
        <v>14083892</v>
      </c>
      <c r="J265" s="1">
        <v>0</v>
      </c>
      <c r="K265" s="1">
        <v>0</v>
      </c>
      <c r="L265" s="1">
        <v>0</v>
      </c>
      <c r="M265" s="1">
        <v>1000000</v>
      </c>
      <c r="N265" s="1">
        <v>2912820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1606000</v>
      </c>
      <c r="U265" s="1">
        <v>0</v>
      </c>
      <c r="V265" s="1">
        <v>15245153</v>
      </c>
      <c r="W265" s="1">
        <v>1900000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2080586</v>
      </c>
      <c r="AF265" s="1">
        <v>3033762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7448661</v>
      </c>
      <c r="AM265" s="1">
        <v>0</v>
      </c>
      <c r="AN265" s="1">
        <v>0</v>
      </c>
      <c r="AO265" s="1">
        <v>74140329</v>
      </c>
      <c r="AP265" s="1">
        <v>38437076</v>
      </c>
      <c r="AQ265" s="1">
        <v>35703253</v>
      </c>
      <c r="AR265" s="1">
        <v>13900113</v>
      </c>
      <c r="AS265" s="1">
        <v>2085017</v>
      </c>
      <c r="AT265" s="1">
        <f t="shared" si="26"/>
        <v>90125459</v>
      </c>
    </row>
    <row r="266" spans="1:46" x14ac:dyDescent="0.2">
      <c r="A266" s="1" t="str">
        <f>"00308"</f>
        <v>00308</v>
      </c>
      <c r="B266" s="1" t="str">
        <f>"هادي"</f>
        <v>هادي</v>
      </c>
      <c r="C266" s="1" t="str">
        <f>"حداديان نژاد يوسفي"</f>
        <v>حداديان نژاد يوسفي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21372144</v>
      </c>
      <c r="G266" s="1">
        <v>16470606</v>
      </c>
      <c r="H266" s="1">
        <v>0</v>
      </c>
      <c r="I266" s="1">
        <v>18310124</v>
      </c>
      <c r="J266" s="1">
        <v>0</v>
      </c>
      <c r="K266" s="1">
        <v>5500000</v>
      </c>
      <c r="L266" s="1">
        <v>0</v>
      </c>
      <c r="M266" s="1">
        <v>1000000</v>
      </c>
      <c r="N266" s="1">
        <v>3742425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51192737</v>
      </c>
      <c r="W266" s="1">
        <v>1900000</v>
      </c>
      <c r="X266" s="1">
        <v>3102408</v>
      </c>
      <c r="Y266" s="1">
        <v>0</v>
      </c>
      <c r="Z266" s="1">
        <v>0</v>
      </c>
      <c r="AA266" s="1">
        <v>0</v>
      </c>
      <c r="AB266" s="1">
        <v>0</v>
      </c>
      <c r="AC266" s="1">
        <v>3877480</v>
      </c>
      <c r="AD266" s="1">
        <v>0</v>
      </c>
      <c r="AE266" s="1">
        <v>2673161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20718844</v>
      </c>
      <c r="AM266" s="1">
        <v>0</v>
      </c>
      <c r="AN266" s="1">
        <v>0</v>
      </c>
      <c r="AO266" s="1">
        <v>149859929</v>
      </c>
      <c r="AP266" s="1">
        <v>52381382</v>
      </c>
      <c r="AQ266" s="1">
        <v>97478547</v>
      </c>
      <c r="AR266" s="1">
        <v>21944212</v>
      </c>
      <c r="AS266" s="1">
        <v>3291632</v>
      </c>
      <c r="AT266" s="1">
        <f t="shared" si="26"/>
        <v>175095773</v>
      </c>
    </row>
    <row r="267" spans="1:46" x14ac:dyDescent="0.2">
      <c r="A267" s="1" t="str">
        <f>"00310"</f>
        <v>00310</v>
      </c>
      <c r="B267" s="1" t="str">
        <f>"سيد محمدرضا"</f>
        <v>سيد محمدرضا</v>
      </c>
      <c r="C267" s="1" t="str">
        <f>"موسوي"</f>
        <v>موسوي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14425540</v>
      </c>
      <c r="G267" s="1">
        <v>12257360</v>
      </c>
      <c r="H267" s="1">
        <v>0</v>
      </c>
      <c r="I267" s="1">
        <v>11947853</v>
      </c>
      <c r="J267" s="1">
        <v>0</v>
      </c>
      <c r="K267" s="1">
        <v>4620000</v>
      </c>
      <c r="L267" s="1">
        <v>0</v>
      </c>
      <c r="M267" s="1">
        <v>1000000</v>
      </c>
      <c r="N267" s="1">
        <v>2526386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16753310</v>
      </c>
      <c r="W267" s="1">
        <v>1900000</v>
      </c>
      <c r="X267" s="1">
        <v>2094030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1804562</v>
      </c>
      <c r="AF267" s="1">
        <v>1516881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10443784</v>
      </c>
      <c r="AM267" s="1">
        <v>0</v>
      </c>
      <c r="AN267" s="1">
        <v>0</v>
      </c>
      <c r="AO267" s="1">
        <v>81289706</v>
      </c>
      <c r="AP267" s="1">
        <v>31000101</v>
      </c>
      <c r="AQ267" s="1">
        <v>50289605</v>
      </c>
      <c r="AR267" s="1">
        <v>15954565</v>
      </c>
      <c r="AS267" s="1">
        <v>2393185</v>
      </c>
      <c r="AT267" s="1">
        <f t="shared" si="26"/>
        <v>99637456</v>
      </c>
    </row>
    <row r="268" spans="1:46" x14ac:dyDescent="0.2">
      <c r="A268" s="1" t="str">
        <f>"00311"</f>
        <v>00311</v>
      </c>
      <c r="B268" s="1" t="str">
        <f>"سروش"</f>
        <v>سروش</v>
      </c>
      <c r="C268" s="1" t="str">
        <f>"سياره"</f>
        <v>سياره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15891096</v>
      </c>
      <c r="G268" s="1">
        <v>2067406</v>
      </c>
      <c r="H268" s="1">
        <v>0</v>
      </c>
      <c r="I268" s="1">
        <v>14005737</v>
      </c>
      <c r="J268" s="1">
        <v>0</v>
      </c>
      <c r="K268" s="1">
        <v>4620000</v>
      </c>
      <c r="L268" s="1">
        <v>0</v>
      </c>
      <c r="M268" s="1">
        <v>1000000</v>
      </c>
      <c r="N268" s="1">
        <v>3039331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9211369</v>
      </c>
      <c r="W268" s="1">
        <v>1900000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2170951</v>
      </c>
      <c r="AF268" s="1">
        <v>3033762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4511678</v>
      </c>
      <c r="AM268" s="1">
        <v>0</v>
      </c>
      <c r="AN268" s="1">
        <v>0</v>
      </c>
      <c r="AO268" s="1">
        <v>61451330</v>
      </c>
      <c r="AP268" s="1">
        <v>9765204</v>
      </c>
      <c r="AQ268" s="1">
        <v>51686126</v>
      </c>
      <c r="AR268" s="1">
        <v>11683514</v>
      </c>
      <c r="AS268" s="1">
        <v>1752527</v>
      </c>
      <c r="AT268" s="1">
        <f t="shared" si="26"/>
        <v>74887371</v>
      </c>
    </row>
    <row r="269" spans="1:46" x14ac:dyDescent="0.2">
      <c r="A269" s="1" t="str">
        <f>"00312"</f>
        <v>00312</v>
      </c>
      <c r="B269" s="1" t="str">
        <f>"فهيمه"</f>
        <v>فهيمه</v>
      </c>
      <c r="C269" s="1" t="str">
        <f>"قنبري"</f>
        <v>قنبري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21468533</v>
      </c>
      <c r="G269" s="1">
        <v>2016180</v>
      </c>
      <c r="H269" s="1">
        <v>0</v>
      </c>
      <c r="I269" s="1">
        <v>15725222</v>
      </c>
      <c r="J269" s="1">
        <v>1100000</v>
      </c>
      <c r="K269" s="1">
        <v>4125000</v>
      </c>
      <c r="L269" s="1">
        <v>0</v>
      </c>
      <c r="M269" s="1">
        <v>1000000</v>
      </c>
      <c r="N269" s="1">
        <v>3776162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8614107</v>
      </c>
      <c r="W269" s="1">
        <v>1900000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2697258</v>
      </c>
      <c r="AF269" s="1">
        <v>1516881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4863006</v>
      </c>
      <c r="AM269" s="1">
        <v>0</v>
      </c>
      <c r="AN269" s="1">
        <v>0</v>
      </c>
      <c r="AO269" s="1">
        <v>68802349</v>
      </c>
      <c r="AP269" s="1">
        <v>35577878</v>
      </c>
      <c r="AQ269" s="1">
        <v>33224471</v>
      </c>
      <c r="AR269" s="1">
        <v>13237094</v>
      </c>
      <c r="AS269" s="1">
        <v>1985564</v>
      </c>
      <c r="AT269" s="1">
        <f t="shared" si="26"/>
        <v>84025007</v>
      </c>
    </row>
    <row r="270" spans="1:46" x14ac:dyDescent="0.2">
      <c r="A270" s="1" t="str">
        <f>"00313"</f>
        <v>00313</v>
      </c>
      <c r="B270" s="1" t="str">
        <f>"محمدرضا"</f>
        <v>محمدرضا</v>
      </c>
      <c r="C270" s="1" t="str">
        <f>"غلامي"</f>
        <v>غلامي</v>
      </c>
      <c r="D270" s="1" t="str">
        <f t="shared" si="24"/>
        <v>قراردادي بهره بردار</v>
      </c>
      <c r="E270" s="1" t="str">
        <f>"پروژه تعميرات نيروگاه بوشهر"</f>
        <v>پروژه تعميرات نيروگاه بوشهر</v>
      </c>
      <c r="F270" s="1">
        <v>24680052</v>
      </c>
      <c r="G270" s="1">
        <v>1594137</v>
      </c>
      <c r="H270" s="1">
        <v>0</v>
      </c>
      <c r="I270" s="1">
        <v>23711023</v>
      </c>
      <c r="J270" s="1">
        <v>0</v>
      </c>
      <c r="K270" s="1">
        <v>5500000</v>
      </c>
      <c r="L270" s="1">
        <v>0</v>
      </c>
      <c r="M270" s="1">
        <v>1000000</v>
      </c>
      <c r="N270" s="1">
        <v>3382061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14063263</v>
      </c>
      <c r="W270" s="1">
        <v>1900000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2415759</v>
      </c>
      <c r="AF270" s="1">
        <v>1516881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6298252</v>
      </c>
      <c r="AM270" s="1">
        <v>0</v>
      </c>
      <c r="AN270" s="1">
        <v>0</v>
      </c>
      <c r="AO270" s="1">
        <v>86061428</v>
      </c>
      <c r="AP270" s="1">
        <v>19850839</v>
      </c>
      <c r="AQ270" s="1">
        <v>66210589</v>
      </c>
      <c r="AR270" s="1">
        <v>16908910</v>
      </c>
      <c r="AS270" s="1">
        <v>2536338</v>
      </c>
      <c r="AT270" s="1">
        <f t="shared" si="26"/>
        <v>105506676</v>
      </c>
    </row>
    <row r="271" spans="1:46" x14ac:dyDescent="0.2">
      <c r="A271" s="1" t="str">
        <f>"00314"</f>
        <v>00314</v>
      </c>
      <c r="B271" s="1" t="str">
        <f>"مجتبي"</f>
        <v>مجتبي</v>
      </c>
      <c r="C271" s="1" t="str">
        <f>"طبسي"</f>
        <v>طبسي</v>
      </c>
      <c r="D271" s="1" t="str">
        <f t="shared" si="24"/>
        <v>قراردادي بهره بردار</v>
      </c>
      <c r="E271" s="1" t="str">
        <f t="shared" ref="E271:E296" si="28">"پروژه بهره برداري نيروگاه بوشهر"</f>
        <v>پروژه بهره برداري نيروگاه بوشهر</v>
      </c>
      <c r="F271" s="1">
        <v>15816613</v>
      </c>
      <c r="G271" s="1">
        <v>11114914</v>
      </c>
      <c r="H271" s="1">
        <v>0</v>
      </c>
      <c r="I271" s="1">
        <v>14334992</v>
      </c>
      <c r="J271" s="1">
        <v>0</v>
      </c>
      <c r="K271" s="1">
        <v>4620000</v>
      </c>
      <c r="L271" s="1">
        <v>0</v>
      </c>
      <c r="M271" s="1">
        <v>1000000</v>
      </c>
      <c r="N271" s="1">
        <v>3013262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15442570</v>
      </c>
      <c r="W271" s="1">
        <v>1900000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2152330</v>
      </c>
      <c r="AF271" s="1">
        <v>1516881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7578830</v>
      </c>
      <c r="AM271" s="1">
        <v>0</v>
      </c>
      <c r="AN271" s="1">
        <v>0</v>
      </c>
      <c r="AO271" s="1">
        <v>78490392</v>
      </c>
      <c r="AP271" s="1">
        <v>13261746</v>
      </c>
      <c r="AQ271" s="1">
        <v>65228646</v>
      </c>
      <c r="AR271" s="1">
        <v>15394702</v>
      </c>
      <c r="AS271" s="1">
        <v>2309205</v>
      </c>
      <c r="AT271" s="1">
        <f t="shared" si="26"/>
        <v>96194299</v>
      </c>
    </row>
    <row r="272" spans="1:46" x14ac:dyDescent="0.2">
      <c r="A272" s="1" t="str">
        <f>"00315"</f>
        <v>00315</v>
      </c>
      <c r="B272" s="1" t="str">
        <f>"فرشاد"</f>
        <v>فرشاد</v>
      </c>
      <c r="C272" s="1" t="str">
        <f>"خالقي قناتغستاني"</f>
        <v>خالقي قناتغستاني</v>
      </c>
      <c r="D272" s="1" t="str">
        <f t="shared" si="24"/>
        <v>قراردادي بهره بردار</v>
      </c>
      <c r="E272" s="1" t="str">
        <f t="shared" si="28"/>
        <v>پروژه بهره برداري نيروگاه بوشهر</v>
      </c>
      <c r="F272" s="1">
        <v>18322736</v>
      </c>
      <c r="G272" s="1">
        <v>14175294</v>
      </c>
      <c r="H272" s="1">
        <v>0</v>
      </c>
      <c r="I272" s="1">
        <v>15600711</v>
      </c>
      <c r="J272" s="1">
        <v>0</v>
      </c>
      <c r="K272" s="1">
        <v>4620000</v>
      </c>
      <c r="L272" s="1">
        <v>0</v>
      </c>
      <c r="M272" s="1">
        <v>1000000</v>
      </c>
      <c r="N272" s="1">
        <v>2924322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17805063</v>
      </c>
      <c r="W272" s="1">
        <v>1900000</v>
      </c>
      <c r="X272" s="1">
        <v>2659752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2088801</v>
      </c>
      <c r="AF272" s="1">
        <v>1516881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12672303</v>
      </c>
      <c r="AM272" s="1">
        <v>0</v>
      </c>
      <c r="AN272" s="1">
        <v>0</v>
      </c>
      <c r="AO272" s="1">
        <v>95285863</v>
      </c>
      <c r="AP272" s="1">
        <v>36307027</v>
      </c>
      <c r="AQ272" s="1">
        <v>58978836</v>
      </c>
      <c r="AR272" s="1">
        <v>18753797</v>
      </c>
      <c r="AS272" s="1">
        <v>2813069</v>
      </c>
      <c r="AT272" s="1">
        <f t="shared" si="26"/>
        <v>116852729</v>
      </c>
    </row>
    <row r="273" spans="1:46" x14ac:dyDescent="0.2">
      <c r="A273" s="1" t="str">
        <f>"00316"</f>
        <v>00316</v>
      </c>
      <c r="B273" s="1" t="str">
        <f>"مهدي"</f>
        <v>مهدي</v>
      </c>
      <c r="C273" s="1" t="str">
        <f>"دهقان زاده"</f>
        <v>دهقان زاده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14903105</v>
      </c>
      <c r="G273" s="1">
        <v>0</v>
      </c>
      <c r="H273" s="1">
        <v>0</v>
      </c>
      <c r="I273" s="1">
        <v>12546333</v>
      </c>
      <c r="J273" s="1">
        <v>0</v>
      </c>
      <c r="K273" s="1">
        <v>4620000</v>
      </c>
      <c r="L273" s="1">
        <v>0</v>
      </c>
      <c r="M273" s="1">
        <v>1000000</v>
      </c>
      <c r="N273" s="1">
        <v>2935055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8843994</v>
      </c>
      <c r="W273" s="1">
        <v>1900000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2096468</v>
      </c>
      <c r="AF273" s="1">
        <v>1516881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5557721</v>
      </c>
      <c r="AM273" s="1">
        <v>0</v>
      </c>
      <c r="AN273" s="1">
        <v>0</v>
      </c>
      <c r="AO273" s="1">
        <v>55919557</v>
      </c>
      <c r="AP273" s="1">
        <v>14531474</v>
      </c>
      <c r="AQ273" s="1">
        <v>41388083</v>
      </c>
      <c r="AR273" s="1">
        <v>10880535</v>
      </c>
      <c r="AS273" s="1">
        <v>1632080</v>
      </c>
      <c r="AT273" s="1">
        <f t="shared" si="26"/>
        <v>68432172</v>
      </c>
    </row>
    <row r="274" spans="1:46" x14ac:dyDescent="0.2">
      <c r="A274" s="1" t="str">
        <f>"00317"</f>
        <v>00317</v>
      </c>
      <c r="B274" s="1" t="str">
        <f>"محمدرضا"</f>
        <v>محمدرضا</v>
      </c>
      <c r="C274" s="1" t="str">
        <f>"جليلي"</f>
        <v>جليلي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25674615</v>
      </c>
      <c r="G274" s="1">
        <v>13176941</v>
      </c>
      <c r="H274" s="1">
        <v>0</v>
      </c>
      <c r="I274" s="1">
        <v>19512365</v>
      </c>
      <c r="J274" s="1">
        <v>0</v>
      </c>
      <c r="K274" s="1">
        <v>5500000</v>
      </c>
      <c r="L274" s="1">
        <v>0</v>
      </c>
      <c r="M274" s="1">
        <v>1000000</v>
      </c>
      <c r="N274" s="1">
        <v>3730158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1606000</v>
      </c>
      <c r="U274" s="1">
        <v>0</v>
      </c>
      <c r="V274" s="1">
        <v>18353577</v>
      </c>
      <c r="W274" s="1">
        <v>1900000</v>
      </c>
      <c r="X274" s="1">
        <v>0</v>
      </c>
      <c r="Y274" s="1">
        <v>1205551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2664400</v>
      </c>
      <c r="AF274" s="1">
        <v>1516881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5328795</v>
      </c>
      <c r="AM274" s="1">
        <v>0</v>
      </c>
      <c r="AN274" s="1">
        <v>0</v>
      </c>
      <c r="AO274" s="1">
        <v>101169283</v>
      </c>
      <c r="AP274" s="1">
        <v>20506278</v>
      </c>
      <c r="AQ274" s="1">
        <v>80663005</v>
      </c>
      <c r="AR274" s="1">
        <v>18826629</v>
      </c>
      <c r="AS274" s="1">
        <v>2823995</v>
      </c>
      <c r="AT274" s="1">
        <f t="shared" si="26"/>
        <v>122819907</v>
      </c>
    </row>
    <row r="275" spans="1:46" x14ac:dyDescent="0.2">
      <c r="A275" s="1" t="str">
        <f>"00318"</f>
        <v>00318</v>
      </c>
      <c r="B275" s="1" t="str">
        <f>"حميد"</f>
        <v>حميد</v>
      </c>
      <c r="C275" s="1" t="str">
        <f>"صحرائي"</f>
        <v>صحرائي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18197865</v>
      </c>
      <c r="G275" s="1">
        <v>9355150</v>
      </c>
      <c r="H275" s="1">
        <v>0</v>
      </c>
      <c r="I275" s="1">
        <v>15094046</v>
      </c>
      <c r="J275" s="1">
        <v>0</v>
      </c>
      <c r="K275" s="1">
        <v>4620000</v>
      </c>
      <c r="L275" s="1">
        <v>0</v>
      </c>
      <c r="M275" s="1">
        <v>1000000</v>
      </c>
      <c r="N275" s="1">
        <v>2880619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1606000</v>
      </c>
      <c r="U275" s="1">
        <v>0</v>
      </c>
      <c r="V275" s="1">
        <v>31294276</v>
      </c>
      <c r="W275" s="1">
        <v>1900000</v>
      </c>
      <c r="X275" s="1">
        <v>2641626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2057585</v>
      </c>
      <c r="AF275" s="1">
        <v>1516881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11802987</v>
      </c>
      <c r="AM275" s="1">
        <v>0</v>
      </c>
      <c r="AN275" s="1">
        <v>0</v>
      </c>
      <c r="AO275" s="1">
        <v>103967035</v>
      </c>
      <c r="AP275" s="1">
        <v>22414999</v>
      </c>
      <c r="AQ275" s="1">
        <v>81552036</v>
      </c>
      <c r="AR275" s="1">
        <v>20168831</v>
      </c>
      <c r="AS275" s="1">
        <v>3025324</v>
      </c>
      <c r="AT275" s="1">
        <f t="shared" si="26"/>
        <v>127161190</v>
      </c>
    </row>
    <row r="276" spans="1:46" x14ac:dyDescent="0.2">
      <c r="A276" s="1" t="str">
        <f>"00319"</f>
        <v>00319</v>
      </c>
      <c r="B276" s="1" t="str">
        <f>"سعيد"</f>
        <v>سعيد</v>
      </c>
      <c r="C276" s="1" t="str">
        <f>"لازمي"</f>
        <v>لازمي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21190319</v>
      </c>
      <c r="G276" s="1">
        <v>23453752</v>
      </c>
      <c r="H276" s="1">
        <v>0</v>
      </c>
      <c r="I276" s="1">
        <v>18056283</v>
      </c>
      <c r="J276" s="1">
        <v>0</v>
      </c>
      <c r="K276" s="1">
        <v>5500000</v>
      </c>
      <c r="L276" s="1">
        <v>0</v>
      </c>
      <c r="M276" s="1">
        <v>1000000</v>
      </c>
      <c r="N276" s="1">
        <v>3678787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50836816</v>
      </c>
      <c r="W276" s="1">
        <v>1900000</v>
      </c>
      <c r="X276" s="1">
        <v>3076014</v>
      </c>
      <c r="Y276" s="1">
        <v>0</v>
      </c>
      <c r="Z276" s="1">
        <v>0</v>
      </c>
      <c r="AA276" s="1">
        <v>0</v>
      </c>
      <c r="AB276" s="1">
        <v>0</v>
      </c>
      <c r="AC276" s="1">
        <v>3877480</v>
      </c>
      <c r="AD276" s="1">
        <v>0</v>
      </c>
      <c r="AE276" s="1">
        <v>2627705</v>
      </c>
      <c r="AF276" s="1">
        <v>1516881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20558837</v>
      </c>
      <c r="AM276" s="1">
        <v>0</v>
      </c>
      <c r="AN276" s="1">
        <v>0</v>
      </c>
      <c r="AO276" s="1">
        <v>157272874</v>
      </c>
      <c r="AP276" s="1">
        <v>51168115</v>
      </c>
      <c r="AQ276" s="1">
        <v>106104759</v>
      </c>
      <c r="AR276" s="1">
        <v>21944212</v>
      </c>
      <c r="AS276" s="1">
        <v>3291632</v>
      </c>
      <c r="AT276" s="1">
        <f t="shared" si="26"/>
        <v>182508718</v>
      </c>
    </row>
    <row r="277" spans="1:46" x14ac:dyDescent="0.2">
      <c r="A277" s="1" t="str">
        <f>"00320"</f>
        <v>00320</v>
      </c>
      <c r="B277" s="1" t="str">
        <f>"داريوش"</f>
        <v>داريوش</v>
      </c>
      <c r="C277" s="1" t="str">
        <f>"راهواره"</f>
        <v>راهواره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17829833</v>
      </c>
      <c r="G277" s="1">
        <v>9042729</v>
      </c>
      <c r="H277" s="1">
        <v>0</v>
      </c>
      <c r="I277" s="1">
        <v>12410381</v>
      </c>
      <c r="J277" s="1">
        <v>0</v>
      </c>
      <c r="K277" s="1">
        <v>3465000</v>
      </c>
      <c r="L277" s="1">
        <v>0</v>
      </c>
      <c r="M277" s="1">
        <v>1000000</v>
      </c>
      <c r="N277" s="1">
        <v>2751808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1606000</v>
      </c>
      <c r="U277" s="1">
        <v>0</v>
      </c>
      <c r="V277" s="1">
        <v>9177817</v>
      </c>
      <c r="W277" s="1">
        <v>1900000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1965577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4516883</v>
      </c>
      <c r="AM277" s="1">
        <v>0</v>
      </c>
      <c r="AN277" s="1">
        <v>0</v>
      </c>
      <c r="AO277" s="1">
        <v>65666028</v>
      </c>
      <c r="AP277" s="1">
        <v>13827035</v>
      </c>
      <c r="AQ277" s="1">
        <v>51838993</v>
      </c>
      <c r="AR277" s="1">
        <v>12812005</v>
      </c>
      <c r="AS277" s="1">
        <v>1921801</v>
      </c>
      <c r="AT277" s="1">
        <f t="shared" si="26"/>
        <v>80399834</v>
      </c>
    </row>
    <row r="278" spans="1:46" x14ac:dyDescent="0.2">
      <c r="A278" s="1" t="str">
        <f>"00321"</f>
        <v>00321</v>
      </c>
      <c r="B278" s="1" t="str">
        <f>"محمد"</f>
        <v>محمد</v>
      </c>
      <c r="C278" s="1" t="str">
        <f>"ابراهيمي"</f>
        <v>ابراهيمي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18465131</v>
      </c>
      <c r="G278" s="1">
        <v>12742365</v>
      </c>
      <c r="H278" s="1">
        <v>0</v>
      </c>
      <c r="I278" s="1">
        <v>15074746</v>
      </c>
      <c r="J278" s="1">
        <v>0</v>
      </c>
      <c r="K278" s="1">
        <v>4620000</v>
      </c>
      <c r="L278" s="1">
        <v>0</v>
      </c>
      <c r="M278" s="1">
        <v>1000000</v>
      </c>
      <c r="N278" s="1">
        <v>2974156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11998323</v>
      </c>
      <c r="W278" s="1">
        <v>1900000</v>
      </c>
      <c r="X278" s="1">
        <v>2680422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2124396</v>
      </c>
      <c r="AF278" s="1">
        <v>1516881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12967257</v>
      </c>
      <c r="AM278" s="1">
        <v>0</v>
      </c>
      <c r="AN278" s="1">
        <v>0</v>
      </c>
      <c r="AO278" s="1">
        <v>88063677</v>
      </c>
      <c r="AP278" s="1">
        <v>41330952</v>
      </c>
      <c r="AQ278" s="1">
        <v>46732725</v>
      </c>
      <c r="AR278" s="1">
        <v>17309359</v>
      </c>
      <c r="AS278" s="1">
        <v>2596403</v>
      </c>
      <c r="AT278" s="1">
        <f t="shared" si="26"/>
        <v>107969439</v>
      </c>
    </row>
    <row r="279" spans="1:46" x14ac:dyDescent="0.2">
      <c r="A279" s="1" t="str">
        <f>"00322"</f>
        <v>00322</v>
      </c>
      <c r="B279" s="1" t="str">
        <f>"ميثم"</f>
        <v>ميثم</v>
      </c>
      <c r="C279" s="1" t="str">
        <f>"توتونچي رازليقي"</f>
        <v>توتونچي رازليقي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15744321</v>
      </c>
      <c r="G279" s="1">
        <v>3459785</v>
      </c>
      <c r="H279" s="1">
        <v>0</v>
      </c>
      <c r="I279" s="1">
        <v>13555441</v>
      </c>
      <c r="J279" s="1">
        <v>0</v>
      </c>
      <c r="K279" s="1">
        <v>3465000</v>
      </c>
      <c r="L279" s="1">
        <v>0</v>
      </c>
      <c r="M279" s="1">
        <v>1000000</v>
      </c>
      <c r="N279" s="1">
        <v>2987960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13284778</v>
      </c>
      <c r="W279" s="1">
        <v>1900000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2134257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6771132</v>
      </c>
      <c r="AM279" s="1">
        <v>0</v>
      </c>
      <c r="AN279" s="1">
        <v>0</v>
      </c>
      <c r="AO279" s="1">
        <v>64302674</v>
      </c>
      <c r="AP279" s="1">
        <v>12055844</v>
      </c>
      <c r="AQ279" s="1">
        <v>52246830</v>
      </c>
      <c r="AR279" s="1">
        <v>12860535</v>
      </c>
      <c r="AS279" s="1">
        <v>1929080</v>
      </c>
      <c r="AT279" s="1">
        <f t="shared" si="26"/>
        <v>79092289</v>
      </c>
    </row>
    <row r="280" spans="1:46" x14ac:dyDescent="0.2">
      <c r="A280" s="1" t="str">
        <f>"00323"</f>
        <v>00323</v>
      </c>
      <c r="B280" s="1" t="str">
        <f>"احد"</f>
        <v>احد</v>
      </c>
      <c r="C280" s="1" t="str">
        <f>"بلاغي اينالو"</f>
        <v>بلاغي اينالو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17827645</v>
      </c>
      <c r="G280" s="1">
        <v>8260673</v>
      </c>
      <c r="H280" s="1">
        <v>0</v>
      </c>
      <c r="I280" s="1">
        <v>15271175</v>
      </c>
      <c r="J280" s="1">
        <v>0</v>
      </c>
      <c r="K280" s="1">
        <v>4620000</v>
      </c>
      <c r="L280" s="1">
        <v>0</v>
      </c>
      <c r="M280" s="1">
        <v>1000000</v>
      </c>
      <c r="N280" s="1">
        <v>2751040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1606000</v>
      </c>
      <c r="U280" s="1">
        <v>0</v>
      </c>
      <c r="V280" s="1">
        <v>17300851</v>
      </c>
      <c r="W280" s="1">
        <v>1900000</v>
      </c>
      <c r="X280" s="1">
        <v>2587884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1965028</v>
      </c>
      <c r="AF280" s="1">
        <v>1516881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12332491</v>
      </c>
      <c r="AM280" s="1">
        <v>0</v>
      </c>
      <c r="AN280" s="1">
        <v>0</v>
      </c>
      <c r="AO280" s="1">
        <v>88939668</v>
      </c>
      <c r="AP280" s="1">
        <v>17596375</v>
      </c>
      <c r="AQ280" s="1">
        <v>71343293</v>
      </c>
      <c r="AR280" s="1">
        <v>17163358</v>
      </c>
      <c r="AS280" s="1">
        <v>2574504</v>
      </c>
      <c r="AT280" s="1">
        <f t="shared" si="26"/>
        <v>108677530</v>
      </c>
    </row>
    <row r="281" spans="1:46" x14ac:dyDescent="0.2">
      <c r="A281" s="1" t="str">
        <f>"00324"</f>
        <v>00324</v>
      </c>
      <c r="B281" s="1" t="str">
        <f>"مسعود"</f>
        <v>مسعود</v>
      </c>
      <c r="C281" s="1" t="str">
        <f>"خواجوي قره ميرشاملو"</f>
        <v>خواجوي قره ميرشاملو</v>
      </c>
      <c r="D281" s="1" t="str">
        <f t="shared" si="24"/>
        <v>قراردادي بهره بردار</v>
      </c>
      <c r="E281" s="1" t="str">
        <f t="shared" si="28"/>
        <v>پروژه بهره برداري نيروگاه بوشهر</v>
      </c>
      <c r="F281" s="1">
        <v>18427885</v>
      </c>
      <c r="G281" s="1">
        <v>8278842</v>
      </c>
      <c r="H281" s="1">
        <v>0</v>
      </c>
      <c r="I281" s="1">
        <v>15427818</v>
      </c>
      <c r="J281" s="1">
        <v>0</v>
      </c>
      <c r="K281" s="1">
        <v>4620000</v>
      </c>
      <c r="L281" s="1">
        <v>0</v>
      </c>
      <c r="M281" s="1">
        <v>1000000</v>
      </c>
      <c r="N281" s="1">
        <v>2961126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18089666</v>
      </c>
      <c r="W281" s="1">
        <v>1900000</v>
      </c>
      <c r="X281" s="1">
        <v>2675016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2115090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12752834</v>
      </c>
      <c r="AM281" s="1">
        <v>0</v>
      </c>
      <c r="AN281" s="1">
        <v>0</v>
      </c>
      <c r="AO281" s="1">
        <v>88248277</v>
      </c>
      <c r="AP281" s="1">
        <v>32020086</v>
      </c>
      <c r="AQ281" s="1">
        <v>56228191</v>
      </c>
      <c r="AR281" s="1">
        <v>17649656</v>
      </c>
      <c r="AS281" s="1">
        <v>2647450</v>
      </c>
      <c r="AT281" s="1">
        <f t="shared" si="26"/>
        <v>108545383</v>
      </c>
    </row>
    <row r="282" spans="1:46" x14ac:dyDescent="0.2">
      <c r="A282" s="1" t="str">
        <f>"00325"</f>
        <v>00325</v>
      </c>
      <c r="B282" s="1" t="str">
        <f>"وحيد"</f>
        <v>وحيد</v>
      </c>
      <c r="C282" s="1" t="str">
        <f>"ابراهيمي اصطهباناتي"</f>
        <v>ابراهيمي اصطهباناتي</v>
      </c>
      <c r="D282" s="1" t="str">
        <f t="shared" si="24"/>
        <v>قراردادي بهره بردار</v>
      </c>
      <c r="E282" s="1" t="str">
        <f t="shared" si="28"/>
        <v>پروژه بهره برداري نيروگاه بوشهر</v>
      </c>
      <c r="F282" s="1">
        <v>15446391</v>
      </c>
      <c r="G282" s="1">
        <v>8233303</v>
      </c>
      <c r="H282" s="1">
        <v>0</v>
      </c>
      <c r="I282" s="1">
        <v>14346745</v>
      </c>
      <c r="J282" s="1">
        <v>0</v>
      </c>
      <c r="K282" s="1">
        <v>4620000</v>
      </c>
      <c r="L282" s="1">
        <v>0</v>
      </c>
      <c r="M282" s="1">
        <v>1000000</v>
      </c>
      <c r="N282" s="1">
        <v>2883684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1606000</v>
      </c>
      <c r="U282" s="1">
        <v>0</v>
      </c>
      <c r="V282" s="1">
        <v>16214019</v>
      </c>
      <c r="W282" s="1">
        <v>1900000</v>
      </c>
      <c r="X282" s="1">
        <v>2242218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2059774</v>
      </c>
      <c r="AF282" s="1">
        <v>1516881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11831528</v>
      </c>
      <c r="AM282" s="1">
        <v>0</v>
      </c>
      <c r="AN282" s="1">
        <v>0</v>
      </c>
      <c r="AO282" s="1">
        <v>83900543</v>
      </c>
      <c r="AP282" s="1">
        <v>34774646</v>
      </c>
      <c r="AQ282" s="1">
        <v>49125897</v>
      </c>
      <c r="AR282" s="1">
        <v>16155531</v>
      </c>
      <c r="AS282" s="1">
        <v>2423330</v>
      </c>
      <c r="AT282" s="1">
        <f t="shared" si="26"/>
        <v>102479404</v>
      </c>
    </row>
    <row r="283" spans="1:46" x14ac:dyDescent="0.2">
      <c r="A283" s="1" t="str">
        <f>"00326"</f>
        <v>00326</v>
      </c>
      <c r="B283" s="1" t="str">
        <f>"هادي"</f>
        <v>هادي</v>
      </c>
      <c r="C283" s="1" t="str">
        <f>"زراعت پيشه"</f>
        <v>زراعت پيشه</v>
      </c>
      <c r="D283" s="1" t="str">
        <f t="shared" si="24"/>
        <v>قراردادي بهره بردار</v>
      </c>
      <c r="E283" s="1" t="str">
        <f t="shared" si="28"/>
        <v>پروژه بهره برداري نيروگاه بوشهر</v>
      </c>
      <c r="F283" s="1">
        <v>15882333</v>
      </c>
      <c r="G283" s="1">
        <v>10047077</v>
      </c>
      <c r="H283" s="1">
        <v>0</v>
      </c>
      <c r="I283" s="1">
        <v>14889526</v>
      </c>
      <c r="J283" s="1">
        <v>0</v>
      </c>
      <c r="K283" s="1">
        <v>4620000</v>
      </c>
      <c r="L283" s="1">
        <v>0</v>
      </c>
      <c r="M283" s="1">
        <v>1000000</v>
      </c>
      <c r="N283" s="1">
        <v>3036264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1606000</v>
      </c>
      <c r="U283" s="1">
        <v>0</v>
      </c>
      <c r="V283" s="1">
        <v>20552820</v>
      </c>
      <c r="W283" s="1">
        <v>1900000</v>
      </c>
      <c r="X283" s="1">
        <v>2305500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2168760</v>
      </c>
      <c r="AF283" s="1">
        <v>3033762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11270980</v>
      </c>
      <c r="AM283" s="1">
        <v>0</v>
      </c>
      <c r="AN283" s="1">
        <v>0</v>
      </c>
      <c r="AO283" s="1">
        <v>92313022</v>
      </c>
      <c r="AP283" s="1">
        <v>40420163</v>
      </c>
      <c r="AQ283" s="1">
        <v>51892859</v>
      </c>
      <c r="AR283" s="1">
        <v>17534652</v>
      </c>
      <c r="AS283" s="1">
        <v>2630198</v>
      </c>
      <c r="AT283" s="1">
        <f t="shared" si="26"/>
        <v>112477872</v>
      </c>
    </row>
    <row r="284" spans="1:46" x14ac:dyDescent="0.2">
      <c r="A284" s="1" t="str">
        <f>"00327"</f>
        <v>00327</v>
      </c>
      <c r="B284" s="1" t="str">
        <f>"محمد"</f>
        <v>محمد</v>
      </c>
      <c r="C284" s="1" t="str">
        <f>"بختياري"</f>
        <v>بختياري</v>
      </c>
      <c r="D284" s="1" t="str">
        <f t="shared" si="24"/>
        <v>قراردادي بهره بردار</v>
      </c>
      <c r="E284" s="1" t="str">
        <f t="shared" si="28"/>
        <v>پروژه بهره برداري نيروگاه بوشهر</v>
      </c>
      <c r="F284" s="1">
        <v>20338149</v>
      </c>
      <c r="G284" s="1">
        <v>10637984</v>
      </c>
      <c r="H284" s="1">
        <v>0</v>
      </c>
      <c r="I284" s="1">
        <v>15846288</v>
      </c>
      <c r="J284" s="1">
        <v>0</v>
      </c>
      <c r="K284" s="1">
        <v>0</v>
      </c>
      <c r="L284" s="1">
        <v>0</v>
      </c>
      <c r="M284" s="1">
        <v>1000000</v>
      </c>
      <c r="N284" s="1">
        <v>3380527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1606000</v>
      </c>
      <c r="U284" s="1">
        <v>0</v>
      </c>
      <c r="V284" s="1">
        <v>16198983</v>
      </c>
      <c r="W284" s="1">
        <v>1900000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2414662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4636151</v>
      </c>
      <c r="AM284" s="1">
        <v>0</v>
      </c>
      <c r="AN284" s="1">
        <v>0</v>
      </c>
      <c r="AO284" s="1">
        <v>77958744</v>
      </c>
      <c r="AP284" s="1">
        <v>22856628</v>
      </c>
      <c r="AQ284" s="1">
        <v>55102116</v>
      </c>
      <c r="AR284" s="1">
        <v>15270549</v>
      </c>
      <c r="AS284" s="1">
        <v>2290582</v>
      </c>
      <c r="AT284" s="1">
        <f t="shared" si="26"/>
        <v>95519875</v>
      </c>
    </row>
    <row r="285" spans="1:46" x14ac:dyDescent="0.2">
      <c r="A285" s="1" t="str">
        <f>"00328"</f>
        <v>00328</v>
      </c>
      <c r="B285" s="1" t="str">
        <f>"يوسف"</f>
        <v>يوسف</v>
      </c>
      <c r="C285" s="1" t="str">
        <f>"برکاتي"</f>
        <v>برکاتي</v>
      </c>
      <c r="D285" s="1" t="str">
        <f t="shared" si="24"/>
        <v>قراردادي بهره بردار</v>
      </c>
      <c r="E285" s="1" t="str">
        <f t="shared" si="28"/>
        <v>پروژه بهره برداري نيروگاه بوشهر</v>
      </c>
      <c r="F285" s="1">
        <v>16092637</v>
      </c>
      <c r="G285" s="1">
        <v>18708325</v>
      </c>
      <c r="H285" s="1">
        <v>0</v>
      </c>
      <c r="I285" s="1">
        <v>14377887</v>
      </c>
      <c r="J285" s="1">
        <v>0</v>
      </c>
      <c r="K285" s="1">
        <v>3465000</v>
      </c>
      <c r="L285" s="1">
        <v>0</v>
      </c>
      <c r="M285" s="1">
        <v>1000000</v>
      </c>
      <c r="N285" s="1">
        <v>3109870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1606000</v>
      </c>
      <c r="U285" s="1">
        <v>0</v>
      </c>
      <c r="V285" s="1">
        <v>21681767</v>
      </c>
      <c r="W285" s="1">
        <v>1900000</v>
      </c>
      <c r="X285" s="1">
        <v>2336028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2221336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12113774</v>
      </c>
      <c r="AM285" s="1">
        <v>0</v>
      </c>
      <c r="AN285" s="1">
        <v>0</v>
      </c>
      <c r="AO285" s="1">
        <v>98612624</v>
      </c>
      <c r="AP285" s="1">
        <v>41779032</v>
      </c>
      <c r="AQ285" s="1">
        <v>56833592</v>
      </c>
      <c r="AR285" s="1">
        <v>19401323</v>
      </c>
      <c r="AS285" s="1">
        <v>2910198</v>
      </c>
      <c r="AT285" s="1">
        <f t="shared" si="26"/>
        <v>120924145</v>
      </c>
    </row>
    <row r="286" spans="1:46" x14ac:dyDescent="0.2">
      <c r="A286" s="1" t="str">
        <f>"00329"</f>
        <v>00329</v>
      </c>
      <c r="B286" s="1" t="str">
        <f>"رضا"</f>
        <v>رضا</v>
      </c>
      <c r="C286" s="1" t="str">
        <f>"پرناک"</f>
        <v>پرناک</v>
      </c>
      <c r="D286" s="1" t="str">
        <f t="shared" si="24"/>
        <v>قراردادي بهره بردار</v>
      </c>
      <c r="E286" s="1" t="str">
        <f t="shared" si="28"/>
        <v>پروژه بهره برداري نيروگاه بوشهر</v>
      </c>
      <c r="F286" s="1">
        <v>15284281</v>
      </c>
      <c r="G286" s="1">
        <v>10666004</v>
      </c>
      <c r="H286" s="1">
        <v>0</v>
      </c>
      <c r="I286" s="1">
        <v>13510570</v>
      </c>
      <c r="J286" s="1">
        <v>0</v>
      </c>
      <c r="K286" s="1">
        <v>4620000</v>
      </c>
      <c r="L286" s="1">
        <v>0</v>
      </c>
      <c r="M286" s="1">
        <v>1000000</v>
      </c>
      <c r="N286" s="1">
        <v>2826946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1606000</v>
      </c>
      <c r="U286" s="1">
        <v>0</v>
      </c>
      <c r="V286" s="1">
        <v>15508585</v>
      </c>
      <c r="W286" s="1">
        <v>1900000</v>
      </c>
      <c r="X286" s="1">
        <v>2218686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2019247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11311376</v>
      </c>
      <c r="AM286" s="1">
        <v>0</v>
      </c>
      <c r="AN286" s="1">
        <v>0</v>
      </c>
      <c r="AO286" s="1">
        <v>82471695</v>
      </c>
      <c r="AP286" s="1">
        <v>17843891</v>
      </c>
      <c r="AQ286" s="1">
        <v>64627804</v>
      </c>
      <c r="AR286" s="1">
        <v>16173139</v>
      </c>
      <c r="AS286" s="1">
        <v>2425971</v>
      </c>
      <c r="AT286" s="1">
        <f t="shared" si="26"/>
        <v>101070805</v>
      </c>
    </row>
    <row r="287" spans="1:46" x14ac:dyDescent="0.2">
      <c r="A287" s="1" t="str">
        <f>"00330"</f>
        <v>00330</v>
      </c>
      <c r="B287" s="1" t="str">
        <f>"مهدي"</f>
        <v>مهدي</v>
      </c>
      <c r="C287" s="1" t="str">
        <f>"حيدري"</f>
        <v>حيدري</v>
      </c>
      <c r="D287" s="1" t="str">
        <f t="shared" si="24"/>
        <v>قراردادي بهره بردار</v>
      </c>
      <c r="E287" s="1" t="str">
        <f t="shared" si="28"/>
        <v>پروژه بهره برداري نيروگاه بوشهر</v>
      </c>
      <c r="F287" s="1">
        <v>27409623</v>
      </c>
      <c r="G287" s="1">
        <v>14262685</v>
      </c>
      <c r="H287" s="1">
        <v>0</v>
      </c>
      <c r="I287" s="1">
        <v>28528296</v>
      </c>
      <c r="J287" s="1">
        <v>0</v>
      </c>
      <c r="K287" s="1">
        <v>5500000</v>
      </c>
      <c r="L287" s="1">
        <v>0</v>
      </c>
      <c r="M287" s="1">
        <v>1000000</v>
      </c>
      <c r="N287" s="1">
        <v>4921665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1606000</v>
      </c>
      <c r="U287" s="1">
        <v>0</v>
      </c>
      <c r="V287" s="1">
        <v>25188964</v>
      </c>
      <c r="W287" s="1">
        <v>1900000</v>
      </c>
      <c r="X287" s="1">
        <v>0</v>
      </c>
      <c r="Y287" s="1">
        <v>4094753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3515474</v>
      </c>
      <c r="AF287" s="1">
        <v>8292283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7593421</v>
      </c>
      <c r="AM287" s="1">
        <v>0</v>
      </c>
      <c r="AN287" s="1">
        <v>0</v>
      </c>
      <c r="AO287" s="1">
        <v>133813164</v>
      </c>
      <c r="AP287" s="1">
        <v>33354031</v>
      </c>
      <c r="AQ287" s="1">
        <v>100459133</v>
      </c>
      <c r="AR287" s="1">
        <v>21459144</v>
      </c>
      <c r="AS287" s="1">
        <v>3218872</v>
      </c>
      <c r="AT287" s="1">
        <f t="shared" si="26"/>
        <v>158491180</v>
      </c>
    </row>
    <row r="288" spans="1:46" x14ac:dyDescent="0.2">
      <c r="A288" s="1" t="str">
        <f>"00331"</f>
        <v>00331</v>
      </c>
      <c r="B288" s="1" t="str">
        <f>"رويا"</f>
        <v>رويا</v>
      </c>
      <c r="C288" s="1" t="str">
        <f>"مرادي"</f>
        <v>مرادي</v>
      </c>
      <c r="D288" s="1" t="str">
        <f t="shared" si="24"/>
        <v>قراردادي بهره بردار</v>
      </c>
      <c r="E288" s="1" t="str">
        <f t="shared" si="28"/>
        <v>پروژه بهره برداري نيروگاه بوشهر</v>
      </c>
      <c r="F288" s="1">
        <v>20294336</v>
      </c>
      <c r="G288" s="1">
        <v>1132681</v>
      </c>
      <c r="H288" s="1">
        <v>0</v>
      </c>
      <c r="I288" s="1">
        <v>14523959</v>
      </c>
      <c r="J288" s="1">
        <v>1100000</v>
      </c>
      <c r="K288" s="1">
        <v>4125000</v>
      </c>
      <c r="L288" s="1">
        <v>0</v>
      </c>
      <c r="M288" s="1">
        <v>1000000</v>
      </c>
      <c r="N288" s="1">
        <v>3365193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1606000</v>
      </c>
      <c r="U288" s="1">
        <v>0</v>
      </c>
      <c r="V288" s="1">
        <v>7968930</v>
      </c>
      <c r="W288" s="1">
        <v>1900000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2403709</v>
      </c>
      <c r="AF288" s="1">
        <v>1516881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4949549</v>
      </c>
      <c r="AM288" s="1">
        <v>0</v>
      </c>
      <c r="AN288" s="1">
        <v>0</v>
      </c>
      <c r="AO288" s="1">
        <v>65886238</v>
      </c>
      <c r="AP288" s="1">
        <v>9886015</v>
      </c>
      <c r="AQ288" s="1">
        <v>56000223</v>
      </c>
      <c r="AR288" s="1">
        <v>12332671</v>
      </c>
      <c r="AS288" s="1">
        <v>1849901</v>
      </c>
      <c r="AT288" s="1">
        <f t="shared" si="26"/>
        <v>80068810</v>
      </c>
    </row>
    <row r="289" spans="1:46" x14ac:dyDescent="0.2">
      <c r="A289" s="1" t="str">
        <f>"00332"</f>
        <v>00332</v>
      </c>
      <c r="B289" s="1" t="str">
        <f>"افسانه"</f>
        <v>افسانه</v>
      </c>
      <c r="C289" s="1" t="str">
        <f>"غريبي"</f>
        <v>غريبي</v>
      </c>
      <c r="D289" s="1" t="str">
        <f t="shared" si="24"/>
        <v>قراردادي بهره بردار</v>
      </c>
      <c r="E289" s="1" t="str">
        <f t="shared" si="28"/>
        <v>پروژه بهره برداري نيروگاه بوشهر</v>
      </c>
      <c r="F289" s="1">
        <v>15470488</v>
      </c>
      <c r="G289" s="1">
        <v>0</v>
      </c>
      <c r="H289" s="1">
        <v>0</v>
      </c>
      <c r="I289" s="1">
        <v>12116457</v>
      </c>
      <c r="J289" s="1">
        <v>0</v>
      </c>
      <c r="K289" s="1">
        <v>3465000</v>
      </c>
      <c r="L289" s="1">
        <v>0</v>
      </c>
      <c r="M289" s="1">
        <v>1000000</v>
      </c>
      <c r="N289" s="1">
        <v>2892118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1606000</v>
      </c>
      <c r="U289" s="1">
        <v>0</v>
      </c>
      <c r="V289" s="1">
        <v>3721646</v>
      </c>
      <c r="W289" s="1">
        <v>1900000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2065799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4671597</v>
      </c>
      <c r="AM289" s="1">
        <v>0</v>
      </c>
      <c r="AN289" s="1">
        <v>0</v>
      </c>
      <c r="AO289" s="1">
        <v>48909105</v>
      </c>
      <c r="AP289" s="1">
        <v>9681360</v>
      </c>
      <c r="AQ289" s="1">
        <v>39227745</v>
      </c>
      <c r="AR289" s="1">
        <v>9460621</v>
      </c>
      <c r="AS289" s="1">
        <v>1419093</v>
      </c>
      <c r="AT289" s="1">
        <f t="shared" si="26"/>
        <v>59788819</v>
      </c>
    </row>
    <row r="290" spans="1:46" x14ac:dyDescent="0.2">
      <c r="A290" s="1" t="str">
        <f>"00333"</f>
        <v>00333</v>
      </c>
      <c r="B290" s="1" t="str">
        <f>"اعظم"</f>
        <v>اعظم</v>
      </c>
      <c r="C290" s="1" t="str">
        <f>"دشت پوري"</f>
        <v>دشت پوري</v>
      </c>
      <c r="D290" s="1" t="str">
        <f t="shared" si="24"/>
        <v>قراردادي بهره بردار</v>
      </c>
      <c r="E290" s="1" t="str">
        <f t="shared" si="28"/>
        <v>پروژه بهره برداري نيروگاه بوشهر</v>
      </c>
      <c r="F290" s="1">
        <v>23120296</v>
      </c>
      <c r="G290" s="1">
        <v>4007321</v>
      </c>
      <c r="H290" s="1">
        <v>0</v>
      </c>
      <c r="I290" s="1">
        <v>18885297</v>
      </c>
      <c r="J290" s="1">
        <v>0</v>
      </c>
      <c r="K290" s="1">
        <v>4125000</v>
      </c>
      <c r="L290" s="1">
        <v>0</v>
      </c>
      <c r="M290" s="1">
        <v>1000000</v>
      </c>
      <c r="N290" s="1">
        <v>3420397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9511800</v>
      </c>
      <c r="W290" s="1">
        <v>1900000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2443141</v>
      </c>
      <c r="AF290" s="1">
        <v>1516881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5718473</v>
      </c>
      <c r="AM290" s="1">
        <v>0</v>
      </c>
      <c r="AN290" s="1">
        <v>0</v>
      </c>
      <c r="AO290" s="1">
        <v>75648606</v>
      </c>
      <c r="AP290" s="1">
        <v>13009393</v>
      </c>
      <c r="AQ290" s="1">
        <v>62639213</v>
      </c>
      <c r="AR290" s="1">
        <v>14826345</v>
      </c>
      <c r="AS290" s="1">
        <v>2223952</v>
      </c>
      <c r="AT290" s="1">
        <f t="shared" si="26"/>
        <v>92698903</v>
      </c>
    </row>
    <row r="291" spans="1:46" x14ac:dyDescent="0.2">
      <c r="A291" s="1" t="str">
        <f>"00334"</f>
        <v>00334</v>
      </c>
      <c r="B291" s="1" t="str">
        <f>"اسماعيل"</f>
        <v>اسماعيل</v>
      </c>
      <c r="C291" s="1" t="str">
        <f>"عبدلي محمدآبادي"</f>
        <v>عبدلي محمدآبادي</v>
      </c>
      <c r="D291" s="1" t="str">
        <f t="shared" si="24"/>
        <v>قراردادي بهره بردار</v>
      </c>
      <c r="E291" s="1" t="str">
        <f t="shared" si="28"/>
        <v>پروژه بهره برداري نيروگاه بوشهر</v>
      </c>
      <c r="F291" s="1">
        <v>23556239</v>
      </c>
      <c r="G291" s="1">
        <v>12093955</v>
      </c>
      <c r="H291" s="1">
        <v>0</v>
      </c>
      <c r="I291" s="1">
        <v>19419321</v>
      </c>
      <c r="J291" s="1">
        <v>0</v>
      </c>
      <c r="K291" s="1">
        <v>5500000</v>
      </c>
      <c r="L291" s="1">
        <v>0</v>
      </c>
      <c r="M291" s="1">
        <v>1000000</v>
      </c>
      <c r="N291" s="1">
        <v>3572977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17002840</v>
      </c>
      <c r="W291" s="1">
        <v>1900000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2552127</v>
      </c>
      <c r="AF291" s="1">
        <v>1516881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5308423</v>
      </c>
      <c r="AM291" s="1">
        <v>0</v>
      </c>
      <c r="AN291" s="1">
        <v>0</v>
      </c>
      <c r="AO291" s="1">
        <v>93422763</v>
      </c>
      <c r="AP291" s="1">
        <v>37178259</v>
      </c>
      <c r="AQ291" s="1">
        <v>56244504</v>
      </c>
      <c r="AR291" s="1">
        <v>18381176</v>
      </c>
      <c r="AS291" s="1">
        <v>2757176</v>
      </c>
      <c r="AT291" s="1">
        <f t="shared" si="26"/>
        <v>114561115</v>
      </c>
    </row>
    <row r="292" spans="1:46" x14ac:dyDescent="0.2">
      <c r="A292" s="1" t="str">
        <f>"00335"</f>
        <v>00335</v>
      </c>
      <c r="B292" s="1" t="str">
        <f>"علي"</f>
        <v>علي</v>
      </c>
      <c r="C292" s="1" t="str">
        <f>"توکلي"</f>
        <v>توکلي</v>
      </c>
      <c r="D292" s="1" t="str">
        <f t="shared" si="24"/>
        <v>قراردادي بهره بردار</v>
      </c>
      <c r="E292" s="1" t="str">
        <f t="shared" si="28"/>
        <v>پروژه بهره برداري نيروگاه بوشهر</v>
      </c>
      <c r="F292" s="1">
        <v>14423349</v>
      </c>
      <c r="G292" s="1">
        <v>1388620</v>
      </c>
      <c r="H292" s="1">
        <v>0</v>
      </c>
      <c r="I292" s="1">
        <v>11763223</v>
      </c>
      <c r="J292" s="1">
        <v>0</v>
      </c>
      <c r="K292" s="1">
        <v>0</v>
      </c>
      <c r="L292" s="1">
        <v>0</v>
      </c>
      <c r="M292" s="1">
        <v>1000000</v>
      </c>
      <c r="N292" s="1">
        <v>2793976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1606000</v>
      </c>
      <c r="U292" s="1">
        <v>0</v>
      </c>
      <c r="V292" s="1">
        <v>3577950</v>
      </c>
      <c r="W292" s="1">
        <v>1900000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1995697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4803256</v>
      </c>
      <c r="AM292" s="1">
        <v>0</v>
      </c>
      <c r="AN292" s="1">
        <v>0</v>
      </c>
      <c r="AO292" s="1">
        <v>45252071</v>
      </c>
      <c r="AP292" s="1">
        <v>19492514</v>
      </c>
      <c r="AQ292" s="1">
        <v>25759557</v>
      </c>
      <c r="AR292" s="1">
        <v>8729214</v>
      </c>
      <c r="AS292" s="1">
        <v>1309382</v>
      </c>
      <c r="AT292" s="1">
        <f t="shared" si="26"/>
        <v>55290667</v>
      </c>
    </row>
    <row r="293" spans="1:46" x14ac:dyDescent="0.2">
      <c r="A293" s="1" t="str">
        <f>"00337"</f>
        <v>00337</v>
      </c>
      <c r="B293" s="1" t="str">
        <f>"عباس"</f>
        <v>عباس</v>
      </c>
      <c r="C293" s="1" t="str">
        <f>"دهقاني"</f>
        <v>دهقاني</v>
      </c>
      <c r="D293" s="1" t="str">
        <f t="shared" si="24"/>
        <v>قراردادي بهره بردار</v>
      </c>
      <c r="E293" s="1" t="str">
        <f t="shared" si="28"/>
        <v>پروژه بهره برداري نيروگاه بوشهر</v>
      </c>
      <c r="F293" s="1">
        <v>15737749</v>
      </c>
      <c r="G293" s="1">
        <v>6854573</v>
      </c>
      <c r="H293" s="1">
        <v>0</v>
      </c>
      <c r="I293" s="1">
        <v>13068075</v>
      </c>
      <c r="J293" s="1">
        <v>0</v>
      </c>
      <c r="K293" s="1">
        <v>4620000</v>
      </c>
      <c r="L293" s="1">
        <v>0</v>
      </c>
      <c r="M293" s="1">
        <v>1000000</v>
      </c>
      <c r="N293" s="1">
        <v>2985660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1606000</v>
      </c>
      <c r="U293" s="1">
        <v>0</v>
      </c>
      <c r="V293" s="1">
        <v>9162206</v>
      </c>
      <c r="W293" s="1">
        <v>1900000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2132614</v>
      </c>
      <c r="AF293" s="1">
        <v>1516881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5483239</v>
      </c>
      <c r="AM293" s="1">
        <v>0</v>
      </c>
      <c r="AN293" s="1">
        <v>0</v>
      </c>
      <c r="AO293" s="1">
        <v>66066997</v>
      </c>
      <c r="AP293" s="1">
        <v>15332924</v>
      </c>
      <c r="AQ293" s="1">
        <v>50734073</v>
      </c>
      <c r="AR293" s="1">
        <v>12588823</v>
      </c>
      <c r="AS293" s="1">
        <v>1888323</v>
      </c>
      <c r="AT293" s="1">
        <f t="shared" si="26"/>
        <v>80544143</v>
      </c>
    </row>
    <row r="294" spans="1:46" x14ac:dyDescent="0.2">
      <c r="A294" s="1" t="str">
        <f>"00338"</f>
        <v>00338</v>
      </c>
      <c r="B294" s="1" t="str">
        <f>"رضا"</f>
        <v>رضا</v>
      </c>
      <c r="C294" s="1" t="str">
        <f>"دهقان"</f>
        <v>دهقان</v>
      </c>
      <c r="D294" s="1" t="str">
        <f t="shared" si="24"/>
        <v>قراردادي بهره بردار</v>
      </c>
      <c r="E294" s="1" t="str">
        <f t="shared" si="28"/>
        <v>پروژه بهره برداري نيروگاه بوشهر</v>
      </c>
      <c r="F294" s="1">
        <v>15444200</v>
      </c>
      <c r="G294" s="1">
        <v>7585537</v>
      </c>
      <c r="H294" s="1">
        <v>0</v>
      </c>
      <c r="I294" s="1">
        <v>13807733</v>
      </c>
      <c r="J294" s="1">
        <v>0</v>
      </c>
      <c r="K294" s="1">
        <v>3465000</v>
      </c>
      <c r="L294" s="1">
        <v>0</v>
      </c>
      <c r="M294" s="1">
        <v>1000000</v>
      </c>
      <c r="N294" s="1">
        <v>2882917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1606000</v>
      </c>
      <c r="U294" s="1">
        <v>0</v>
      </c>
      <c r="V294" s="1">
        <v>10672899</v>
      </c>
      <c r="W294" s="1">
        <v>1900000</v>
      </c>
      <c r="X294" s="1">
        <v>2241900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2059227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11710866</v>
      </c>
      <c r="AM294" s="1">
        <v>0</v>
      </c>
      <c r="AN294" s="1">
        <v>0</v>
      </c>
      <c r="AO294" s="1">
        <v>74376279</v>
      </c>
      <c r="AP294" s="1">
        <v>30145859</v>
      </c>
      <c r="AQ294" s="1">
        <v>44230420</v>
      </c>
      <c r="AR294" s="1">
        <v>14554056</v>
      </c>
      <c r="AS294" s="1">
        <v>2183108</v>
      </c>
      <c r="AT294" s="1">
        <f t="shared" si="26"/>
        <v>91113443</v>
      </c>
    </row>
    <row r="295" spans="1:46" x14ac:dyDescent="0.2">
      <c r="A295" s="1" t="str">
        <f>"00340"</f>
        <v>00340</v>
      </c>
      <c r="B295" s="1" t="str">
        <f>"مجيد"</f>
        <v>مجيد</v>
      </c>
      <c r="C295" s="1" t="str">
        <f>"سعادت پور"</f>
        <v>سعادت پور</v>
      </c>
      <c r="D295" s="1" t="str">
        <f t="shared" si="24"/>
        <v>قراردادي بهره بردار</v>
      </c>
      <c r="E295" s="1" t="str">
        <f t="shared" si="28"/>
        <v>پروژه بهره برداري نيروگاه بوشهر</v>
      </c>
      <c r="F295" s="1">
        <v>26257329</v>
      </c>
      <c r="G295" s="1">
        <v>14582768</v>
      </c>
      <c r="H295" s="1">
        <v>0</v>
      </c>
      <c r="I295" s="1">
        <v>21198179</v>
      </c>
      <c r="J295" s="1">
        <v>0</v>
      </c>
      <c r="K295" s="1">
        <v>5500000</v>
      </c>
      <c r="L295" s="1">
        <v>0</v>
      </c>
      <c r="M295" s="1">
        <v>1000000</v>
      </c>
      <c r="N295" s="1">
        <v>3934110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20729132</v>
      </c>
      <c r="W295" s="1">
        <v>1900000</v>
      </c>
      <c r="X295" s="1">
        <v>0</v>
      </c>
      <c r="Y295" s="1">
        <v>1632130</v>
      </c>
      <c r="Z295" s="1">
        <v>0</v>
      </c>
      <c r="AA295" s="1">
        <v>0</v>
      </c>
      <c r="AB295" s="1">
        <v>0</v>
      </c>
      <c r="AC295" s="1">
        <v>2957400</v>
      </c>
      <c r="AD295" s="1">
        <v>0</v>
      </c>
      <c r="AE295" s="1">
        <v>2810076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4720932</v>
      </c>
      <c r="AM295" s="1">
        <v>0</v>
      </c>
      <c r="AN295" s="1">
        <v>0</v>
      </c>
      <c r="AO295" s="1">
        <v>107222056</v>
      </c>
      <c r="AP295" s="1">
        <v>17861006</v>
      </c>
      <c r="AQ295" s="1">
        <v>89361050</v>
      </c>
      <c r="AR295" s="1">
        <v>20556414</v>
      </c>
      <c r="AS295" s="1">
        <v>3083462</v>
      </c>
      <c r="AT295" s="1">
        <f t="shared" si="26"/>
        <v>130861932</v>
      </c>
    </row>
    <row r="296" spans="1:46" x14ac:dyDescent="0.2">
      <c r="A296" s="1" t="str">
        <f>"00341"</f>
        <v>00341</v>
      </c>
      <c r="B296" s="1" t="str">
        <f>"عباس"</f>
        <v>عباس</v>
      </c>
      <c r="C296" s="1" t="str">
        <f>"حيدري"</f>
        <v>حيدري</v>
      </c>
      <c r="D296" s="1" t="str">
        <f t="shared" si="24"/>
        <v>قراردادي بهره بردار</v>
      </c>
      <c r="E296" s="1" t="str">
        <f t="shared" si="28"/>
        <v>پروژه بهره برداري نيروگاه بوشهر</v>
      </c>
      <c r="F296" s="1">
        <v>17355190</v>
      </c>
      <c r="G296" s="1">
        <v>26279356</v>
      </c>
      <c r="H296" s="1">
        <v>0</v>
      </c>
      <c r="I296" s="1">
        <v>11906138</v>
      </c>
      <c r="J296" s="1">
        <v>0</v>
      </c>
      <c r="K296" s="1">
        <v>4620000</v>
      </c>
      <c r="L296" s="1">
        <v>0</v>
      </c>
      <c r="M296" s="1">
        <v>1000000</v>
      </c>
      <c r="N296" s="1">
        <v>2567790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16464780</v>
      </c>
      <c r="W296" s="1">
        <v>1900000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1834136</v>
      </c>
      <c r="AF296" s="1">
        <v>6067524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4416110</v>
      </c>
      <c r="AM296" s="1">
        <v>0</v>
      </c>
      <c r="AN296" s="1">
        <v>0</v>
      </c>
      <c r="AO296" s="1">
        <v>94411024</v>
      </c>
      <c r="AP296" s="1">
        <v>28159764</v>
      </c>
      <c r="AQ296" s="1">
        <v>66251260</v>
      </c>
      <c r="AR296" s="1">
        <v>17668700</v>
      </c>
      <c r="AS296" s="1">
        <v>2650305</v>
      </c>
      <c r="AT296" s="1">
        <f t="shared" si="26"/>
        <v>114730029</v>
      </c>
    </row>
    <row r="297" spans="1:46" x14ac:dyDescent="0.2">
      <c r="A297" s="1" t="str">
        <f>"00342"</f>
        <v>00342</v>
      </c>
      <c r="B297" s="1" t="str">
        <f>"اسماعيل"</f>
        <v>اسماعيل</v>
      </c>
      <c r="C297" s="1" t="str">
        <f>"محمدي"</f>
        <v>محمدي</v>
      </c>
      <c r="D297" s="1" t="str">
        <f t="shared" ref="D297:D303" si="29">"قراردادي کارگري"</f>
        <v>قراردادي کارگري</v>
      </c>
      <c r="E297" s="1" t="str">
        <f t="shared" ref="E297:E303" si="30">"پروژه تعميرات نيروگاه بوشهر"</f>
        <v>پروژه تعميرات نيروگاه بوشهر</v>
      </c>
      <c r="F297" s="1">
        <v>6285421</v>
      </c>
      <c r="G297" s="1">
        <v>1926652</v>
      </c>
      <c r="H297" s="1">
        <v>0</v>
      </c>
      <c r="I297" s="1">
        <v>4965482</v>
      </c>
      <c r="J297" s="1">
        <v>0</v>
      </c>
      <c r="K297" s="1">
        <v>0</v>
      </c>
      <c r="L297" s="1">
        <v>7672721</v>
      </c>
      <c r="M297" s="1">
        <v>1000000</v>
      </c>
      <c r="N297" s="1">
        <v>3142712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8270791</v>
      </c>
      <c r="W297" s="1">
        <v>1900000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3309950</v>
      </c>
      <c r="AE297" s="1">
        <v>0</v>
      </c>
      <c r="AF297" s="1">
        <v>3033762</v>
      </c>
      <c r="AG297" s="1">
        <v>0</v>
      </c>
      <c r="AH297" s="1">
        <v>0</v>
      </c>
      <c r="AI297" s="1">
        <v>0</v>
      </c>
      <c r="AJ297" s="1">
        <v>2740128</v>
      </c>
      <c r="AK297" s="1">
        <v>0</v>
      </c>
      <c r="AL297" s="1">
        <v>0</v>
      </c>
      <c r="AM297" s="1">
        <v>0</v>
      </c>
      <c r="AN297" s="1">
        <v>0</v>
      </c>
      <c r="AO297" s="1">
        <v>44247619</v>
      </c>
      <c r="AP297" s="1">
        <v>5296199</v>
      </c>
      <c r="AQ297" s="1">
        <v>38951420</v>
      </c>
      <c r="AR297" s="1">
        <v>8242771</v>
      </c>
      <c r="AS297" s="1">
        <v>1236416</v>
      </c>
      <c r="AT297" s="1">
        <f t="shared" si="26"/>
        <v>53726806</v>
      </c>
    </row>
    <row r="298" spans="1:46" x14ac:dyDescent="0.2">
      <c r="A298" s="1" t="str">
        <f>"00343"</f>
        <v>00343</v>
      </c>
      <c r="B298" s="1" t="str">
        <f>"علي"</f>
        <v>علي</v>
      </c>
      <c r="C298" s="1" t="str">
        <f>"حيدري"</f>
        <v>حيدري</v>
      </c>
      <c r="D298" s="1" t="str">
        <f t="shared" si="29"/>
        <v>قراردادي کارگري</v>
      </c>
      <c r="E298" s="1" t="str">
        <f t="shared" si="30"/>
        <v>پروژه تعميرات نيروگاه بوشهر</v>
      </c>
      <c r="F298" s="1">
        <v>7327701</v>
      </c>
      <c r="G298" s="1">
        <v>8521084</v>
      </c>
      <c r="H298" s="1">
        <v>0</v>
      </c>
      <c r="I298" s="1">
        <v>4982838</v>
      </c>
      <c r="J298" s="1">
        <v>0</v>
      </c>
      <c r="K298" s="1">
        <v>0</v>
      </c>
      <c r="L298" s="1">
        <v>7628143</v>
      </c>
      <c r="M298" s="1">
        <v>1000000</v>
      </c>
      <c r="N298" s="1">
        <v>3856684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8841372</v>
      </c>
      <c r="W298" s="1">
        <v>1900000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3569305</v>
      </c>
      <c r="AE298" s="1">
        <v>0</v>
      </c>
      <c r="AF298" s="1">
        <v>3033762</v>
      </c>
      <c r="AG298" s="1">
        <v>0</v>
      </c>
      <c r="AH298" s="1">
        <v>0</v>
      </c>
      <c r="AI298" s="1">
        <v>0</v>
      </c>
      <c r="AJ298" s="1">
        <v>4421752</v>
      </c>
      <c r="AK298" s="1">
        <v>0</v>
      </c>
      <c r="AL298" s="1">
        <v>0</v>
      </c>
      <c r="AM298" s="1">
        <v>0</v>
      </c>
      <c r="AN298" s="1">
        <v>0</v>
      </c>
      <c r="AO298" s="1">
        <v>55082641</v>
      </c>
      <c r="AP298" s="1">
        <v>8427882</v>
      </c>
      <c r="AQ298" s="1">
        <v>46654759</v>
      </c>
      <c r="AR298" s="1">
        <v>10409776</v>
      </c>
      <c r="AS298" s="1">
        <v>1561466</v>
      </c>
      <c r="AT298" s="1">
        <f t="shared" si="26"/>
        <v>67053883</v>
      </c>
    </row>
    <row r="299" spans="1:46" x14ac:dyDescent="0.2">
      <c r="A299" s="1" t="str">
        <f>"00344"</f>
        <v>00344</v>
      </c>
      <c r="B299" s="1" t="str">
        <f>"مهدي"</f>
        <v>مهدي</v>
      </c>
      <c r="C299" s="1" t="str">
        <f>"حسن پور"</f>
        <v>حسن پور</v>
      </c>
      <c r="D299" s="1" t="str">
        <f t="shared" si="29"/>
        <v>قراردادي کارگري</v>
      </c>
      <c r="E299" s="1" t="str">
        <f t="shared" si="30"/>
        <v>پروژه تعميرات نيروگاه بوشهر</v>
      </c>
      <c r="F299" s="1">
        <v>8968827</v>
      </c>
      <c r="G299" s="1">
        <v>2928841</v>
      </c>
      <c r="H299" s="1">
        <v>0</v>
      </c>
      <c r="I299" s="1">
        <v>6278179</v>
      </c>
      <c r="J299" s="1">
        <v>0</v>
      </c>
      <c r="K299" s="1">
        <v>0</v>
      </c>
      <c r="L299" s="1">
        <v>7628143</v>
      </c>
      <c r="M299" s="1">
        <v>1000000</v>
      </c>
      <c r="N299" s="1">
        <v>4751697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10105759</v>
      </c>
      <c r="W299" s="1">
        <v>1900000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4144027</v>
      </c>
      <c r="AE299" s="1">
        <v>0</v>
      </c>
      <c r="AF299" s="1">
        <v>1516881</v>
      </c>
      <c r="AG299" s="1">
        <v>0</v>
      </c>
      <c r="AH299" s="1">
        <v>0</v>
      </c>
      <c r="AI299" s="1">
        <v>0</v>
      </c>
      <c r="AJ299" s="1">
        <v>5112159</v>
      </c>
      <c r="AK299" s="1">
        <v>0</v>
      </c>
      <c r="AL299" s="1">
        <v>0</v>
      </c>
      <c r="AM299" s="1">
        <v>0</v>
      </c>
      <c r="AN299" s="1">
        <v>0</v>
      </c>
      <c r="AO299" s="1">
        <v>54334513</v>
      </c>
      <c r="AP299" s="1">
        <v>8439926</v>
      </c>
      <c r="AQ299" s="1">
        <v>45894587</v>
      </c>
      <c r="AR299" s="1">
        <v>10563526</v>
      </c>
      <c r="AS299" s="1">
        <v>1584529</v>
      </c>
      <c r="AT299" s="1">
        <f t="shared" si="26"/>
        <v>66482568</v>
      </c>
    </row>
    <row r="300" spans="1:46" x14ac:dyDescent="0.2">
      <c r="A300" s="1" t="str">
        <f>"00345"</f>
        <v>00345</v>
      </c>
      <c r="B300" s="1" t="str">
        <f>"حسن"</f>
        <v>حسن</v>
      </c>
      <c r="C300" s="1" t="str">
        <f>"ابراهيمي"</f>
        <v>ابراهيمي</v>
      </c>
      <c r="D300" s="1" t="str">
        <f t="shared" si="29"/>
        <v>قراردادي کارگري</v>
      </c>
      <c r="E300" s="1" t="str">
        <f t="shared" si="30"/>
        <v>پروژه تعميرات نيروگاه بوشهر</v>
      </c>
      <c r="F300" s="1">
        <v>7117455</v>
      </c>
      <c r="G300" s="1">
        <v>1753284</v>
      </c>
      <c r="H300" s="1">
        <v>0</v>
      </c>
      <c r="I300" s="1">
        <v>5195743</v>
      </c>
      <c r="J300" s="1">
        <v>0</v>
      </c>
      <c r="K300" s="1">
        <v>0</v>
      </c>
      <c r="L300" s="1">
        <v>7628143</v>
      </c>
      <c r="M300" s="1">
        <v>1000000</v>
      </c>
      <c r="N300" s="1">
        <v>3746030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11807686</v>
      </c>
      <c r="W300" s="1">
        <v>1900000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3553106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3206005</v>
      </c>
      <c r="AK300" s="1">
        <v>0</v>
      </c>
      <c r="AL300" s="1">
        <v>0</v>
      </c>
      <c r="AM300" s="1">
        <v>0</v>
      </c>
      <c r="AN300" s="1">
        <v>0</v>
      </c>
      <c r="AO300" s="1">
        <v>46907452</v>
      </c>
      <c r="AP300" s="1">
        <v>10024077</v>
      </c>
      <c r="AQ300" s="1">
        <v>36883375</v>
      </c>
      <c r="AR300" s="1">
        <v>9381490</v>
      </c>
      <c r="AS300" s="1">
        <v>1407224</v>
      </c>
      <c r="AT300" s="1">
        <f t="shared" si="26"/>
        <v>57696166</v>
      </c>
    </row>
    <row r="301" spans="1:46" x14ac:dyDescent="0.2">
      <c r="A301" s="1" t="str">
        <f>"00346"</f>
        <v>00346</v>
      </c>
      <c r="B301" s="1" t="str">
        <f>"رحمن"</f>
        <v>رحمن</v>
      </c>
      <c r="C301" s="1" t="str">
        <f>"باروني"</f>
        <v>باروني</v>
      </c>
      <c r="D301" s="1" t="str">
        <f t="shared" si="29"/>
        <v>قراردادي کارگري</v>
      </c>
      <c r="E301" s="1" t="str">
        <f t="shared" si="30"/>
        <v>پروژه تعميرات نيروگاه بوشهر</v>
      </c>
      <c r="F301" s="1">
        <v>9855296</v>
      </c>
      <c r="G301" s="1">
        <v>2835504</v>
      </c>
      <c r="H301" s="1">
        <v>0</v>
      </c>
      <c r="I301" s="1">
        <v>7292918</v>
      </c>
      <c r="J301" s="1">
        <v>0</v>
      </c>
      <c r="K301" s="1">
        <v>0</v>
      </c>
      <c r="L301" s="1">
        <v>7628143</v>
      </c>
      <c r="M301" s="1">
        <v>1000000</v>
      </c>
      <c r="N301" s="1">
        <v>5256159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14615413</v>
      </c>
      <c r="W301" s="1">
        <v>1900000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4504877</v>
      </c>
      <c r="AE301" s="1">
        <v>0</v>
      </c>
      <c r="AF301" s="1">
        <v>1516881</v>
      </c>
      <c r="AG301" s="1">
        <v>0</v>
      </c>
      <c r="AH301" s="1">
        <v>0</v>
      </c>
      <c r="AI301" s="1">
        <v>0</v>
      </c>
      <c r="AJ301" s="1">
        <v>4032716</v>
      </c>
      <c r="AK301" s="1">
        <v>0</v>
      </c>
      <c r="AL301" s="1">
        <v>0</v>
      </c>
      <c r="AM301" s="1">
        <v>0</v>
      </c>
      <c r="AN301" s="1">
        <v>0</v>
      </c>
      <c r="AO301" s="1">
        <v>60437907</v>
      </c>
      <c r="AP301" s="1">
        <v>13623812</v>
      </c>
      <c r="AQ301" s="1">
        <v>46814095</v>
      </c>
      <c r="AR301" s="1">
        <v>11784205</v>
      </c>
      <c r="AS301" s="1">
        <v>1767631</v>
      </c>
      <c r="AT301" s="1">
        <f t="shared" si="26"/>
        <v>73989743</v>
      </c>
    </row>
    <row r="302" spans="1:46" x14ac:dyDescent="0.2">
      <c r="A302" s="1" t="str">
        <f>"00348"</f>
        <v>00348</v>
      </c>
      <c r="B302" s="1" t="str">
        <f>"اسماعيل"</f>
        <v>اسماعيل</v>
      </c>
      <c r="C302" s="1" t="str">
        <f>"جهان بخت"</f>
        <v>جهان بخت</v>
      </c>
      <c r="D302" s="1" t="str">
        <f t="shared" si="29"/>
        <v>قراردادي کارگري</v>
      </c>
      <c r="E302" s="1" t="str">
        <f t="shared" si="30"/>
        <v>پروژه تعميرات نيروگاه بوشهر</v>
      </c>
      <c r="F302" s="1">
        <v>7603528</v>
      </c>
      <c r="G302" s="1">
        <v>0</v>
      </c>
      <c r="H302" s="1">
        <v>0</v>
      </c>
      <c r="I302" s="1">
        <v>5398505</v>
      </c>
      <c r="J302" s="1">
        <v>0</v>
      </c>
      <c r="K302" s="1">
        <v>0</v>
      </c>
      <c r="L302" s="1">
        <v>7628143</v>
      </c>
      <c r="M302" s="1">
        <v>1000000</v>
      </c>
      <c r="N302" s="1">
        <v>4055215</v>
      </c>
      <c r="O302" s="1">
        <v>0</v>
      </c>
      <c r="P302" s="1">
        <v>0</v>
      </c>
      <c r="Q302" s="1">
        <v>0</v>
      </c>
      <c r="R302" s="1">
        <v>51456</v>
      </c>
      <c r="S302" s="1">
        <v>0</v>
      </c>
      <c r="T302" s="1">
        <v>0</v>
      </c>
      <c r="U302" s="1">
        <v>0</v>
      </c>
      <c r="V302" s="1">
        <v>8927464</v>
      </c>
      <c r="W302" s="1">
        <v>1900000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36564311</v>
      </c>
      <c r="AP302" s="1">
        <v>6466796</v>
      </c>
      <c r="AQ302" s="1">
        <v>30097515</v>
      </c>
      <c r="AR302" s="1">
        <v>7302571</v>
      </c>
      <c r="AS302" s="1">
        <v>1095386</v>
      </c>
      <c r="AT302" s="1">
        <f t="shared" si="26"/>
        <v>44962268</v>
      </c>
    </row>
    <row r="303" spans="1:46" x14ac:dyDescent="0.2">
      <c r="A303" s="1" t="str">
        <f>"00349"</f>
        <v>00349</v>
      </c>
      <c r="B303" s="1" t="str">
        <f>"ابوالفضل"</f>
        <v>ابوالفضل</v>
      </c>
      <c r="C303" s="1" t="str">
        <f>"اورنگ"</f>
        <v>اورنگ</v>
      </c>
      <c r="D303" s="1" t="str">
        <f t="shared" si="29"/>
        <v>قراردادي کارگري</v>
      </c>
      <c r="E303" s="1" t="str">
        <f t="shared" si="30"/>
        <v>پروژه تعميرات نيروگاه بوشهر</v>
      </c>
      <c r="F303" s="1">
        <v>7721792</v>
      </c>
      <c r="G303" s="1">
        <v>1327044</v>
      </c>
      <c r="H303" s="1">
        <v>0</v>
      </c>
      <c r="I303" s="1">
        <v>5714126</v>
      </c>
      <c r="J303" s="1">
        <v>0</v>
      </c>
      <c r="K303" s="1">
        <v>0</v>
      </c>
      <c r="L303" s="1">
        <v>7628143</v>
      </c>
      <c r="M303" s="1">
        <v>1000000</v>
      </c>
      <c r="N303" s="1">
        <v>4091014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12457146</v>
      </c>
      <c r="W303" s="1">
        <v>1900000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1516881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43356146</v>
      </c>
      <c r="AP303" s="1">
        <v>8989519</v>
      </c>
      <c r="AQ303" s="1">
        <v>34366627</v>
      </c>
      <c r="AR303" s="1">
        <v>8367853</v>
      </c>
      <c r="AS303" s="1">
        <v>1255178</v>
      </c>
      <c r="AT303" s="1">
        <f t="shared" si="26"/>
        <v>52979177</v>
      </c>
    </row>
    <row r="304" spans="1:46" x14ac:dyDescent="0.2">
      <c r="A304" s="1" t="str">
        <f>"00350"</f>
        <v>00350</v>
      </c>
      <c r="B304" s="1" t="str">
        <f>"علي"</f>
        <v>علي</v>
      </c>
      <c r="C304" s="1" t="str">
        <f>"بهرامي پور"</f>
        <v>بهرامي پور</v>
      </c>
      <c r="D304" s="1" t="str">
        <f>"قراردادي بهره بردار"</f>
        <v>قراردادي بهره بردار</v>
      </c>
      <c r="E304" s="1" t="str">
        <f>"پروژه بهره برداري نيروگاه بوشهر"</f>
        <v>پروژه بهره برداري نيروگاه بوشهر</v>
      </c>
      <c r="F304" s="1">
        <v>18572472</v>
      </c>
      <c r="G304" s="1">
        <v>14406049</v>
      </c>
      <c r="H304" s="1">
        <v>0</v>
      </c>
      <c r="I304" s="1">
        <v>16528804</v>
      </c>
      <c r="J304" s="1">
        <v>0</v>
      </c>
      <c r="K304" s="1">
        <v>4620000</v>
      </c>
      <c r="L304" s="1">
        <v>0</v>
      </c>
      <c r="M304" s="1">
        <v>1000000</v>
      </c>
      <c r="N304" s="1">
        <v>3621282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24086996</v>
      </c>
      <c r="W304" s="1">
        <v>1900000</v>
      </c>
      <c r="X304" s="1">
        <v>2696004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2586630</v>
      </c>
      <c r="AF304" s="1">
        <v>4550643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13124700</v>
      </c>
      <c r="AM304" s="1">
        <v>0</v>
      </c>
      <c r="AN304" s="1">
        <v>0</v>
      </c>
      <c r="AO304" s="1">
        <v>107693580</v>
      </c>
      <c r="AP304" s="1">
        <v>38936015</v>
      </c>
      <c r="AQ304" s="1">
        <v>68757565</v>
      </c>
      <c r="AR304" s="1">
        <v>20628587</v>
      </c>
      <c r="AS304" s="1">
        <v>3094288</v>
      </c>
      <c r="AT304" s="1">
        <f t="shared" si="26"/>
        <v>131416455</v>
      </c>
    </row>
    <row r="305" spans="1:46" x14ac:dyDescent="0.2">
      <c r="A305" s="1" t="str">
        <f>"00351"</f>
        <v>00351</v>
      </c>
      <c r="B305" s="1" t="str">
        <f>"عادل"</f>
        <v>عادل</v>
      </c>
      <c r="C305" s="1" t="str">
        <f>"عبدالشاهي"</f>
        <v>عبدالشاهي</v>
      </c>
      <c r="D305" s="1" t="str">
        <f>"قراردادي بهره بردار"</f>
        <v>قراردادي بهره بردار</v>
      </c>
      <c r="E305" s="1" t="str">
        <f>"پروژه بهره برداري نيروگاه بوشهر"</f>
        <v>پروژه بهره برداري نيروگاه بوشهر</v>
      </c>
      <c r="F305" s="1">
        <v>11671872</v>
      </c>
      <c r="G305" s="1">
        <v>6416720</v>
      </c>
      <c r="H305" s="1">
        <v>0</v>
      </c>
      <c r="I305" s="1">
        <v>8020573</v>
      </c>
      <c r="J305" s="1">
        <v>0</v>
      </c>
      <c r="K305" s="1">
        <v>4620000</v>
      </c>
      <c r="L305" s="1">
        <v>0</v>
      </c>
      <c r="M305" s="1">
        <v>1000000</v>
      </c>
      <c r="N305" s="1">
        <v>1804124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1606000</v>
      </c>
      <c r="U305" s="1">
        <v>0</v>
      </c>
      <c r="V305" s="1">
        <v>13947429</v>
      </c>
      <c r="W305" s="1">
        <v>1900000</v>
      </c>
      <c r="X305" s="1">
        <v>1604180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1288660</v>
      </c>
      <c r="AF305" s="1">
        <v>1516881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8734385</v>
      </c>
      <c r="AM305" s="1">
        <v>0</v>
      </c>
      <c r="AN305" s="1">
        <v>0</v>
      </c>
      <c r="AO305" s="1">
        <v>64130824</v>
      </c>
      <c r="AP305" s="1">
        <v>8322382</v>
      </c>
      <c r="AQ305" s="1">
        <v>55808442</v>
      </c>
      <c r="AR305" s="1">
        <v>12201589</v>
      </c>
      <c r="AS305" s="1">
        <v>1830238</v>
      </c>
      <c r="AT305" s="1">
        <f t="shared" si="26"/>
        <v>78162651</v>
      </c>
    </row>
    <row r="306" spans="1:46" x14ac:dyDescent="0.2">
      <c r="A306" s="1" t="str">
        <f>"00352"</f>
        <v>00352</v>
      </c>
      <c r="B306" s="1" t="str">
        <f>"اميد"</f>
        <v>اميد</v>
      </c>
      <c r="C306" s="1" t="str">
        <f>"فرهادي"</f>
        <v>فرهادي</v>
      </c>
      <c r="D306" s="1" t="str">
        <f t="shared" ref="D306:D318" si="31">"قراردادي کارگري"</f>
        <v>قراردادي کارگري</v>
      </c>
      <c r="E306" s="1" t="str">
        <f t="shared" ref="E306:E318" si="32">"پروژه تعميرات نيروگاه بوشهر"</f>
        <v>پروژه تعميرات نيروگاه بوشهر</v>
      </c>
      <c r="F306" s="1">
        <v>8588736</v>
      </c>
      <c r="G306" s="1">
        <v>1150251</v>
      </c>
      <c r="H306" s="1">
        <v>0</v>
      </c>
      <c r="I306" s="1">
        <v>6699214</v>
      </c>
      <c r="J306" s="1">
        <v>0</v>
      </c>
      <c r="K306" s="1">
        <v>0</v>
      </c>
      <c r="L306" s="1">
        <v>7462913</v>
      </c>
      <c r="M306" s="1">
        <v>1000000</v>
      </c>
      <c r="N306" s="1">
        <v>4580659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13420223</v>
      </c>
      <c r="W306" s="1">
        <v>1900000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3033762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47835758</v>
      </c>
      <c r="AP306" s="1">
        <v>8951732</v>
      </c>
      <c r="AQ306" s="1">
        <v>38884026</v>
      </c>
      <c r="AR306" s="1">
        <v>8960399</v>
      </c>
      <c r="AS306" s="1">
        <v>1344060</v>
      </c>
      <c r="AT306" s="1">
        <f t="shared" si="26"/>
        <v>58140217</v>
      </c>
    </row>
    <row r="307" spans="1:46" x14ac:dyDescent="0.2">
      <c r="A307" s="1" t="str">
        <f>"00353"</f>
        <v>00353</v>
      </c>
      <c r="B307" s="1" t="str">
        <f>"حميد"</f>
        <v>حميد</v>
      </c>
      <c r="C307" s="1" t="str">
        <f>"مجريان زاده"</f>
        <v>مجريان زاده</v>
      </c>
      <c r="D307" s="1" t="str">
        <f t="shared" si="31"/>
        <v>قراردادي کارگري</v>
      </c>
      <c r="E307" s="1" t="str">
        <f t="shared" si="32"/>
        <v>پروژه تعميرات نيروگاه بوشهر</v>
      </c>
      <c r="F307" s="1">
        <v>7476071</v>
      </c>
      <c r="G307" s="1">
        <v>2363657</v>
      </c>
      <c r="H307" s="1">
        <v>0</v>
      </c>
      <c r="I307" s="1">
        <v>5532292</v>
      </c>
      <c r="J307" s="1">
        <v>0</v>
      </c>
      <c r="K307" s="1">
        <v>0</v>
      </c>
      <c r="L307" s="1">
        <v>7628143</v>
      </c>
      <c r="M307" s="1">
        <v>1000000</v>
      </c>
      <c r="N307" s="1">
        <v>3960831</v>
      </c>
      <c r="O307" s="1">
        <v>0</v>
      </c>
      <c r="P307" s="1">
        <v>0</v>
      </c>
      <c r="Q307" s="1">
        <v>0</v>
      </c>
      <c r="R307" s="1">
        <v>1120061</v>
      </c>
      <c r="S307" s="1">
        <v>0</v>
      </c>
      <c r="T307" s="1">
        <v>0</v>
      </c>
      <c r="U307" s="1">
        <v>0</v>
      </c>
      <c r="V307" s="1">
        <v>8899067</v>
      </c>
      <c r="W307" s="1">
        <v>1900000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39880122</v>
      </c>
      <c r="AP307" s="1">
        <v>9446854</v>
      </c>
      <c r="AQ307" s="1">
        <v>30433268</v>
      </c>
      <c r="AR307" s="1">
        <v>7752012</v>
      </c>
      <c r="AS307" s="1">
        <v>1162802</v>
      </c>
      <c r="AT307" s="1">
        <f t="shared" si="26"/>
        <v>48794936</v>
      </c>
    </row>
    <row r="308" spans="1:46" x14ac:dyDescent="0.2">
      <c r="A308" s="1" t="str">
        <f>"00354"</f>
        <v>00354</v>
      </c>
      <c r="B308" s="1" t="str">
        <f>"غلامعلي"</f>
        <v>غلامعلي</v>
      </c>
      <c r="C308" s="1" t="str">
        <f>"محمدرضائي"</f>
        <v>محمدرضائي</v>
      </c>
      <c r="D308" s="1" t="str">
        <f t="shared" si="31"/>
        <v>قراردادي کارگري</v>
      </c>
      <c r="E308" s="1" t="str">
        <f t="shared" si="32"/>
        <v>پروژه تعميرات نيروگاه بوشهر</v>
      </c>
      <c r="F308" s="1">
        <v>7544132</v>
      </c>
      <c r="G308" s="1">
        <v>6301467</v>
      </c>
      <c r="H308" s="1">
        <v>0</v>
      </c>
      <c r="I308" s="1">
        <v>7091484</v>
      </c>
      <c r="J308" s="1">
        <v>0</v>
      </c>
      <c r="K308" s="1">
        <v>0</v>
      </c>
      <c r="L308" s="1">
        <v>7672721</v>
      </c>
      <c r="M308" s="1">
        <v>1000000</v>
      </c>
      <c r="N308" s="1">
        <v>3970596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9441381</v>
      </c>
      <c r="W308" s="1">
        <v>1900000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3033762</v>
      </c>
      <c r="AG308" s="1">
        <v>0</v>
      </c>
      <c r="AH308" s="1">
        <v>0</v>
      </c>
      <c r="AI308" s="1">
        <v>0</v>
      </c>
      <c r="AJ308" s="1">
        <v>1613175</v>
      </c>
      <c r="AK308" s="1">
        <v>0</v>
      </c>
      <c r="AL308" s="1">
        <v>0</v>
      </c>
      <c r="AM308" s="1">
        <v>0</v>
      </c>
      <c r="AN308" s="1">
        <v>2627893</v>
      </c>
      <c r="AO308" s="1">
        <v>52196611</v>
      </c>
      <c r="AP308" s="1">
        <v>8064150</v>
      </c>
      <c r="AQ308" s="1">
        <v>44132461</v>
      </c>
      <c r="AR308" s="1">
        <v>9832570</v>
      </c>
      <c r="AS308" s="1">
        <v>1474885</v>
      </c>
      <c r="AT308" s="1">
        <f t="shared" si="26"/>
        <v>63504066</v>
      </c>
    </row>
    <row r="309" spans="1:46" x14ac:dyDescent="0.2">
      <c r="A309" s="1" t="str">
        <f>"00355"</f>
        <v>00355</v>
      </c>
      <c r="B309" s="1" t="str">
        <f>"محمدابراهيم"</f>
        <v>محمدابراهيم</v>
      </c>
      <c r="C309" s="1" t="str">
        <f>"جوکار"</f>
        <v>جوکار</v>
      </c>
      <c r="D309" s="1" t="str">
        <f t="shared" si="31"/>
        <v>قراردادي کارگري</v>
      </c>
      <c r="E309" s="1" t="str">
        <f t="shared" si="32"/>
        <v>پروژه تعميرات نيروگاه بوشهر</v>
      </c>
      <c r="F309" s="1">
        <v>11252586</v>
      </c>
      <c r="G309" s="1">
        <v>6156081</v>
      </c>
      <c r="H309" s="1">
        <v>0</v>
      </c>
      <c r="I309" s="1">
        <v>10127328</v>
      </c>
      <c r="J309" s="1">
        <v>0</v>
      </c>
      <c r="K309" s="1">
        <v>0</v>
      </c>
      <c r="L309" s="1">
        <v>7462913</v>
      </c>
      <c r="M309" s="1">
        <v>1000000</v>
      </c>
      <c r="N309" s="1">
        <v>6001379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13622714</v>
      </c>
      <c r="W309" s="1">
        <v>1900000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3033762</v>
      </c>
      <c r="AG309" s="1">
        <v>0</v>
      </c>
      <c r="AH309" s="1">
        <v>0</v>
      </c>
      <c r="AI309" s="1">
        <v>0</v>
      </c>
      <c r="AJ309" s="1">
        <v>4377657</v>
      </c>
      <c r="AK309" s="1">
        <v>0</v>
      </c>
      <c r="AL309" s="1">
        <v>0</v>
      </c>
      <c r="AM309" s="1">
        <v>0</v>
      </c>
      <c r="AN309" s="1">
        <v>3484421</v>
      </c>
      <c r="AO309" s="1">
        <v>68418841</v>
      </c>
      <c r="AP309" s="1">
        <v>12458685</v>
      </c>
      <c r="AQ309" s="1">
        <v>55960156</v>
      </c>
      <c r="AR309" s="1">
        <v>13077016</v>
      </c>
      <c r="AS309" s="1">
        <v>1961552</v>
      </c>
      <c r="AT309" s="1">
        <f t="shared" si="26"/>
        <v>83457409</v>
      </c>
    </row>
    <row r="310" spans="1:46" x14ac:dyDescent="0.2">
      <c r="A310" s="1" t="str">
        <f>"00356"</f>
        <v>00356</v>
      </c>
      <c r="B310" s="1" t="str">
        <f>"عبداله"</f>
        <v>عبداله</v>
      </c>
      <c r="C310" s="1" t="str">
        <f>"سرتلي"</f>
        <v>سرتلي</v>
      </c>
      <c r="D310" s="1" t="str">
        <f t="shared" si="31"/>
        <v>قراردادي کارگري</v>
      </c>
      <c r="E310" s="1" t="str">
        <f t="shared" si="32"/>
        <v>پروژه تعميرات نيروگاه بوشهر</v>
      </c>
      <c r="F310" s="1">
        <v>8106850</v>
      </c>
      <c r="G310" s="1">
        <v>6975438</v>
      </c>
      <c r="H310" s="1">
        <v>0</v>
      </c>
      <c r="I310" s="1">
        <v>5918000</v>
      </c>
      <c r="J310" s="1">
        <v>0</v>
      </c>
      <c r="K310" s="1">
        <v>0</v>
      </c>
      <c r="L310" s="1">
        <v>7672721</v>
      </c>
      <c r="M310" s="1">
        <v>1000000</v>
      </c>
      <c r="N310" s="1">
        <v>4266764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9339923</v>
      </c>
      <c r="W310" s="1">
        <v>1900000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4550643</v>
      </c>
      <c r="AG310" s="1">
        <v>0</v>
      </c>
      <c r="AH310" s="1">
        <v>0</v>
      </c>
      <c r="AI310" s="1">
        <v>0</v>
      </c>
      <c r="AJ310" s="1">
        <v>3188772</v>
      </c>
      <c r="AK310" s="1">
        <v>0</v>
      </c>
      <c r="AL310" s="1">
        <v>0</v>
      </c>
      <c r="AM310" s="1">
        <v>0</v>
      </c>
      <c r="AN310" s="1">
        <v>2596434</v>
      </c>
      <c r="AO310" s="1">
        <v>55515545</v>
      </c>
      <c r="AP310" s="1">
        <v>10325772</v>
      </c>
      <c r="AQ310" s="1">
        <v>45189773</v>
      </c>
      <c r="AR310" s="1">
        <v>10192980</v>
      </c>
      <c r="AS310" s="1">
        <v>1528947</v>
      </c>
      <c r="AT310" s="1">
        <f t="shared" si="26"/>
        <v>67237472</v>
      </c>
    </row>
    <row r="311" spans="1:46" x14ac:dyDescent="0.2">
      <c r="A311" s="1" t="str">
        <f>"00357"</f>
        <v>00357</v>
      </c>
      <c r="B311" s="1" t="str">
        <f>"مهرزاد"</f>
        <v>مهرزاد</v>
      </c>
      <c r="C311" s="1" t="str">
        <f>"حيدريان اصل"</f>
        <v>حيدريان اصل</v>
      </c>
      <c r="D311" s="1" t="str">
        <f t="shared" si="31"/>
        <v>قراردادي کارگري</v>
      </c>
      <c r="E311" s="1" t="str">
        <f t="shared" si="32"/>
        <v>پروژه تعميرات نيروگاه بوشهر</v>
      </c>
      <c r="F311" s="1">
        <v>12285919</v>
      </c>
      <c r="G311" s="1">
        <v>8714427</v>
      </c>
      <c r="H311" s="1">
        <v>0</v>
      </c>
      <c r="I311" s="1">
        <v>10320172</v>
      </c>
      <c r="J311" s="1">
        <v>0</v>
      </c>
      <c r="K311" s="1">
        <v>0</v>
      </c>
      <c r="L311" s="1">
        <v>7462913</v>
      </c>
      <c r="M311" s="1">
        <v>1000000</v>
      </c>
      <c r="N311" s="1">
        <v>6552491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12776857</v>
      </c>
      <c r="W311" s="1">
        <v>1900000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4550643</v>
      </c>
      <c r="AG311" s="1">
        <v>0</v>
      </c>
      <c r="AH311" s="1">
        <v>0</v>
      </c>
      <c r="AI311" s="1">
        <v>0</v>
      </c>
      <c r="AJ311" s="1">
        <v>4461787</v>
      </c>
      <c r="AK311" s="1">
        <v>0</v>
      </c>
      <c r="AL311" s="1">
        <v>0</v>
      </c>
      <c r="AM311" s="1">
        <v>0</v>
      </c>
      <c r="AN311" s="1">
        <v>3662149</v>
      </c>
      <c r="AO311" s="1">
        <v>73687358</v>
      </c>
      <c r="AP311" s="1">
        <v>10927517</v>
      </c>
      <c r="AQ311" s="1">
        <v>62759841</v>
      </c>
      <c r="AR311" s="1">
        <v>13827343</v>
      </c>
      <c r="AS311" s="1">
        <v>2074101</v>
      </c>
      <c r="AT311" s="1">
        <f t="shared" si="26"/>
        <v>89588802</v>
      </c>
    </row>
    <row r="312" spans="1:46" x14ac:dyDescent="0.2">
      <c r="A312" s="1" t="str">
        <f>"00358"</f>
        <v>00358</v>
      </c>
      <c r="B312" s="1" t="str">
        <f>"رضا"</f>
        <v>رضا</v>
      </c>
      <c r="C312" s="1" t="str">
        <f>"افسون"</f>
        <v>افسون</v>
      </c>
      <c r="D312" s="1" t="str">
        <f t="shared" si="31"/>
        <v>قراردادي کارگري</v>
      </c>
      <c r="E312" s="1" t="str">
        <f t="shared" si="32"/>
        <v>پروژه تعميرات نيروگاه بوشهر</v>
      </c>
      <c r="F312" s="1">
        <v>8616518</v>
      </c>
      <c r="G312" s="1">
        <v>7280078</v>
      </c>
      <c r="H312" s="1">
        <v>0</v>
      </c>
      <c r="I312" s="1">
        <v>6290058</v>
      </c>
      <c r="J312" s="1">
        <v>0</v>
      </c>
      <c r="K312" s="1">
        <v>0</v>
      </c>
      <c r="L312" s="1">
        <v>7628143</v>
      </c>
      <c r="M312" s="1">
        <v>1000000</v>
      </c>
      <c r="N312" s="1">
        <v>4595476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9715914</v>
      </c>
      <c r="W312" s="1">
        <v>1900000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3033762</v>
      </c>
      <c r="AG312" s="1">
        <v>0</v>
      </c>
      <c r="AH312" s="1">
        <v>0</v>
      </c>
      <c r="AI312" s="1">
        <v>0</v>
      </c>
      <c r="AJ312" s="1">
        <v>4992053</v>
      </c>
      <c r="AK312" s="1">
        <v>0</v>
      </c>
      <c r="AL312" s="1">
        <v>0</v>
      </c>
      <c r="AM312" s="1">
        <v>0</v>
      </c>
      <c r="AN312" s="1">
        <v>2713020</v>
      </c>
      <c r="AO312" s="1">
        <v>57765022</v>
      </c>
      <c r="AP312" s="1">
        <v>13240620</v>
      </c>
      <c r="AQ312" s="1">
        <v>44524402</v>
      </c>
      <c r="AR312" s="1">
        <v>10946252</v>
      </c>
      <c r="AS312" s="1">
        <v>1641938</v>
      </c>
      <c r="AT312" s="1">
        <f t="shared" si="26"/>
        <v>70353212</v>
      </c>
    </row>
    <row r="313" spans="1:46" x14ac:dyDescent="0.2">
      <c r="A313" s="1" t="str">
        <f>"00359"</f>
        <v>00359</v>
      </c>
      <c r="B313" s="1" t="str">
        <f>"نعمت اله"</f>
        <v>نعمت اله</v>
      </c>
      <c r="C313" s="1" t="str">
        <f>"علي زاده"</f>
        <v>علي زاده</v>
      </c>
      <c r="D313" s="1" t="str">
        <f t="shared" si="31"/>
        <v>قراردادي کارگري</v>
      </c>
      <c r="E313" s="1" t="str">
        <f t="shared" si="32"/>
        <v>پروژه تعميرات نيروگاه بوشهر</v>
      </c>
      <c r="F313" s="1">
        <v>9490985</v>
      </c>
      <c r="G313" s="1">
        <v>0</v>
      </c>
      <c r="H313" s="1">
        <v>0</v>
      </c>
      <c r="I313" s="1">
        <v>7023329</v>
      </c>
      <c r="J313" s="1">
        <v>0</v>
      </c>
      <c r="K313" s="1">
        <v>0</v>
      </c>
      <c r="L313" s="1">
        <v>7628143</v>
      </c>
      <c r="M313" s="1">
        <v>1000000</v>
      </c>
      <c r="N313" s="1">
        <v>5028335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11258611</v>
      </c>
      <c r="W313" s="1">
        <v>1900000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3033762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46363165</v>
      </c>
      <c r="AP313" s="1">
        <v>8341032</v>
      </c>
      <c r="AQ313" s="1">
        <v>38022133</v>
      </c>
      <c r="AR313" s="1">
        <v>8665881</v>
      </c>
      <c r="AS313" s="1">
        <v>1299882</v>
      </c>
      <c r="AT313" s="1">
        <f t="shared" si="26"/>
        <v>56328928</v>
      </c>
    </row>
    <row r="314" spans="1:46" x14ac:dyDescent="0.2">
      <c r="A314" s="1" t="str">
        <f>"00360"</f>
        <v>00360</v>
      </c>
      <c r="B314" s="1" t="str">
        <f>"احمد"</f>
        <v>احمد</v>
      </c>
      <c r="C314" s="1" t="str">
        <f>"مقاتلي فرد"</f>
        <v>مقاتلي فرد</v>
      </c>
      <c r="D314" s="1" t="str">
        <f t="shared" si="31"/>
        <v>قراردادي کارگري</v>
      </c>
      <c r="E314" s="1" t="str">
        <f t="shared" si="32"/>
        <v>پروژه تعميرات نيروگاه بوشهر</v>
      </c>
      <c r="F314" s="1">
        <v>7105088</v>
      </c>
      <c r="G314" s="1">
        <v>15322369</v>
      </c>
      <c r="H314" s="1">
        <v>0</v>
      </c>
      <c r="I314" s="1">
        <v>5257765</v>
      </c>
      <c r="J314" s="1">
        <v>0</v>
      </c>
      <c r="K314" s="1">
        <v>0</v>
      </c>
      <c r="L314" s="1">
        <v>7628143</v>
      </c>
      <c r="M314" s="1">
        <v>1000000</v>
      </c>
      <c r="N314" s="1">
        <v>3739520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5612708</v>
      </c>
      <c r="W314" s="1">
        <v>1900000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3033762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50599355</v>
      </c>
      <c r="AP314" s="1">
        <v>17061005</v>
      </c>
      <c r="AQ314" s="1">
        <v>33538350</v>
      </c>
      <c r="AR314" s="1">
        <v>9513119</v>
      </c>
      <c r="AS314" s="1">
        <v>1426968</v>
      </c>
      <c r="AT314" s="1">
        <f t="shared" si="26"/>
        <v>61539442</v>
      </c>
    </row>
    <row r="315" spans="1:46" x14ac:dyDescent="0.2">
      <c r="A315" s="1" t="str">
        <f>"00361"</f>
        <v>00361</v>
      </c>
      <c r="B315" s="1" t="str">
        <f>"غلامعلي"</f>
        <v>غلامعلي</v>
      </c>
      <c r="C315" s="1" t="str">
        <f>"دشتي زاده"</f>
        <v>دشتي زاده</v>
      </c>
      <c r="D315" s="1" t="str">
        <f t="shared" si="31"/>
        <v>قراردادي کارگري</v>
      </c>
      <c r="E315" s="1" t="str">
        <f t="shared" si="32"/>
        <v>پروژه تعميرات نيروگاه بوشهر</v>
      </c>
      <c r="F315" s="1">
        <v>10782608</v>
      </c>
      <c r="G315" s="1">
        <v>2947408</v>
      </c>
      <c r="H315" s="1">
        <v>0</v>
      </c>
      <c r="I315" s="1">
        <v>7979130</v>
      </c>
      <c r="J315" s="1">
        <v>0</v>
      </c>
      <c r="K315" s="1">
        <v>0</v>
      </c>
      <c r="L315" s="1">
        <v>7628143</v>
      </c>
      <c r="M315" s="1">
        <v>1000000</v>
      </c>
      <c r="N315" s="1">
        <v>5529542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8222261</v>
      </c>
      <c r="W315" s="1">
        <v>1900000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1627293</v>
      </c>
      <c r="AD315" s="1">
        <v>0</v>
      </c>
      <c r="AE315" s="1">
        <v>0</v>
      </c>
      <c r="AF315" s="1">
        <v>4550643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52167028</v>
      </c>
      <c r="AP315" s="1">
        <v>8175931</v>
      </c>
      <c r="AQ315" s="1">
        <v>43991097</v>
      </c>
      <c r="AR315" s="1">
        <v>9523277</v>
      </c>
      <c r="AS315" s="1">
        <v>1428492</v>
      </c>
      <c r="AT315" s="1">
        <f t="shared" si="26"/>
        <v>63118797</v>
      </c>
    </row>
    <row r="316" spans="1:46" x14ac:dyDescent="0.2">
      <c r="A316" s="1" t="str">
        <f>"00362"</f>
        <v>00362</v>
      </c>
      <c r="B316" s="1" t="str">
        <f>"غلامرضا"</f>
        <v>غلامرضا</v>
      </c>
      <c r="C316" s="1" t="str">
        <f>"حسين پور بوشهري"</f>
        <v>حسين پور بوشهري</v>
      </c>
      <c r="D316" s="1" t="str">
        <f t="shared" si="31"/>
        <v>قراردادي کارگري</v>
      </c>
      <c r="E316" s="1" t="str">
        <f t="shared" si="32"/>
        <v>پروژه تعميرات نيروگاه بوشهر</v>
      </c>
      <c r="F316" s="1">
        <v>9012235</v>
      </c>
      <c r="G316" s="1">
        <v>5113267</v>
      </c>
      <c r="H316" s="1">
        <v>0</v>
      </c>
      <c r="I316" s="1">
        <v>6849299</v>
      </c>
      <c r="J316" s="1">
        <v>0</v>
      </c>
      <c r="K316" s="1">
        <v>0</v>
      </c>
      <c r="L316" s="1">
        <v>7628143</v>
      </c>
      <c r="M316" s="1">
        <v>1000000</v>
      </c>
      <c r="N316" s="1">
        <v>4592222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10547639</v>
      </c>
      <c r="W316" s="1">
        <v>1900000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1627293</v>
      </c>
      <c r="AD316" s="1">
        <v>4456379</v>
      </c>
      <c r="AE316" s="1">
        <v>0</v>
      </c>
      <c r="AF316" s="1">
        <v>3033762</v>
      </c>
      <c r="AG316" s="1">
        <v>0</v>
      </c>
      <c r="AH316" s="1">
        <v>0</v>
      </c>
      <c r="AI316" s="1">
        <v>0</v>
      </c>
      <c r="AJ316" s="1">
        <v>5454152</v>
      </c>
      <c r="AK316" s="1">
        <v>0</v>
      </c>
      <c r="AL316" s="1">
        <v>0</v>
      </c>
      <c r="AM316" s="1">
        <v>0</v>
      </c>
      <c r="AN316" s="1">
        <v>0</v>
      </c>
      <c r="AO316" s="1">
        <v>61214391</v>
      </c>
      <c r="AP316" s="1">
        <v>8061782</v>
      </c>
      <c r="AQ316" s="1">
        <v>53152609</v>
      </c>
      <c r="AR316" s="1">
        <v>11636126</v>
      </c>
      <c r="AS316" s="1">
        <v>1745419</v>
      </c>
      <c r="AT316" s="1">
        <f t="shared" si="26"/>
        <v>74595936</v>
      </c>
    </row>
    <row r="317" spans="1:46" x14ac:dyDescent="0.2">
      <c r="A317" s="1" t="str">
        <f>"00363"</f>
        <v>00363</v>
      </c>
      <c r="B317" s="1" t="str">
        <f>"بابک"</f>
        <v>بابک</v>
      </c>
      <c r="C317" s="1" t="str">
        <f>"خدادادي"</f>
        <v>خدادادي</v>
      </c>
      <c r="D317" s="1" t="str">
        <f t="shared" si="31"/>
        <v>قراردادي کارگري</v>
      </c>
      <c r="E317" s="1" t="str">
        <f t="shared" si="32"/>
        <v>پروژه تعميرات نيروگاه بوشهر</v>
      </c>
      <c r="F317" s="1">
        <v>9232891</v>
      </c>
      <c r="G317" s="1">
        <v>7049057</v>
      </c>
      <c r="H317" s="1">
        <v>0</v>
      </c>
      <c r="I317" s="1">
        <v>7201655</v>
      </c>
      <c r="J317" s="1">
        <v>0</v>
      </c>
      <c r="K317" s="1">
        <v>0</v>
      </c>
      <c r="L317" s="1">
        <v>7462913</v>
      </c>
      <c r="M317" s="1">
        <v>1000000</v>
      </c>
      <c r="N317" s="1">
        <v>4924208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11136417</v>
      </c>
      <c r="W317" s="1">
        <v>1900000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49907141</v>
      </c>
      <c r="AP317" s="1">
        <v>6833263</v>
      </c>
      <c r="AQ317" s="1">
        <v>43073878</v>
      </c>
      <c r="AR317" s="1">
        <v>9981428</v>
      </c>
      <c r="AS317" s="1">
        <v>1497214</v>
      </c>
      <c r="AT317" s="1">
        <f t="shared" si="26"/>
        <v>61385783</v>
      </c>
    </row>
    <row r="318" spans="1:46" x14ac:dyDescent="0.2">
      <c r="A318" s="1" t="str">
        <f>"00364"</f>
        <v>00364</v>
      </c>
      <c r="B318" s="1" t="str">
        <f>"بهنام"</f>
        <v>بهنام</v>
      </c>
      <c r="C318" s="1" t="str">
        <f>"بهزادي"</f>
        <v>بهزادي</v>
      </c>
      <c r="D318" s="1" t="str">
        <f t="shared" si="31"/>
        <v>قراردادي کارگري</v>
      </c>
      <c r="E318" s="1" t="str">
        <f t="shared" si="32"/>
        <v>پروژه تعميرات نيروگاه بوشهر</v>
      </c>
      <c r="F318" s="1">
        <v>7481481</v>
      </c>
      <c r="G318" s="1">
        <v>4248518</v>
      </c>
      <c r="H318" s="1">
        <v>0</v>
      </c>
      <c r="I318" s="1">
        <v>5461481</v>
      </c>
      <c r="J318" s="1">
        <v>0</v>
      </c>
      <c r="K318" s="1">
        <v>0</v>
      </c>
      <c r="L318" s="1">
        <v>7628143</v>
      </c>
      <c r="M318" s="1">
        <v>1000000</v>
      </c>
      <c r="N318" s="1">
        <v>3990122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8887421</v>
      </c>
      <c r="W318" s="1">
        <v>1900000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3684184</v>
      </c>
      <c r="AE318" s="1">
        <v>0</v>
      </c>
      <c r="AF318" s="1">
        <v>1516881</v>
      </c>
      <c r="AG318" s="1">
        <v>0</v>
      </c>
      <c r="AH318" s="1">
        <v>0</v>
      </c>
      <c r="AI318" s="1">
        <v>0</v>
      </c>
      <c r="AJ318" s="1">
        <v>4531752</v>
      </c>
      <c r="AK318" s="1">
        <v>0</v>
      </c>
      <c r="AL318" s="1">
        <v>0</v>
      </c>
      <c r="AM318" s="1">
        <v>0</v>
      </c>
      <c r="AN318" s="1">
        <v>0</v>
      </c>
      <c r="AO318" s="1">
        <v>50329983</v>
      </c>
      <c r="AP318" s="1">
        <v>8428031</v>
      </c>
      <c r="AQ318" s="1">
        <v>41901952</v>
      </c>
      <c r="AR318" s="1">
        <v>9762620</v>
      </c>
      <c r="AS318" s="1">
        <v>1464393</v>
      </c>
      <c r="AT318" s="1">
        <f t="shared" si="26"/>
        <v>61556996</v>
      </c>
    </row>
    <row r="319" spans="1:46" x14ac:dyDescent="0.2">
      <c r="A319" s="1" t="str">
        <f>"00365"</f>
        <v>00365</v>
      </c>
      <c r="B319" s="1" t="str">
        <f>"محسن"</f>
        <v>محسن</v>
      </c>
      <c r="C319" s="1" t="str">
        <f>"قديمي"</f>
        <v>قديمي</v>
      </c>
      <c r="D319" s="1" t="str">
        <f>"قراردادي بهره بردار"</f>
        <v>قراردادي بهره بردار</v>
      </c>
      <c r="E319" s="1" t="str">
        <f>"پروژه بهره برداري نيروگاه بوشهر"</f>
        <v>پروژه بهره برداري نيروگاه بوشهر</v>
      </c>
      <c r="F319" s="1">
        <v>21019447</v>
      </c>
      <c r="G319" s="1">
        <v>11101795</v>
      </c>
      <c r="H319" s="1">
        <v>0</v>
      </c>
      <c r="I319" s="1">
        <v>16256959</v>
      </c>
      <c r="J319" s="1">
        <v>0</v>
      </c>
      <c r="K319" s="1">
        <v>5500000</v>
      </c>
      <c r="L319" s="1">
        <v>0</v>
      </c>
      <c r="M319" s="1">
        <v>1000000</v>
      </c>
      <c r="N319" s="1">
        <v>3618981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1606000</v>
      </c>
      <c r="U319" s="1">
        <v>0</v>
      </c>
      <c r="V319" s="1">
        <v>22937010</v>
      </c>
      <c r="W319" s="1">
        <v>1900000</v>
      </c>
      <c r="X319" s="1">
        <v>0</v>
      </c>
      <c r="Y319" s="1">
        <v>331332</v>
      </c>
      <c r="Z319" s="1">
        <v>0</v>
      </c>
      <c r="AA319" s="1">
        <v>0</v>
      </c>
      <c r="AB319" s="1">
        <v>0</v>
      </c>
      <c r="AC319" s="1">
        <v>5520480</v>
      </c>
      <c r="AD319" s="1">
        <v>0</v>
      </c>
      <c r="AE319" s="1">
        <v>2584987</v>
      </c>
      <c r="AF319" s="1">
        <v>1516881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4652976</v>
      </c>
      <c r="AM319" s="1">
        <v>0</v>
      </c>
      <c r="AN319" s="1">
        <v>0</v>
      </c>
      <c r="AO319" s="1">
        <v>99546848</v>
      </c>
      <c r="AP319" s="1">
        <v>38256253</v>
      </c>
      <c r="AQ319" s="1">
        <v>61290595</v>
      </c>
      <c r="AR319" s="1">
        <v>18893711</v>
      </c>
      <c r="AS319" s="1">
        <v>2834056</v>
      </c>
      <c r="AT319" s="1">
        <f t="shared" si="26"/>
        <v>121274615</v>
      </c>
    </row>
    <row r="320" spans="1:46" x14ac:dyDescent="0.2">
      <c r="A320" s="1" t="str">
        <f>"00366"</f>
        <v>00366</v>
      </c>
      <c r="B320" s="1" t="str">
        <f>"سهيل"</f>
        <v>سهيل</v>
      </c>
      <c r="C320" s="1" t="str">
        <f>"طاهري"</f>
        <v>طاهري</v>
      </c>
      <c r="D320" s="1" t="str">
        <f>"قراردادي بهره بردار"</f>
        <v>قراردادي بهره بردار</v>
      </c>
      <c r="E320" s="1" t="str">
        <f>"پروژه بهره برداري نيروگاه بوشهر"</f>
        <v>پروژه بهره برداري نيروگاه بوشهر</v>
      </c>
      <c r="F320" s="1">
        <v>18892309</v>
      </c>
      <c r="G320" s="1">
        <v>9456777</v>
      </c>
      <c r="H320" s="1">
        <v>0</v>
      </c>
      <c r="I320" s="1">
        <v>16144767</v>
      </c>
      <c r="J320" s="1">
        <v>0</v>
      </c>
      <c r="K320" s="1">
        <v>5500000</v>
      </c>
      <c r="L320" s="1">
        <v>0</v>
      </c>
      <c r="M320" s="1">
        <v>1000000</v>
      </c>
      <c r="N320" s="1">
        <v>3254016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1606000</v>
      </c>
      <c r="U320" s="1">
        <v>0</v>
      </c>
      <c r="V320" s="1">
        <v>9975526</v>
      </c>
      <c r="W320" s="1">
        <v>1900000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2324297</v>
      </c>
      <c r="AF320" s="1">
        <v>1516881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5249100</v>
      </c>
      <c r="AM320" s="1">
        <v>0</v>
      </c>
      <c r="AN320" s="1">
        <v>0</v>
      </c>
      <c r="AO320" s="1">
        <v>76819673</v>
      </c>
      <c r="AP320" s="1">
        <v>30536118</v>
      </c>
      <c r="AQ320" s="1">
        <v>46283555</v>
      </c>
      <c r="AR320" s="1">
        <v>14739358</v>
      </c>
      <c r="AS320" s="1">
        <v>2210904</v>
      </c>
      <c r="AT320" s="1">
        <f t="shared" si="26"/>
        <v>93769935</v>
      </c>
    </row>
    <row r="321" spans="1:46" x14ac:dyDescent="0.2">
      <c r="A321" s="1" t="str">
        <f>"00367"</f>
        <v>00367</v>
      </c>
      <c r="B321" s="1" t="str">
        <f>"ميترا"</f>
        <v>ميترا</v>
      </c>
      <c r="C321" s="1" t="str">
        <f>"نوري"</f>
        <v>نوري</v>
      </c>
      <c r="D321" s="1" t="str">
        <f>"قراردادي بهره بردار"</f>
        <v>قراردادي بهره بردار</v>
      </c>
      <c r="E321" s="1" t="str">
        <f>"پروژه بهره برداري نيروگاه بوشهر"</f>
        <v>پروژه بهره برداري نيروگاه بوشهر</v>
      </c>
      <c r="F321" s="1">
        <v>19716000</v>
      </c>
      <c r="G321" s="1">
        <v>780142</v>
      </c>
      <c r="H321" s="1">
        <v>0</v>
      </c>
      <c r="I321" s="1">
        <v>16261100</v>
      </c>
      <c r="J321" s="1">
        <v>0</v>
      </c>
      <c r="K321" s="1">
        <v>4125000</v>
      </c>
      <c r="L321" s="1">
        <v>0</v>
      </c>
      <c r="M321" s="1">
        <v>1000000</v>
      </c>
      <c r="N321" s="1">
        <v>3542308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8332873</v>
      </c>
      <c r="W321" s="1">
        <v>1900000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2530220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4896140</v>
      </c>
      <c r="AM321" s="1">
        <v>0</v>
      </c>
      <c r="AN321" s="1">
        <v>0</v>
      </c>
      <c r="AO321" s="1">
        <v>63083783</v>
      </c>
      <c r="AP321" s="1">
        <v>27085465</v>
      </c>
      <c r="AQ321" s="1">
        <v>35998318</v>
      </c>
      <c r="AR321" s="1">
        <v>12616757</v>
      </c>
      <c r="AS321" s="1">
        <v>1892513</v>
      </c>
      <c r="AT321" s="1">
        <f t="shared" si="26"/>
        <v>77593053</v>
      </c>
    </row>
    <row r="322" spans="1:46" x14ac:dyDescent="0.2">
      <c r="A322" s="1" t="str">
        <f>"00368"</f>
        <v>00368</v>
      </c>
      <c r="B322" s="1" t="str">
        <f>"راضيه"</f>
        <v>راضيه</v>
      </c>
      <c r="C322" s="1" t="str">
        <f>"اژدري"</f>
        <v>اژدري</v>
      </c>
      <c r="D322" s="1" t="str">
        <f>"قراردادي بهره بردار"</f>
        <v>قراردادي بهره بردار</v>
      </c>
      <c r="E322" s="1" t="str">
        <f>"پروژه بهره برداري نيروگاه بوشهر"</f>
        <v>پروژه بهره برداري نيروگاه بوشهر</v>
      </c>
      <c r="F322" s="1">
        <v>18447604</v>
      </c>
      <c r="G322" s="1">
        <v>0</v>
      </c>
      <c r="H322" s="1">
        <v>0</v>
      </c>
      <c r="I322" s="1">
        <v>14605547</v>
      </c>
      <c r="J322" s="1">
        <v>0</v>
      </c>
      <c r="K322" s="1">
        <v>4125000</v>
      </c>
      <c r="L322" s="1">
        <v>0</v>
      </c>
      <c r="M322" s="1">
        <v>1000000</v>
      </c>
      <c r="N322" s="1">
        <v>3098369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7647836</v>
      </c>
      <c r="W322" s="1">
        <v>1900000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2213121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4721763</v>
      </c>
      <c r="AM322" s="1">
        <v>0</v>
      </c>
      <c r="AN322" s="1">
        <v>0</v>
      </c>
      <c r="AO322" s="1">
        <v>57759240</v>
      </c>
      <c r="AP322" s="1">
        <v>25013326</v>
      </c>
      <c r="AQ322" s="1">
        <v>32745914</v>
      </c>
      <c r="AR322" s="1">
        <v>11551848</v>
      </c>
      <c r="AS322" s="1">
        <v>1732777</v>
      </c>
      <c r="AT322" s="1">
        <f t="shared" si="26"/>
        <v>71043865</v>
      </c>
    </row>
    <row r="323" spans="1:46" x14ac:dyDescent="0.2">
      <c r="A323" s="1" t="str">
        <f>"00369"</f>
        <v>00369</v>
      </c>
      <c r="B323" s="1" t="str">
        <f>"غلامرضا"</f>
        <v>غلامرضا</v>
      </c>
      <c r="C323" s="1" t="str">
        <f>"ميرکي"</f>
        <v>ميرکي</v>
      </c>
      <c r="D323" s="1" t="str">
        <f t="shared" ref="D323:D332" si="33">"قراردادي کارگري"</f>
        <v>قراردادي کارگري</v>
      </c>
      <c r="E323" s="1" t="str">
        <f t="shared" ref="E323:E333" si="34">"پروژه تعميرات نيروگاه بوشهر"</f>
        <v>پروژه تعميرات نيروگاه بوشهر</v>
      </c>
      <c r="F323" s="1">
        <v>9171547</v>
      </c>
      <c r="G323" s="1">
        <v>2085794</v>
      </c>
      <c r="H323" s="1">
        <v>0</v>
      </c>
      <c r="I323" s="1">
        <v>6695229</v>
      </c>
      <c r="J323" s="1">
        <v>0</v>
      </c>
      <c r="K323" s="1">
        <v>0</v>
      </c>
      <c r="L323" s="1">
        <v>7628143</v>
      </c>
      <c r="M323" s="1">
        <v>1000000</v>
      </c>
      <c r="N323" s="1">
        <v>4859097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13872678</v>
      </c>
      <c r="W323" s="1">
        <v>1900000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4253103</v>
      </c>
      <c r="AE323" s="1">
        <v>0</v>
      </c>
      <c r="AF323" s="1">
        <v>4550643</v>
      </c>
      <c r="AG323" s="1">
        <v>0</v>
      </c>
      <c r="AH323" s="1">
        <v>0</v>
      </c>
      <c r="AI323" s="1">
        <v>0</v>
      </c>
      <c r="AJ323" s="1">
        <v>3814024</v>
      </c>
      <c r="AK323" s="1">
        <v>0</v>
      </c>
      <c r="AL323" s="1">
        <v>0</v>
      </c>
      <c r="AM323" s="1">
        <v>0</v>
      </c>
      <c r="AN323" s="1">
        <v>0</v>
      </c>
      <c r="AO323" s="1">
        <v>59830258</v>
      </c>
      <c r="AP323" s="1">
        <v>9069005</v>
      </c>
      <c r="AQ323" s="1">
        <v>50761253</v>
      </c>
      <c r="AR323" s="1">
        <v>11055923</v>
      </c>
      <c r="AS323" s="1">
        <v>1658388</v>
      </c>
      <c r="AT323" s="1">
        <f t="shared" ref="AT323:AT386" si="35">AO323+AR323+AS323</f>
        <v>72544569</v>
      </c>
    </row>
    <row r="324" spans="1:46" x14ac:dyDescent="0.2">
      <c r="A324" s="1" t="str">
        <f>"00370"</f>
        <v>00370</v>
      </c>
      <c r="B324" s="1" t="str">
        <f>"احمد"</f>
        <v>احمد</v>
      </c>
      <c r="C324" s="1" t="str">
        <f>"عابدي"</f>
        <v>عابدي</v>
      </c>
      <c r="D324" s="1" t="str">
        <f t="shared" si="33"/>
        <v>قراردادي کارگري</v>
      </c>
      <c r="E324" s="1" t="str">
        <f t="shared" si="34"/>
        <v>پروژه تعميرات نيروگاه بوشهر</v>
      </c>
      <c r="F324" s="1">
        <v>7241130</v>
      </c>
      <c r="G324" s="1">
        <v>1766508</v>
      </c>
      <c r="H324" s="1">
        <v>0</v>
      </c>
      <c r="I324" s="1">
        <v>5286025</v>
      </c>
      <c r="J324" s="1">
        <v>0</v>
      </c>
      <c r="K324" s="1">
        <v>0</v>
      </c>
      <c r="L324" s="1">
        <v>7628143</v>
      </c>
      <c r="M324" s="1">
        <v>1000000</v>
      </c>
      <c r="N324" s="1">
        <v>3811121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11796349</v>
      </c>
      <c r="W324" s="1">
        <v>1900000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3594963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4845278</v>
      </c>
      <c r="AK324" s="1">
        <v>0</v>
      </c>
      <c r="AL324" s="1">
        <v>0</v>
      </c>
      <c r="AM324" s="1">
        <v>0</v>
      </c>
      <c r="AN324" s="1">
        <v>0</v>
      </c>
      <c r="AO324" s="1">
        <v>48869517</v>
      </c>
      <c r="AP324" s="1">
        <v>7200695</v>
      </c>
      <c r="AQ324" s="1">
        <v>41668822</v>
      </c>
      <c r="AR324" s="1">
        <v>9773903</v>
      </c>
      <c r="AS324" s="1">
        <v>1466086</v>
      </c>
      <c r="AT324" s="1">
        <f t="shared" si="35"/>
        <v>60109506</v>
      </c>
    </row>
    <row r="325" spans="1:46" x14ac:dyDescent="0.2">
      <c r="A325" s="1" t="str">
        <f>"00371"</f>
        <v>00371</v>
      </c>
      <c r="B325" s="1" t="str">
        <f>"اميد"</f>
        <v>اميد</v>
      </c>
      <c r="C325" s="1" t="str">
        <f>"محمدي"</f>
        <v>محمدي</v>
      </c>
      <c r="D325" s="1" t="str">
        <f t="shared" si="33"/>
        <v>قراردادي کارگري</v>
      </c>
      <c r="E325" s="1" t="str">
        <f t="shared" si="34"/>
        <v>پروژه تعميرات نيروگاه بوشهر</v>
      </c>
      <c r="F325" s="1">
        <v>7358621</v>
      </c>
      <c r="G325" s="1">
        <v>2309398</v>
      </c>
      <c r="H325" s="1">
        <v>0</v>
      </c>
      <c r="I325" s="1">
        <v>5003862</v>
      </c>
      <c r="J325" s="1">
        <v>0</v>
      </c>
      <c r="K325" s="1">
        <v>0</v>
      </c>
      <c r="L325" s="1">
        <v>7628143</v>
      </c>
      <c r="M325" s="1">
        <v>1000000</v>
      </c>
      <c r="N325" s="1">
        <v>3872959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8863883</v>
      </c>
      <c r="W325" s="1">
        <v>1900000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3579538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2956029</v>
      </c>
      <c r="AK325" s="1">
        <v>0</v>
      </c>
      <c r="AL325" s="1">
        <v>0</v>
      </c>
      <c r="AM325" s="1">
        <v>0</v>
      </c>
      <c r="AN325" s="1">
        <v>0</v>
      </c>
      <c r="AO325" s="1">
        <v>44472433</v>
      </c>
      <c r="AP325" s="1">
        <v>7561730</v>
      </c>
      <c r="AQ325" s="1">
        <v>36910703</v>
      </c>
      <c r="AR325" s="1">
        <v>8894487</v>
      </c>
      <c r="AS325" s="1">
        <v>1334173</v>
      </c>
      <c r="AT325" s="1">
        <f t="shared" si="35"/>
        <v>54701093</v>
      </c>
    </row>
    <row r="326" spans="1:46" x14ac:dyDescent="0.2">
      <c r="A326" s="1" t="str">
        <f>"00372"</f>
        <v>00372</v>
      </c>
      <c r="B326" s="1" t="str">
        <f>"رسول"</f>
        <v>رسول</v>
      </c>
      <c r="C326" s="1" t="str">
        <f>"حسن احمدي"</f>
        <v>حسن احمدي</v>
      </c>
      <c r="D326" s="1" t="str">
        <f t="shared" si="33"/>
        <v>قراردادي کارگري</v>
      </c>
      <c r="E326" s="1" t="str">
        <f t="shared" si="34"/>
        <v>پروژه تعميرات نيروگاه بوشهر</v>
      </c>
      <c r="F326" s="1">
        <v>8729249</v>
      </c>
      <c r="G326" s="1">
        <v>4703067</v>
      </c>
      <c r="H326" s="1">
        <v>0</v>
      </c>
      <c r="I326" s="1">
        <v>6285059</v>
      </c>
      <c r="J326" s="1">
        <v>0</v>
      </c>
      <c r="K326" s="1">
        <v>0</v>
      </c>
      <c r="L326" s="1">
        <v>7628143</v>
      </c>
      <c r="M326" s="1">
        <v>1000000</v>
      </c>
      <c r="N326" s="1">
        <v>4624768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9760103</v>
      </c>
      <c r="W326" s="1">
        <v>1900000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4090083</v>
      </c>
      <c r="AE326" s="1">
        <v>0</v>
      </c>
      <c r="AF326" s="1">
        <v>4550643</v>
      </c>
      <c r="AG326" s="1">
        <v>0</v>
      </c>
      <c r="AH326" s="1">
        <v>0</v>
      </c>
      <c r="AI326" s="1">
        <v>0</v>
      </c>
      <c r="AJ326" s="1">
        <v>6688807</v>
      </c>
      <c r="AK326" s="1">
        <v>0</v>
      </c>
      <c r="AL326" s="1">
        <v>0</v>
      </c>
      <c r="AM326" s="1">
        <v>0</v>
      </c>
      <c r="AN326" s="1">
        <v>0</v>
      </c>
      <c r="AO326" s="1">
        <v>59959922</v>
      </c>
      <c r="AP326" s="1">
        <v>9909187</v>
      </c>
      <c r="AQ326" s="1">
        <v>50050735</v>
      </c>
      <c r="AR326" s="1">
        <v>11081856</v>
      </c>
      <c r="AS326" s="1">
        <v>1662278</v>
      </c>
      <c r="AT326" s="1">
        <f t="shared" si="35"/>
        <v>72704056</v>
      </c>
    </row>
    <row r="327" spans="1:46" x14ac:dyDescent="0.2">
      <c r="A327" s="1" t="str">
        <f>"00373"</f>
        <v>00373</v>
      </c>
      <c r="B327" s="1" t="str">
        <f>"شکراله"</f>
        <v>شکراله</v>
      </c>
      <c r="C327" s="1" t="str">
        <f>"عباسي"</f>
        <v>عباسي</v>
      </c>
      <c r="D327" s="1" t="str">
        <f t="shared" si="33"/>
        <v>قراردادي کارگري</v>
      </c>
      <c r="E327" s="1" t="str">
        <f t="shared" si="34"/>
        <v>پروژه تعميرات نيروگاه بوشهر</v>
      </c>
      <c r="F327" s="1">
        <v>11649386</v>
      </c>
      <c r="G327" s="1">
        <v>9092144</v>
      </c>
      <c r="H327" s="1">
        <v>0</v>
      </c>
      <c r="I327" s="1">
        <v>10367954</v>
      </c>
      <c r="J327" s="1">
        <v>0</v>
      </c>
      <c r="K327" s="1">
        <v>0</v>
      </c>
      <c r="L327" s="1">
        <v>7628143</v>
      </c>
      <c r="M327" s="1">
        <v>1000000</v>
      </c>
      <c r="N327" s="1">
        <v>6213006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7091066</v>
      </c>
      <c r="W327" s="1">
        <v>1900000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3033762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57975461</v>
      </c>
      <c r="AP327" s="1">
        <v>12202903</v>
      </c>
      <c r="AQ327" s="1">
        <v>45772558</v>
      </c>
      <c r="AR327" s="1">
        <v>10988340</v>
      </c>
      <c r="AS327" s="1">
        <v>1648251</v>
      </c>
      <c r="AT327" s="1">
        <f t="shared" si="35"/>
        <v>70612052</v>
      </c>
    </row>
    <row r="328" spans="1:46" x14ac:dyDescent="0.2">
      <c r="A328" s="1" t="str">
        <f>"00374"</f>
        <v>00374</v>
      </c>
      <c r="B328" s="1" t="str">
        <f>"مهدي"</f>
        <v>مهدي</v>
      </c>
      <c r="C328" s="1" t="str">
        <f>"برتون"</f>
        <v>برتون</v>
      </c>
      <c r="D328" s="1" t="str">
        <f t="shared" si="33"/>
        <v>قراردادي کارگري</v>
      </c>
      <c r="E328" s="1" t="str">
        <f t="shared" si="34"/>
        <v>پروژه تعميرات نيروگاه بوشهر</v>
      </c>
      <c r="F328" s="1">
        <v>8987257</v>
      </c>
      <c r="G328" s="1">
        <v>6955968</v>
      </c>
      <c r="H328" s="1">
        <v>0</v>
      </c>
      <c r="I328" s="1">
        <v>6560697</v>
      </c>
      <c r="J328" s="1">
        <v>0</v>
      </c>
      <c r="K328" s="1">
        <v>0</v>
      </c>
      <c r="L328" s="1">
        <v>7628143</v>
      </c>
      <c r="M328" s="1">
        <v>1000000</v>
      </c>
      <c r="N328" s="1">
        <v>4761462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9976287</v>
      </c>
      <c r="W328" s="1">
        <v>1900000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4190634</v>
      </c>
      <c r="AE328" s="1">
        <v>0</v>
      </c>
      <c r="AF328" s="1">
        <v>6067524</v>
      </c>
      <c r="AG328" s="1">
        <v>0</v>
      </c>
      <c r="AH328" s="1">
        <v>0</v>
      </c>
      <c r="AI328" s="1">
        <v>0</v>
      </c>
      <c r="AJ328" s="1">
        <v>5136715</v>
      </c>
      <c r="AK328" s="1">
        <v>0</v>
      </c>
      <c r="AL328" s="1">
        <v>0</v>
      </c>
      <c r="AM328" s="1">
        <v>0</v>
      </c>
      <c r="AN328" s="1">
        <v>0</v>
      </c>
      <c r="AO328" s="1">
        <v>63164687</v>
      </c>
      <c r="AP328" s="1">
        <v>14351344</v>
      </c>
      <c r="AQ328" s="1">
        <v>48813343</v>
      </c>
      <c r="AR328" s="1">
        <v>11419433</v>
      </c>
      <c r="AS328" s="1">
        <v>1712915</v>
      </c>
      <c r="AT328" s="1">
        <f t="shared" si="35"/>
        <v>76297035</v>
      </c>
    </row>
    <row r="329" spans="1:46" x14ac:dyDescent="0.2">
      <c r="A329" s="1" t="str">
        <f>"00375"</f>
        <v>00375</v>
      </c>
      <c r="B329" s="1" t="str">
        <f>"محمدرضا"</f>
        <v>محمدرضا</v>
      </c>
      <c r="C329" s="1" t="str">
        <f>"قادري"</f>
        <v>قادري</v>
      </c>
      <c r="D329" s="1" t="str">
        <f t="shared" si="33"/>
        <v>قراردادي کارگري</v>
      </c>
      <c r="E329" s="1" t="str">
        <f t="shared" si="34"/>
        <v>پروژه تعميرات نيروگاه بوشهر</v>
      </c>
      <c r="F329" s="1">
        <v>12708645</v>
      </c>
      <c r="G329" s="1">
        <v>7980727</v>
      </c>
      <c r="H329" s="1">
        <v>0</v>
      </c>
      <c r="I329" s="1">
        <v>10166916</v>
      </c>
      <c r="J329" s="1">
        <v>0</v>
      </c>
      <c r="K329" s="1">
        <v>0</v>
      </c>
      <c r="L329" s="1">
        <v>7462913</v>
      </c>
      <c r="M329" s="1">
        <v>1000000</v>
      </c>
      <c r="N329" s="1">
        <v>6777945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8122900</v>
      </c>
      <c r="W329" s="1">
        <v>1900000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1516881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57636927</v>
      </c>
      <c r="AP329" s="1">
        <v>15389563</v>
      </c>
      <c r="AQ329" s="1">
        <v>42247364</v>
      </c>
      <c r="AR329" s="1">
        <v>11224009</v>
      </c>
      <c r="AS329" s="1">
        <v>1683601</v>
      </c>
      <c r="AT329" s="1">
        <f t="shared" si="35"/>
        <v>70544537</v>
      </c>
    </row>
    <row r="330" spans="1:46" x14ac:dyDescent="0.2">
      <c r="A330" s="1" t="str">
        <f>"00376"</f>
        <v>00376</v>
      </c>
      <c r="B330" s="1" t="str">
        <f>"امين"</f>
        <v>امين</v>
      </c>
      <c r="C330" s="1" t="str">
        <f>"عسکرزاده شيرازي"</f>
        <v>عسکرزاده شيرازي</v>
      </c>
      <c r="D330" s="1" t="str">
        <f t="shared" si="33"/>
        <v>قراردادي کارگري</v>
      </c>
      <c r="E330" s="1" t="str">
        <f t="shared" si="34"/>
        <v>پروژه تعميرات نيروگاه بوشهر</v>
      </c>
      <c r="F330" s="1">
        <v>11843766</v>
      </c>
      <c r="G330" s="1">
        <v>9456935</v>
      </c>
      <c r="H330" s="1">
        <v>0</v>
      </c>
      <c r="I330" s="1">
        <v>8764387</v>
      </c>
      <c r="J330" s="1">
        <v>0</v>
      </c>
      <c r="K330" s="1">
        <v>0</v>
      </c>
      <c r="L330" s="1">
        <v>7628143</v>
      </c>
      <c r="M330" s="1">
        <v>1000000</v>
      </c>
      <c r="N330" s="1">
        <v>6274843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8720565</v>
      </c>
      <c r="W330" s="1">
        <v>1900000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3033762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58622401</v>
      </c>
      <c r="AP330" s="1">
        <v>7241924</v>
      </c>
      <c r="AQ330" s="1">
        <v>51380477</v>
      </c>
      <c r="AR330" s="1">
        <v>11117728</v>
      </c>
      <c r="AS330" s="1">
        <v>1667659</v>
      </c>
      <c r="AT330" s="1">
        <f t="shared" si="35"/>
        <v>71407788</v>
      </c>
    </row>
    <row r="331" spans="1:46" x14ac:dyDescent="0.2">
      <c r="A331" s="1" t="str">
        <f>"00377"</f>
        <v>00377</v>
      </c>
      <c r="B331" s="1" t="str">
        <f>"احمد"</f>
        <v>احمد</v>
      </c>
      <c r="C331" s="1" t="str">
        <f>"فقيه الاسلام جهرمي"</f>
        <v>فقيه الاسلام جهرمي</v>
      </c>
      <c r="D331" s="1" t="str">
        <f t="shared" si="33"/>
        <v>قراردادي کارگري</v>
      </c>
      <c r="E331" s="1" t="str">
        <f t="shared" si="34"/>
        <v>پروژه تعميرات نيروگاه بوشهر</v>
      </c>
      <c r="F331" s="1">
        <v>10353453</v>
      </c>
      <c r="G331" s="1">
        <v>8585101</v>
      </c>
      <c r="H331" s="1">
        <v>0</v>
      </c>
      <c r="I331" s="1">
        <v>9732245</v>
      </c>
      <c r="J331" s="1">
        <v>0</v>
      </c>
      <c r="K331" s="1">
        <v>0</v>
      </c>
      <c r="L331" s="1">
        <v>7462913</v>
      </c>
      <c r="M331" s="1">
        <v>1000000</v>
      </c>
      <c r="N331" s="1">
        <v>5521842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7483927</v>
      </c>
      <c r="W331" s="1">
        <v>1900000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1516881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53556362</v>
      </c>
      <c r="AP331" s="1">
        <v>18816248</v>
      </c>
      <c r="AQ331" s="1">
        <v>34740114</v>
      </c>
      <c r="AR331" s="1">
        <v>10407896</v>
      </c>
      <c r="AS331" s="1">
        <v>1561184</v>
      </c>
      <c r="AT331" s="1">
        <f t="shared" si="35"/>
        <v>65525442</v>
      </c>
    </row>
    <row r="332" spans="1:46" x14ac:dyDescent="0.2">
      <c r="A332" s="1" t="str">
        <f>"00380"</f>
        <v>00380</v>
      </c>
      <c r="B332" s="1" t="str">
        <f>"سجاد"</f>
        <v>سجاد</v>
      </c>
      <c r="C332" s="1" t="str">
        <f>"عاشوري"</f>
        <v>عاشوري</v>
      </c>
      <c r="D332" s="1" t="str">
        <f t="shared" si="33"/>
        <v>قراردادي کارگري</v>
      </c>
      <c r="E332" s="1" t="str">
        <f t="shared" si="34"/>
        <v>پروژه تعميرات نيروگاه بوشهر</v>
      </c>
      <c r="F332" s="1">
        <v>7383356</v>
      </c>
      <c r="G332" s="1">
        <v>2538349</v>
      </c>
      <c r="H332" s="1">
        <v>0</v>
      </c>
      <c r="I332" s="1">
        <v>4946848</v>
      </c>
      <c r="J332" s="1">
        <v>0</v>
      </c>
      <c r="K332" s="1">
        <v>0</v>
      </c>
      <c r="L332" s="1">
        <v>7628143</v>
      </c>
      <c r="M332" s="1">
        <v>1000000</v>
      </c>
      <c r="N332" s="1">
        <v>3885976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8857527</v>
      </c>
      <c r="W332" s="1">
        <v>1900000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3576648</v>
      </c>
      <c r="AE332" s="1">
        <v>0</v>
      </c>
      <c r="AF332" s="1">
        <v>4550643</v>
      </c>
      <c r="AG332" s="1">
        <v>0</v>
      </c>
      <c r="AH332" s="1">
        <v>0</v>
      </c>
      <c r="AI332" s="1">
        <v>0</v>
      </c>
      <c r="AJ332" s="1">
        <v>4430573</v>
      </c>
      <c r="AK332" s="1">
        <v>0</v>
      </c>
      <c r="AL332" s="1">
        <v>0</v>
      </c>
      <c r="AM332" s="1">
        <v>0</v>
      </c>
      <c r="AN332" s="1">
        <v>0</v>
      </c>
      <c r="AO332" s="1">
        <v>50698063</v>
      </c>
      <c r="AP332" s="1">
        <v>11369923</v>
      </c>
      <c r="AQ332" s="1">
        <v>39328140</v>
      </c>
      <c r="AR332" s="1">
        <v>9229484</v>
      </c>
      <c r="AS332" s="1">
        <v>1384423</v>
      </c>
      <c r="AT332" s="1">
        <f t="shared" si="35"/>
        <v>61311970</v>
      </c>
    </row>
    <row r="333" spans="1:46" x14ac:dyDescent="0.2">
      <c r="A333" s="1" t="str">
        <f>"00381"</f>
        <v>00381</v>
      </c>
      <c r="B333" s="1" t="str">
        <f>"سيد محمود"</f>
        <v>سيد محمود</v>
      </c>
      <c r="C333" s="1" t="str">
        <f>"سجاديان"</f>
        <v>سجاديان</v>
      </c>
      <c r="D333" s="1" t="str">
        <f>"قراردادي بهره بردار"</f>
        <v>قراردادي بهره بردار</v>
      </c>
      <c r="E333" s="1" t="str">
        <f t="shared" si="34"/>
        <v>پروژه تعميرات نيروگاه بوشهر</v>
      </c>
      <c r="F333" s="1">
        <v>25043701</v>
      </c>
      <c r="G333" s="1">
        <v>30083641</v>
      </c>
      <c r="H333" s="1">
        <v>0</v>
      </c>
      <c r="I333" s="1">
        <v>29825313</v>
      </c>
      <c r="J333" s="1">
        <v>0</v>
      </c>
      <c r="K333" s="1">
        <v>5500000</v>
      </c>
      <c r="L333" s="1">
        <v>0</v>
      </c>
      <c r="M333" s="1">
        <v>1000000</v>
      </c>
      <c r="N333" s="1">
        <v>3661918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6920912</v>
      </c>
      <c r="W333" s="1">
        <v>1900000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3877480</v>
      </c>
      <c r="AD333" s="1">
        <v>0</v>
      </c>
      <c r="AE333" s="1">
        <v>2615656</v>
      </c>
      <c r="AF333" s="1">
        <v>1516881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4185050</v>
      </c>
      <c r="AM333" s="1">
        <v>0</v>
      </c>
      <c r="AN333" s="1">
        <v>0</v>
      </c>
      <c r="AO333" s="1">
        <v>116130552</v>
      </c>
      <c r="AP333" s="1">
        <v>59116861</v>
      </c>
      <c r="AQ333" s="1">
        <v>57013691</v>
      </c>
      <c r="AR333" s="1">
        <v>21944212</v>
      </c>
      <c r="AS333" s="1">
        <v>3291632</v>
      </c>
      <c r="AT333" s="1">
        <f t="shared" si="35"/>
        <v>141366396</v>
      </c>
    </row>
    <row r="334" spans="1:46" x14ac:dyDescent="0.2">
      <c r="A334" s="1" t="str">
        <f>"00382"</f>
        <v>00382</v>
      </c>
      <c r="B334" s="1" t="str">
        <f>"سيد امير"</f>
        <v>سيد امير</v>
      </c>
      <c r="C334" s="1" t="str">
        <f>"حسيني"</f>
        <v>حسيني</v>
      </c>
      <c r="D334" s="1" t="str">
        <f>"قراردادي بهره بردار"</f>
        <v>قراردادي بهره بردار</v>
      </c>
      <c r="E334" s="1" t="str">
        <f>"پروژه بهره برداري نيروگاه بوشهر"</f>
        <v>پروژه بهره برداري نيروگاه بوشهر</v>
      </c>
      <c r="F334" s="1">
        <v>27488485</v>
      </c>
      <c r="G334" s="1">
        <v>28093469</v>
      </c>
      <c r="H334" s="1">
        <v>0</v>
      </c>
      <c r="I334" s="1">
        <v>29220123</v>
      </c>
      <c r="J334" s="1">
        <v>0</v>
      </c>
      <c r="K334" s="1">
        <v>5500000</v>
      </c>
      <c r="L334" s="1">
        <v>0</v>
      </c>
      <c r="M334" s="1">
        <v>1000000</v>
      </c>
      <c r="N334" s="1">
        <v>4949266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1606000</v>
      </c>
      <c r="U334" s="1">
        <v>0</v>
      </c>
      <c r="V334" s="1">
        <v>18746437</v>
      </c>
      <c r="W334" s="1">
        <v>1900000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3535188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6221930</v>
      </c>
      <c r="AM334" s="1">
        <v>0</v>
      </c>
      <c r="AN334" s="1">
        <v>0</v>
      </c>
      <c r="AO334" s="1">
        <v>128260898</v>
      </c>
      <c r="AP334" s="1">
        <v>51162217</v>
      </c>
      <c r="AQ334" s="1">
        <v>77098681</v>
      </c>
      <c r="AR334" s="1">
        <v>24708379</v>
      </c>
      <c r="AS334" s="1">
        <v>3706257</v>
      </c>
      <c r="AT334" s="1">
        <f t="shared" si="35"/>
        <v>156675534</v>
      </c>
    </row>
    <row r="335" spans="1:46" x14ac:dyDescent="0.2">
      <c r="A335" s="1" t="str">
        <f>"00383"</f>
        <v>00383</v>
      </c>
      <c r="B335" s="1" t="str">
        <f>"زهرا"</f>
        <v>زهرا</v>
      </c>
      <c r="C335" s="1" t="str">
        <f>"عفيفيان"</f>
        <v>عفيفيان</v>
      </c>
      <c r="D335" s="1" t="str">
        <f>"قراردادي کارگري"</f>
        <v>قراردادي کارگري</v>
      </c>
      <c r="E335" s="1" t="str">
        <f>"پروژه تعميرات نيروگاه بوشهر"</f>
        <v>پروژه تعميرات نيروگاه بوشهر</v>
      </c>
      <c r="F335" s="1">
        <v>8836528</v>
      </c>
      <c r="G335" s="1">
        <v>0</v>
      </c>
      <c r="H335" s="1">
        <v>0</v>
      </c>
      <c r="I335" s="1">
        <v>6450666</v>
      </c>
      <c r="J335" s="1">
        <v>0</v>
      </c>
      <c r="K335" s="1">
        <v>0</v>
      </c>
      <c r="L335" s="1">
        <v>7628143</v>
      </c>
      <c r="M335" s="1">
        <v>1000000</v>
      </c>
      <c r="N335" s="1">
        <v>4650804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3056281</v>
      </c>
      <c r="W335" s="1">
        <v>1900000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33522422</v>
      </c>
      <c r="AP335" s="1">
        <v>7000711</v>
      </c>
      <c r="AQ335" s="1">
        <v>26521711</v>
      </c>
      <c r="AR335" s="1">
        <v>6704484</v>
      </c>
      <c r="AS335" s="1">
        <v>1005673</v>
      </c>
      <c r="AT335" s="1">
        <f t="shared" si="35"/>
        <v>41232579</v>
      </c>
    </row>
    <row r="336" spans="1:46" x14ac:dyDescent="0.2">
      <c r="A336" s="1" t="str">
        <f>"00384"</f>
        <v>00384</v>
      </c>
      <c r="B336" s="1" t="str">
        <f>"غلامرضا"</f>
        <v>غلامرضا</v>
      </c>
      <c r="C336" s="1" t="str">
        <f>"خسروي"</f>
        <v>خسروي</v>
      </c>
      <c r="D336" s="1" t="str">
        <f>"قراردادي کارگري"</f>
        <v>قراردادي کارگري</v>
      </c>
      <c r="E336" s="1" t="str">
        <f>"پروژه تعميرات نيروگاه بوشهر"</f>
        <v>پروژه تعميرات نيروگاه بوشهر</v>
      </c>
      <c r="F336" s="1">
        <v>7304065</v>
      </c>
      <c r="G336" s="1">
        <v>4654446</v>
      </c>
      <c r="H336" s="1">
        <v>0</v>
      </c>
      <c r="I336" s="1">
        <v>5405008</v>
      </c>
      <c r="J336" s="1">
        <v>0</v>
      </c>
      <c r="K336" s="1">
        <v>0</v>
      </c>
      <c r="L336" s="1">
        <v>7628143</v>
      </c>
      <c r="M336" s="1">
        <v>1000000</v>
      </c>
      <c r="N336" s="1">
        <v>3869703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8773157</v>
      </c>
      <c r="W336" s="1">
        <v>1900000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40534522</v>
      </c>
      <c r="AP336" s="1">
        <v>8601558</v>
      </c>
      <c r="AQ336" s="1">
        <v>31932964</v>
      </c>
      <c r="AR336" s="1">
        <v>8106904</v>
      </c>
      <c r="AS336" s="1">
        <v>1216036</v>
      </c>
      <c r="AT336" s="1">
        <f t="shared" si="35"/>
        <v>49857462</v>
      </c>
    </row>
    <row r="337" spans="1:46" x14ac:dyDescent="0.2">
      <c r="A337" s="1" t="str">
        <f>"00385"</f>
        <v>00385</v>
      </c>
      <c r="B337" s="1" t="str">
        <f>"محمد"</f>
        <v>محمد</v>
      </c>
      <c r="C337" s="1" t="str">
        <f>"پولادي نژاد"</f>
        <v>پولادي نژاد</v>
      </c>
      <c r="D337" s="1" t="str">
        <f>"قراردادي بهره بردار"</f>
        <v>قراردادي بهره بردار</v>
      </c>
      <c r="E337" s="1" t="str">
        <f>"پروژه بهره برداري نيروگاه بوشهر"</f>
        <v>پروژه بهره برداري نيروگاه بوشهر</v>
      </c>
      <c r="F337" s="1">
        <v>18550569</v>
      </c>
      <c r="G337" s="1">
        <v>20744661</v>
      </c>
      <c r="H337" s="1">
        <v>0</v>
      </c>
      <c r="I337" s="1">
        <v>19526875</v>
      </c>
      <c r="J337" s="1">
        <v>0</v>
      </c>
      <c r="K337" s="1">
        <v>4620000</v>
      </c>
      <c r="L337" s="1">
        <v>0</v>
      </c>
      <c r="M337" s="1">
        <v>1000000</v>
      </c>
      <c r="N337" s="1">
        <v>3970145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1606000</v>
      </c>
      <c r="U337" s="1">
        <v>0</v>
      </c>
      <c r="V337" s="1">
        <v>13688186</v>
      </c>
      <c r="W337" s="1">
        <v>1900000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2835816</v>
      </c>
      <c r="AF337" s="1">
        <v>1516881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7262062</v>
      </c>
      <c r="AM337" s="1">
        <v>0</v>
      </c>
      <c r="AN337" s="1">
        <v>0</v>
      </c>
      <c r="AO337" s="1">
        <v>97221195</v>
      </c>
      <c r="AP337" s="1">
        <v>31347823</v>
      </c>
      <c r="AQ337" s="1">
        <v>65873372</v>
      </c>
      <c r="AR337" s="1">
        <v>18819662</v>
      </c>
      <c r="AS337" s="1">
        <v>2822949</v>
      </c>
      <c r="AT337" s="1">
        <f t="shared" si="35"/>
        <v>118863806</v>
      </c>
    </row>
    <row r="338" spans="1:46" x14ac:dyDescent="0.2">
      <c r="A338" s="1" t="str">
        <f>"00386"</f>
        <v>00386</v>
      </c>
      <c r="B338" s="1" t="str">
        <f>"سيد اسد"</f>
        <v>سيد اسد</v>
      </c>
      <c r="C338" s="1" t="str">
        <f>"موسوي"</f>
        <v>موسوي</v>
      </c>
      <c r="D338" s="1" t="str">
        <f>"قراردادي کارگري"</f>
        <v>قراردادي کارگري</v>
      </c>
      <c r="E338" s="1" t="str">
        <f>"پروژه تعميرات نيروگاه بوشهر"</f>
        <v>پروژه تعميرات نيروگاه بوشهر</v>
      </c>
      <c r="F338" s="1">
        <v>9983445</v>
      </c>
      <c r="G338" s="1">
        <v>2608257</v>
      </c>
      <c r="H338" s="1">
        <v>0</v>
      </c>
      <c r="I338" s="1">
        <v>7387750</v>
      </c>
      <c r="J338" s="1">
        <v>0</v>
      </c>
      <c r="K338" s="1">
        <v>0</v>
      </c>
      <c r="L338" s="1">
        <v>7628143</v>
      </c>
      <c r="M338" s="1">
        <v>1000000</v>
      </c>
      <c r="N338" s="1">
        <v>5324504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10745864</v>
      </c>
      <c r="W338" s="1">
        <v>1900000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4548576</v>
      </c>
      <c r="AE338" s="1">
        <v>0</v>
      </c>
      <c r="AF338" s="1">
        <v>3033762</v>
      </c>
      <c r="AG338" s="1">
        <v>0</v>
      </c>
      <c r="AH338" s="1">
        <v>0</v>
      </c>
      <c r="AI338" s="1">
        <v>0</v>
      </c>
      <c r="AJ338" s="1">
        <v>7419044</v>
      </c>
      <c r="AK338" s="1">
        <v>0</v>
      </c>
      <c r="AL338" s="1">
        <v>0</v>
      </c>
      <c r="AM338" s="1">
        <v>0</v>
      </c>
      <c r="AN338" s="1">
        <v>0</v>
      </c>
      <c r="AO338" s="1">
        <v>61579345</v>
      </c>
      <c r="AP338" s="1">
        <v>11040736</v>
      </c>
      <c r="AQ338" s="1">
        <v>50538609</v>
      </c>
      <c r="AR338" s="1">
        <v>11709117</v>
      </c>
      <c r="AS338" s="1">
        <v>1756367</v>
      </c>
      <c r="AT338" s="1">
        <f t="shared" si="35"/>
        <v>75044829</v>
      </c>
    </row>
    <row r="339" spans="1:46" x14ac:dyDescent="0.2">
      <c r="A339" s="1" t="str">
        <f>"00387"</f>
        <v>00387</v>
      </c>
      <c r="B339" s="1" t="str">
        <f>"عادل"</f>
        <v>عادل</v>
      </c>
      <c r="C339" s="1" t="str">
        <f>"محمدي نهاد"</f>
        <v>محمدي نهاد</v>
      </c>
      <c r="D339" s="1" t="str">
        <f>"قراردادي بهره بردار"</f>
        <v>قراردادي بهره بردار</v>
      </c>
      <c r="E339" s="1" t="str">
        <f>"پروژه بهره برداري نيروگاه بوشهر"</f>
        <v>پروژه بهره برداري نيروگاه بوشهر</v>
      </c>
      <c r="F339" s="1">
        <v>17926225</v>
      </c>
      <c r="G339" s="1">
        <v>10574273</v>
      </c>
      <c r="H339" s="1">
        <v>0</v>
      </c>
      <c r="I339" s="1">
        <v>13982028</v>
      </c>
      <c r="J339" s="1">
        <v>0</v>
      </c>
      <c r="K339" s="1">
        <v>0</v>
      </c>
      <c r="L339" s="1">
        <v>0</v>
      </c>
      <c r="M339" s="1">
        <v>1000000</v>
      </c>
      <c r="N339" s="1">
        <v>2915887</v>
      </c>
      <c r="O339" s="1">
        <v>0</v>
      </c>
      <c r="P339" s="1">
        <v>0</v>
      </c>
      <c r="Q339" s="1">
        <v>0</v>
      </c>
      <c r="R339" s="1">
        <v>130249</v>
      </c>
      <c r="S339" s="1">
        <v>0</v>
      </c>
      <c r="T339" s="1">
        <v>0</v>
      </c>
      <c r="U339" s="1">
        <v>0</v>
      </c>
      <c r="V339" s="1">
        <v>8497863</v>
      </c>
      <c r="W339" s="1">
        <v>1900000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2082776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4546071</v>
      </c>
      <c r="AM339" s="1">
        <v>0</v>
      </c>
      <c r="AN339" s="1">
        <v>0</v>
      </c>
      <c r="AO339" s="1">
        <v>63555372</v>
      </c>
      <c r="AP339" s="1">
        <v>30975473</v>
      </c>
      <c r="AQ339" s="1">
        <v>32579899</v>
      </c>
      <c r="AR339" s="1">
        <v>12685025</v>
      </c>
      <c r="AS339" s="1">
        <v>1902754</v>
      </c>
      <c r="AT339" s="1">
        <f t="shared" si="35"/>
        <v>78143151</v>
      </c>
    </row>
    <row r="340" spans="1:46" x14ac:dyDescent="0.2">
      <c r="A340" s="1" t="str">
        <f>"00388"</f>
        <v>00388</v>
      </c>
      <c r="B340" s="1" t="str">
        <f>"عبدالمهدي"</f>
        <v>عبدالمهدي</v>
      </c>
      <c r="C340" s="1" t="str">
        <f>"صفائي"</f>
        <v>صفائي</v>
      </c>
      <c r="D340" s="1" t="str">
        <f>"قراردادي کارگري"</f>
        <v>قراردادي کارگري</v>
      </c>
      <c r="E340" s="1" t="str">
        <f>"پروژه تعميرات نيروگاه بوشهر"</f>
        <v>پروژه تعميرات نيروگاه بوشهر</v>
      </c>
      <c r="F340" s="1">
        <v>7783222</v>
      </c>
      <c r="G340" s="1">
        <v>11995011</v>
      </c>
      <c r="H340" s="1">
        <v>0</v>
      </c>
      <c r="I340" s="1">
        <v>5603920</v>
      </c>
      <c r="J340" s="1">
        <v>0</v>
      </c>
      <c r="K340" s="1">
        <v>0</v>
      </c>
      <c r="L340" s="1">
        <v>7628143</v>
      </c>
      <c r="M340" s="1">
        <v>1000000</v>
      </c>
      <c r="N340" s="1">
        <v>4123562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5767780</v>
      </c>
      <c r="W340" s="1">
        <v>1900000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45801638</v>
      </c>
      <c r="AP340" s="1">
        <v>10722759</v>
      </c>
      <c r="AQ340" s="1">
        <v>35078879</v>
      </c>
      <c r="AR340" s="1">
        <v>9160328</v>
      </c>
      <c r="AS340" s="1">
        <v>1374049</v>
      </c>
      <c r="AT340" s="1">
        <f t="shared" si="35"/>
        <v>56336015</v>
      </c>
    </row>
    <row r="341" spans="1:46" x14ac:dyDescent="0.2">
      <c r="A341" s="1" t="str">
        <f>"00389"</f>
        <v>00389</v>
      </c>
      <c r="B341" s="1" t="str">
        <f>"رضا"</f>
        <v>رضا</v>
      </c>
      <c r="C341" s="1" t="str">
        <f>"احسان نيا"</f>
        <v>احسان نيا</v>
      </c>
      <c r="D341" s="1" t="str">
        <f>"قراردادي کارگري"</f>
        <v>قراردادي کارگري</v>
      </c>
      <c r="E341" s="1" t="str">
        <f>"پروژه تعميرات نيروگاه بوشهر"</f>
        <v>پروژه تعميرات نيروگاه بوشهر</v>
      </c>
      <c r="F341" s="1">
        <v>8199605</v>
      </c>
      <c r="G341" s="1">
        <v>12991384</v>
      </c>
      <c r="H341" s="1">
        <v>0</v>
      </c>
      <c r="I341" s="1">
        <v>5985713</v>
      </c>
      <c r="J341" s="1">
        <v>0</v>
      </c>
      <c r="K341" s="1">
        <v>0</v>
      </c>
      <c r="L341" s="1">
        <v>7672721</v>
      </c>
      <c r="M341" s="1">
        <v>1000000</v>
      </c>
      <c r="N341" s="1">
        <v>4315582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6125760</v>
      </c>
      <c r="W341" s="1">
        <v>1900000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48190765</v>
      </c>
      <c r="AP341" s="1">
        <v>9545290</v>
      </c>
      <c r="AQ341" s="1">
        <v>38645475</v>
      </c>
      <c r="AR341" s="1">
        <v>9638153</v>
      </c>
      <c r="AS341" s="1">
        <v>1445723</v>
      </c>
      <c r="AT341" s="1">
        <f t="shared" si="35"/>
        <v>59274641</v>
      </c>
    </row>
    <row r="342" spans="1:46" x14ac:dyDescent="0.2">
      <c r="A342" s="1" t="str">
        <f>"00390"</f>
        <v>00390</v>
      </c>
      <c r="B342" s="1" t="str">
        <f>"رضا"</f>
        <v>رضا</v>
      </c>
      <c r="C342" s="1" t="str">
        <f>"كشاورز"</f>
        <v>كشاورز</v>
      </c>
      <c r="D342" s="1" t="str">
        <f>"قراردادي بهره بردار"</f>
        <v>قراردادي بهره بردار</v>
      </c>
      <c r="E342" s="1" t="str">
        <f>"پروژه بهره برداري نيروگاه بوشهر"</f>
        <v>پروژه بهره برداري نيروگاه بوشهر</v>
      </c>
      <c r="F342" s="1">
        <v>21501393</v>
      </c>
      <c r="G342" s="1">
        <v>12670555</v>
      </c>
      <c r="H342" s="1">
        <v>2968000</v>
      </c>
      <c r="I342" s="1">
        <v>18693233</v>
      </c>
      <c r="J342" s="1">
        <v>0</v>
      </c>
      <c r="K342" s="1">
        <v>5500000</v>
      </c>
      <c r="L342" s="1">
        <v>0</v>
      </c>
      <c r="M342" s="1">
        <v>1000000</v>
      </c>
      <c r="N342" s="1">
        <v>3097603</v>
      </c>
      <c r="O342" s="1">
        <v>0</v>
      </c>
      <c r="P342" s="1">
        <v>0</v>
      </c>
      <c r="Q342" s="1">
        <v>0</v>
      </c>
      <c r="R342" s="1">
        <v>0</v>
      </c>
      <c r="S342" s="1">
        <v>1272000</v>
      </c>
      <c r="T342" s="1">
        <v>0</v>
      </c>
      <c r="U342" s="1">
        <v>0</v>
      </c>
      <c r="V342" s="1">
        <v>4946552</v>
      </c>
      <c r="W342" s="1">
        <v>1900000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2212573</v>
      </c>
      <c r="AF342" s="1">
        <v>3033762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3960725</v>
      </c>
      <c r="AM342" s="1">
        <v>0</v>
      </c>
      <c r="AN342" s="1">
        <v>0</v>
      </c>
      <c r="AO342" s="1">
        <v>82756396</v>
      </c>
      <c r="AP342" s="1">
        <v>15138672</v>
      </c>
      <c r="AQ342" s="1">
        <v>67617724</v>
      </c>
      <c r="AR342" s="1">
        <v>15096527</v>
      </c>
      <c r="AS342" s="1">
        <v>2264479</v>
      </c>
      <c r="AT342" s="1">
        <f t="shared" si="35"/>
        <v>100117402</v>
      </c>
    </row>
    <row r="343" spans="1:46" x14ac:dyDescent="0.2">
      <c r="A343" s="1" t="str">
        <f>"00391"</f>
        <v>00391</v>
      </c>
      <c r="B343" s="1" t="str">
        <f>"حسين"</f>
        <v>حسين</v>
      </c>
      <c r="C343" s="1" t="str">
        <f>"محمدي حساوي"</f>
        <v>محمدي حساوي</v>
      </c>
      <c r="D343" s="1" t="str">
        <f>"قراردادي کارگري"</f>
        <v>قراردادي کارگري</v>
      </c>
      <c r="E343" s="1" t="str">
        <f>"پروژه تعميرات نيروگاه بوشهر"</f>
        <v>پروژه تعميرات نيروگاه بوشهر</v>
      </c>
      <c r="F343" s="1">
        <v>8022800</v>
      </c>
      <c r="G343" s="1">
        <v>16132794</v>
      </c>
      <c r="H343" s="1">
        <v>0</v>
      </c>
      <c r="I343" s="1">
        <v>5776416</v>
      </c>
      <c r="J343" s="1">
        <v>0</v>
      </c>
      <c r="K343" s="1">
        <v>0</v>
      </c>
      <c r="L343" s="1">
        <v>7672721</v>
      </c>
      <c r="M343" s="1">
        <v>1000000</v>
      </c>
      <c r="N343" s="1">
        <v>4250489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6031010</v>
      </c>
      <c r="W343" s="1">
        <v>1900000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3033762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53819992</v>
      </c>
      <c r="AP343" s="1">
        <v>18345722</v>
      </c>
      <c r="AQ343" s="1">
        <v>35474270</v>
      </c>
      <c r="AR343" s="1">
        <v>10157246</v>
      </c>
      <c r="AS343" s="1">
        <v>1523587</v>
      </c>
      <c r="AT343" s="1">
        <f t="shared" si="35"/>
        <v>65500825</v>
      </c>
    </row>
    <row r="344" spans="1:46" x14ac:dyDescent="0.2">
      <c r="A344" s="1" t="str">
        <f>"00392"</f>
        <v>00392</v>
      </c>
      <c r="B344" s="1" t="str">
        <f>"عبدالرضا"</f>
        <v>عبدالرضا</v>
      </c>
      <c r="C344" s="1" t="str">
        <f>"علقمي"</f>
        <v>علقمي</v>
      </c>
      <c r="D344" s="1" t="str">
        <f>"قراردادي کارگري"</f>
        <v>قراردادي کارگري</v>
      </c>
      <c r="E344" s="1" t="str">
        <f>"پروژه تعميرات نيروگاه بوشهر"</f>
        <v>پروژه تعميرات نيروگاه بوشهر</v>
      </c>
      <c r="F344" s="1">
        <v>7097034</v>
      </c>
      <c r="G344" s="1">
        <v>13175547</v>
      </c>
      <c r="H344" s="1">
        <v>0</v>
      </c>
      <c r="I344" s="1">
        <v>4542101</v>
      </c>
      <c r="J344" s="1">
        <v>0</v>
      </c>
      <c r="K344" s="1">
        <v>0</v>
      </c>
      <c r="L344" s="1">
        <v>7672721</v>
      </c>
      <c r="M344" s="1">
        <v>1000000</v>
      </c>
      <c r="N344" s="1">
        <v>3548517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5429979</v>
      </c>
      <c r="W344" s="1">
        <v>1900000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4550643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48916542</v>
      </c>
      <c r="AP344" s="1">
        <v>16973671</v>
      </c>
      <c r="AQ344" s="1">
        <v>31942871</v>
      </c>
      <c r="AR344" s="1">
        <v>8873180</v>
      </c>
      <c r="AS344" s="1">
        <v>1330977</v>
      </c>
      <c r="AT344" s="1">
        <f t="shared" si="35"/>
        <v>59120699</v>
      </c>
    </row>
    <row r="345" spans="1:46" x14ac:dyDescent="0.2">
      <c r="A345" s="1" t="str">
        <f>"00393"</f>
        <v>00393</v>
      </c>
      <c r="B345" s="1" t="str">
        <f>"زهرا"</f>
        <v>زهرا</v>
      </c>
      <c r="C345" s="1" t="str">
        <f>"فاضلي پور"</f>
        <v>فاضلي پور</v>
      </c>
      <c r="D345" s="1" t="str">
        <f>"قراردادي بهره بردار"</f>
        <v>قراردادي بهره بردار</v>
      </c>
      <c r="E345" s="1" t="str">
        <f>"پروژه بهره برداري نيروگاه بوشهر"</f>
        <v>پروژه بهره برداري نيروگاه بوشهر</v>
      </c>
      <c r="F345" s="1">
        <v>23232020</v>
      </c>
      <c r="G345" s="1">
        <v>7624355</v>
      </c>
      <c r="H345" s="1">
        <v>0</v>
      </c>
      <c r="I345" s="1">
        <v>17981630</v>
      </c>
      <c r="J345" s="1">
        <v>0</v>
      </c>
      <c r="K345" s="1">
        <v>4125000</v>
      </c>
      <c r="L345" s="1">
        <v>0</v>
      </c>
      <c r="M345" s="1">
        <v>1000000</v>
      </c>
      <c r="N345" s="1">
        <v>3459501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1606000</v>
      </c>
      <c r="U345" s="1">
        <v>0</v>
      </c>
      <c r="V345" s="1">
        <v>8055527</v>
      </c>
      <c r="W345" s="1">
        <v>1900000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2471072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4826915</v>
      </c>
      <c r="AM345" s="1">
        <v>0</v>
      </c>
      <c r="AN345" s="1">
        <v>0</v>
      </c>
      <c r="AO345" s="1">
        <v>76282020</v>
      </c>
      <c r="AP345" s="1">
        <v>23928467</v>
      </c>
      <c r="AQ345" s="1">
        <v>52353553</v>
      </c>
      <c r="AR345" s="1">
        <v>14935204</v>
      </c>
      <c r="AS345" s="1">
        <v>2240281</v>
      </c>
      <c r="AT345" s="1">
        <f t="shared" si="35"/>
        <v>93457505</v>
      </c>
    </row>
    <row r="346" spans="1:46" x14ac:dyDescent="0.2">
      <c r="A346" s="1" t="str">
        <f>"00397"</f>
        <v>00397</v>
      </c>
      <c r="B346" s="1" t="str">
        <f>"جواد"</f>
        <v>جواد</v>
      </c>
      <c r="C346" s="1" t="str">
        <f>"بيات"</f>
        <v>بيات</v>
      </c>
      <c r="D346" s="1" t="str">
        <f>"قراردادي کارگري"</f>
        <v>قراردادي کارگري</v>
      </c>
      <c r="E346" s="1" t="str">
        <f>"پروژه تعميرات نيروگاه بوشهر"</f>
        <v>پروژه تعميرات نيروگاه بوشهر</v>
      </c>
      <c r="F346" s="1">
        <v>8434586</v>
      </c>
      <c r="G346" s="1">
        <v>1684317</v>
      </c>
      <c r="H346" s="1">
        <v>0</v>
      </c>
      <c r="I346" s="1">
        <v>6157248</v>
      </c>
      <c r="J346" s="1">
        <v>0</v>
      </c>
      <c r="K346" s="1">
        <v>0</v>
      </c>
      <c r="L346" s="1">
        <v>7628143</v>
      </c>
      <c r="M346" s="1">
        <v>1000000</v>
      </c>
      <c r="N346" s="1">
        <v>4439256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13122736</v>
      </c>
      <c r="W346" s="1">
        <v>1900000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3998885</v>
      </c>
      <c r="AE346" s="1">
        <v>0</v>
      </c>
      <c r="AF346" s="1">
        <v>3033762</v>
      </c>
      <c r="AG346" s="1">
        <v>0</v>
      </c>
      <c r="AH346" s="1">
        <v>0</v>
      </c>
      <c r="AI346" s="1">
        <v>0</v>
      </c>
      <c r="AJ346" s="1">
        <v>3593210</v>
      </c>
      <c r="AK346" s="1">
        <v>0</v>
      </c>
      <c r="AL346" s="1">
        <v>0</v>
      </c>
      <c r="AM346" s="1">
        <v>0</v>
      </c>
      <c r="AN346" s="1">
        <v>0</v>
      </c>
      <c r="AO346" s="1">
        <v>54992143</v>
      </c>
      <c r="AP346" s="1">
        <v>9926652</v>
      </c>
      <c r="AQ346" s="1">
        <v>45065491</v>
      </c>
      <c r="AR346" s="1">
        <v>10391676</v>
      </c>
      <c r="AS346" s="1">
        <v>1558751</v>
      </c>
      <c r="AT346" s="1">
        <f t="shared" si="35"/>
        <v>66942570</v>
      </c>
    </row>
    <row r="347" spans="1:46" x14ac:dyDescent="0.2">
      <c r="A347" s="1" t="str">
        <f>"00398"</f>
        <v>00398</v>
      </c>
      <c r="B347" s="1" t="str">
        <f>"علي اصغر"</f>
        <v>علي اصغر</v>
      </c>
      <c r="C347" s="1" t="str">
        <f>"عباسي بيلندي"</f>
        <v>عباسي بيلندي</v>
      </c>
      <c r="D347" s="1" t="str">
        <f>"قراردادي بهره بردار"</f>
        <v>قراردادي بهره بردار</v>
      </c>
      <c r="E347" s="1" t="str">
        <f>"پروژه بهره برداري نيروگاه بوشهر"</f>
        <v>پروژه بهره برداري نيروگاه بوشهر</v>
      </c>
      <c r="F347" s="1">
        <v>15001685</v>
      </c>
      <c r="G347" s="1">
        <v>6861233</v>
      </c>
      <c r="H347" s="1">
        <v>0</v>
      </c>
      <c r="I347" s="1">
        <v>11075581</v>
      </c>
      <c r="J347" s="1">
        <v>0</v>
      </c>
      <c r="K347" s="1">
        <v>0</v>
      </c>
      <c r="L347" s="1">
        <v>0</v>
      </c>
      <c r="M347" s="1">
        <v>1000000</v>
      </c>
      <c r="N347" s="1">
        <v>2728037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7045904</v>
      </c>
      <c r="W347" s="1">
        <v>1900000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1948598</v>
      </c>
      <c r="AF347" s="1">
        <v>3033762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4475620</v>
      </c>
      <c r="AM347" s="1">
        <v>0</v>
      </c>
      <c r="AN347" s="1">
        <v>0</v>
      </c>
      <c r="AO347" s="1">
        <v>55070420</v>
      </c>
      <c r="AP347" s="1">
        <v>43736201</v>
      </c>
      <c r="AQ347" s="1">
        <v>11334219</v>
      </c>
      <c r="AR347" s="1">
        <v>10407332</v>
      </c>
      <c r="AS347" s="1">
        <v>1561100</v>
      </c>
      <c r="AT347" s="1">
        <f t="shared" si="35"/>
        <v>67038852</v>
      </c>
    </row>
    <row r="348" spans="1:46" x14ac:dyDescent="0.2">
      <c r="A348" s="1" t="str">
        <f>"00399"</f>
        <v>00399</v>
      </c>
      <c r="B348" s="1" t="str">
        <f>"سيده سلمي"</f>
        <v>سيده سلمي</v>
      </c>
      <c r="C348" s="1" t="str">
        <f>"محمدي يوسف نژاد"</f>
        <v>محمدي يوسف نژاد</v>
      </c>
      <c r="D348" s="1" t="str">
        <f>"قراردادي بهره بردار"</f>
        <v>قراردادي بهره بردار</v>
      </c>
      <c r="E348" s="1" t="str">
        <f>"پروژه بهره برداري نيروگاه بوشهر"</f>
        <v>پروژه بهره برداري نيروگاه بوشهر</v>
      </c>
      <c r="F348" s="1">
        <v>17523143</v>
      </c>
      <c r="G348" s="1">
        <v>3009526</v>
      </c>
      <c r="H348" s="1">
        <v>0</v>
      </c>
      <c r="I348" s="1">
        <v>13059996</v>
      </c>
      <c r="J348" s="1">
        <v>0</v>
      </c>
      <c r="K348" s="1">
        <v>4125000</v>
      </c>
      <c r="L348" s="1">
        <v>0</v>
      </c>
      <c r="M348" s="1">
        <v>1000000</v>
      </c>
      <c r="N348" s="1">
        <v>2590792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3877207</v>
      </c>
      <c r="W348" s="1">
        <v>1900000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1850566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3747573</v>
      </c>
      <c r="AM348" s="1">
        <v>0</v>
      </c>
      <c r="AN348" s="1">
        <v>0</v>
      </c>
      <c r="AO348" s="1">
        <v>52683803</v>
      </c>
      <c r="AP348" s="1">
        <v>9030725</v>
      </c>
      <c r="AQ348" s="1">
        <v>43653078</v>
      </c>
      <c r="AR348" s="1">
        <v>10536761</v>
      </c>
      <c r="AS348" s="1">
        <v>1580514</v>
      </c>
      <c r="AT348" s="1">
        <f t="shared" si="35"/>
        <v>64801078</v>
      </c>
    </row>
    <row r="349" spans="1:46" x14ac:dyDescent="0.2">
      <c r="A349" s="1" t="str">
        <f>"00400"</f>
        <v>00400</v>
      </c>
      <c r="B349" s="1" t="str">
        <f>"محمد"</f>
        <v>محمد</v>
      </c>
      <c r="C349" s="1" t="str">
        <f>"شهمرادي"</f>
        <v>شهمرادي</v>
      </c>
      <c r="D349" s="1" t="str">
        <f>"قراردادي کارگري"</f>
        <v>قراردادي کارگري</v>
      </c>
      <c r="E349" s="1" t="str">
        <f>"پروژه تعميرات نيروگاه بوشهر"</f>
        <v>پروژه تعميرات نيروگاه بوشهر</v>
      </c>
      <c r="F349" s="1">
        <v>6789719</v>
      </c>
      <c r="G349" s="1">
        <v>4402433</v>
      </c>
      <c r="H349" s="1">
        <v>0</v>
      </c>
      <c r="I349" s="1">
        <v>4820700</v>
      </c>
      <c r="J349" s="1">
        <v>0</v>
      </c>
      <c r="K349" s="1">
        <v>0</v>
      </c>
      <c r="L349" s="1">
        <v>7672721</v>
      </c>
      <c r="M349" s="1">
        <v>1000000</v>
      </c>
      <c r="N349" s="1">
        <v>3573535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8337703</v>
      </c>
      <c r="W349" s="1">
        <v>1900000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3428501</v>
      </c>
      <c r="AE349" s="1">
        <v>0</v>
      </c>
      <c r="AF349" s="1">
        <v>1516881</v>
      </c>
      <c r="AG349" s="1">
        <v>0</v>
      </c>
      <c r="AH349" s="1">
        <v>0</v>
      </c>
      <c r="AI349" s="1">
        <v>0</v>
      </c>
      <c r="AJ349" s="1">
        <v>4226335</v>
      </c>
      <c r="AK349" s="1">
        <v>0</v>
      </c>
      <c r="AL349" s="1">
        <v>0</v>
      </c>
      <c r="AM349" s="1">
        <v>0</v>
      </c>
      <c r="AN349" s="1">
        <v>0</v>
      </c>
      <c r="AO349" s="1">
        <v>47668528</v>
      </c>
      <c r="AP349" s="1">
        <v>6486942</v>
      </c>
      <c r="AQ349" s="1">
        <v>41181586</v>
      </c>
      <c r="AR349" s="1">
        <v>9230329</v>
      </c>
      <c r="AS349" s="1">
        <v>1384549</v>
      </c>
      <c r="AT349" s="1">
        <f t="shared" si="35"/>
        <v>58283406</v>
      </c>
    </row>
    <row r="350" spans="1:46" x14ac:dyDescent="0.2">
      <c r="A350" s="1" t="str">
        <f>"00401"</f>
        <v>00401</v>
      </c>
      <c r="B350" s="1" t="str">
        <f>"عارف"</f>
        <v>عارف</v>
      </c>
      <c r="C350" s="1" t="str">
        <f>"افراسيابي"</f>
        <v>افراسيابي</v>
      </c>
      <c r="D350" s="1" t="str">
        <f>"قراردادي کارگري"</f>
        <v>قراردادي کارگري</v>
      </c>
      <c r="E350" s="1" t="str">
        <f>"پروژه تعميرات نيروگاه بوشهر"</f>
        <v>پروژه تعميرات نيروگاه بوشهر</v>
      </c>
      <c r="F350" s="1">
        <v>12210096</v>
      </c>
      <c r="G350" s="1">
        <v>1000246</v>
      </c>
      <c r="H350" s="1">
        <v>0</v>
      </c>
      <c r="I350" s="1">
        <v>10256480</v>
      </c>
      <c r="J350" s="1">
        <v>0</v>
      </c>
      <c r="K350" s="1">
        <v>0</v>
      </c>
      <c r="L350" s="1">
        <v>7462913</v>
      </c>
      <c r="M350" s="1">
        <v>1000000</v>
      </c>
      <c r="N350" s="1">
        <v>6301984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9228928</v>
      </c>
      <c r="W350" s="1">
        <v>1900000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1789320</v>
      </c>
      <c r="AD350" s="1">
        <v>0</v>
      </c>
      <c r="AE350" s="1">
        <v>0</v>
      </c>
      <c r="AF350" s="1">
        <v>6067524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57217491</v>
      </c>
      <c r="AP350" s="1">
        <v>7202484</v>
      </c>
      <c r="AQ350" s="1">
        <v>50015007</v>
      </c>
      <c r="AR350" s="1">
        <v>10229993</v>
      </c>
      <c r="AS350" s="1">
        <v>1534499</v>
      </c>
      <c r="AT350" s="1">
        <f t="shared" si="35"/>
        <v>68981983</v>
      </c>
    </row>
    <row r="351" spans="1:46" x14ac:dyDescent="0.2">
      <c r="A351" s="1" t="str">
        <f>"00402"</f>
        <v>00402</v>
      </c>
      <c r="B351" s="1" t="str">
        <f>"حسين"</f>
        <v>حسين</v>
      </c>
      <c r="C351" s="1" t="str">
        <f>"بازيار"</f>
        <v>بازيار</v>
      </c>
      <c r="D351" s="1" t="str">
        <f>"قراردادي بهره بردار"</f>
        <v>قراردادي بهره بردار</v>
      </c>
      <c r="E351" s="1" t="str">
        <f>"پروژه بهره برداري نيروگاه بوشهر"</f>
        <v>پروژه بهره برداري نيروگاه بوشهر</v>
      </c>
      <c r="F351" s="1">
        <v>18802492</v>
      </c>
      <c r="G351" s="1">
        <v>8657866</v>
      </c>
      <c r="H351" s="1">
        <v>0</v>
      </c>
      <c r="I351" s="1">
        <v>15451053</v>
      </c>
      <c r="J351" s="1">
        <v>0</v>
      </c>
      <c r="K351" s="1">
        <v>5500000</v>
      </c>
      <c r="L351" s="1">
        <v>0</v>
      </c>
      <c r="M351" s="1">
        <v>1000000</v>
      </c>
      <c r="N351" s="1">
        <v>3222580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15735890</v>
      </c>
      <c r="W351" s="1">
        <v>1900000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2301843</v>
      </c>
      <c r="AF351" s="1">
        <v>1516881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5833307</v>
      </c>
      <c r="AM351" s="1">
        <v>0</v>
      </c>
      <c r="AN351" s="1">
        <v>0</v>
      </c>
      <c r="AO351" s="1">
        <v>79921912</v>
      </c>
      <c r="AP351" s="1">
        <v>40633727</v>
      </c>
      <c r="AQ351" s="1">
        <v>39288185</v>
      </c>
      <c r="AR351" s="1">
        <v>15681006</v>
      </c>
      <c r="AS351" s="1">
        <v>2352151</v>
      </c>
      <c r="AT351" s="1">
        <f t="shared" si="35"/>
        <v>97955069</v>
      </c>
    </row>
    <row r="352" spans="1:46" x14ac:dyDescent="0.2">
      <c r="A352" s="1" t="str">
        <f>"00403"</f>
        <v>00403</v>
      </c>
      <c r="B352" s="1" t="str">
        <f>"سجاد"</f>
        <v>سجاد</v>
      </c>
      <c r="C352" s="1" t="str">
        <f>"راستي"</f>
        <v>راستي</v>
      </c>
      <c r="D352" s="1" t="str">
        <f>"قراردادي بهره بردار"</f>
        <v>قراردادي بهره بردار</v>
      </c>
      <c r="E352" s="1" t="str">
        <f>"پروژه بهره برداري نيروگاه بوشهر"</f>
        <v>پروژه بهره برداري نيروگاه بوشهر</v>
      </c>
      <c r="F352" s="1">
        <v>23838835</v>
      </c>
      <c r="G352" s="1">
        <v>25841865</v>
      </c>
      <c r="H352" s="1">
        <v>0</v>
      </c>
      <c r="I352" s="1">
        <v>20215605</v>
      </c>
      <c r="J352" s="1">
        <v>0</v>
      </c>
      <c r="K352" s="1">
        <v>5500000</v>
      </c>
      <c r="L352" s="1">
        <v>0</v>
      </c>
      <c r="M352" s="1">
        <v>1000000</v>
      </c>
      <c r="N352" s="1">
        <v>3671886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1606000</v>
      </c>
      <c r="U352" s="1">
        <v>0</v>
      </c>
      <c r="V352" s="1">
        <v>10325643</v>
      </c>
      <c r="W352" s="1">
        <v>1900000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2622776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4720996</v>
      </c>
      <c r="AM352" s="1">
        <v>0</v>
      </c>
      <c r="AN352" s="1">
        <v>0</v>
      </c>
      <c r="AO352" s="1">
        <v>101243606</v>
      </c>
      <c r="AP352" s="1">
        <v>42761641</v>
      </c>
      <c r="AQ352" s="1">
        <v>58481965</v>
      </c>
      <c r="AR352" s="1">
        <v>19927521</v>
      </c>
      <c r="AS352" s="1">
        <v>2989128</v>
      </c>
      <c r="AT352" s="1">
        <f t="shared" si="35"/>
        <v>124160255</v>
      </c>
    </row>
    <row r="353" spans="1:46" x14ac:dyDescent="0.2">
      <c r="A353" s="1" t="str">
        <f>"00405"</f>
        <v>00405</v>
      </c>
      <c r="B353" s="1" t="str">
        <f>"نرجس"</f>
        <v>نرجس</v>
      </c>
      <c r="C353" s="1" t="str">
        <f>"افراسيابي"</f>
        <v>افراسيابي</v>
      </c>
      <c r="D353" s="1" t="str">
        <f>"قراردادي بهره بردار"</f>
        <v>قراردادي بهره بردار</v>
      </c>
      <c r="E353" s="1" t="str">
        <f>"پروژه بهره برداري نيروگاه بوشهر"</f>
        <v>پروژه بهره برداري نيروگاه بوشهر</v>
      </c>
      <c r="F353" s="1">
        <v>5902671</v>
      </c>
      <c r="G353" s="1">
        <v>0</v>
      </c>
      <c r="H353" s="1">
        <v>0</v>
      </c>
      <c r="I353" s="1">
        <v>4670925</v>
      </c>
      <c r="J353" s="1">
        <v>0</v>
      </c>
      <c r="K353" s="1">
        <v>0</v>
      </c>
      <c r="L353" s="1">
        <v>0</v>
      </c>
      <c r="M353" s="1">
        <v>1800000</v>
      </c>
      <c r="N353" s="1">
        <v>1013235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1816722</v>
      </c>
      <c r="W353" s="1">
        <v>2400000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723738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5856633</v>
      </c>
      <c r="AM353" s="1">
        <v>0</v>
      </c>
      <c r="AN353" s="1">
        <v>0</v>
      </c>
      <c r="AO353" s="1">
        <v>24183924</v>
      </c>
      <c r="AP353" s="1">
        <v>24183924</v>
      </c>
      <c r="AQ353" s="1">
        <v>0</v>
      </c>
      <c r="AR353" s="1">
        <v>4836786</v>
      </c>
      <c r="AS353" s="1">
        <v>725517</v>
      </c>
      <c r="AT353" s="1">
        <f t="shared" si="35"/>
        <v>29746227</v>
      </c>
    </row>
    <row r="354" spans="1:46" x14ac:dyDescent="0.2">
      <c r="A354" s="1" t="str">
        <f>"00407"</f>
        <v>00407</v>
      </c>
      <c r="B354" s="1" t="str">
        <f>"مهدي"</f>
        <v>مهدي</v>
      </c>
      <c r="C354" s="1" t="str">
        <f>"سليمي"</f>
        <v>سليمي</v>
      </c>
      <c r="D354" s="1" t="str">
        <f t="shared" ref="D354:D361" si="36">"قراردادي کارگري"</f>
        <v>قراردادي کارگري</v>
      </c>
      <c r="E354" s="1" t="str">
        <f t="shared" ref="E354:E378" si="37">"پروژه تعميرات نيروگاه بوشهر"</f>
        <v>پروژه تعميرات نيروگاه بوشهر</v>
      </c>
      <c r="F354" s="1">
        <v>14124444</v>
      </c>
      <c r="G354" s="1">
        <v>13879160</v>
      </c>
      <c r="H354" s="1">
        <v>0</v>
      </c>
      <c r="I354" s="1">
        <v>13276978</v>
      </c>
      <c r="J354" s="1">
        <v>0</v>
      </c>
      <c r="K354" s="1">
        <v>0</v>
      </c>
      <c r="L354" s="1">
        <v>7462913</v>
      </c>
      <c r="M354" s="1">
        <v>1000000</v>
      </c>
      <c r="N354" s="1">
        <v>8474665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4633567</v>
      </c>
      <c r="W354" s="1">
        <v>1900000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64751727</v>
      </c>
      <c r="AP354" s="1">
        <v>10129495</v>
      </c>
      <c r="AQ354" s="1">
        <v>54622232</v>
      </c>
      <c r="AR354" s="1">
        <v>12950345</v>
      </c>
      <c r="AS354" s="1">
        <v>1942552</v>
      </c>
      <c r="AT354" s="1">
        <f t="shared" si="35"/>
        <v>79644624</v>
      </c>
    </row>
    <row r="355" spans="1:46" x14ac:dyDescent="0.2">
      <c r="A355" s="1" t="str">
        <f>"00408"</f>
        <v>00408</v>
      </c>
      <c r="B355" s="1" t="str">
        <f>"ايرج"</f>
        <v>ايرج</v>
      </c>
      <c r="C355" s="1" t="str">
        <f>"ثوامري"</f>
        <v>ثوامري</v>
      </c>
      <c r="D355" s="1" t="str">
        <f t="shared" si="36"/>
        <v>قراردادي کارگري</v>
      </c>
      <c r="E355" s="1" t="str">
        <f t="shared" si="37"/>
        <v>پروژه تعميرات نيروگاه بوشهر</v>
      </c>
      <c r="F355" s="1">
        <v>7525581</v>
      </c>
      <c r="G355" s="1">
        <v>2391995</v>
      </c>
      <c r="H355" s="1">
        <v>0</v>
      </c>
      <c r="I355" s="1">
        <v>5794697</v>
      </c>
      <c r="J355" s="1">
        <v>0</v>
      </c>
      <c r="K355" s="1">
        <v>0</v>
      </c>
      <c r="L355" s="1">
        <v>7672721</v>
      </c>
      <c r="M355" s="1">
        <v>1000000</v>
      </c>
      <c r="N355" s="1">
        <v>3960831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8944159</v>
      </c>
      <c r="W355" s="1">
        <v>1900000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3743074</v>
      </c>
      <c r="AE355" s="1">
        <v>0</v>
      </c>
      <c r="AF355" s="1">
        <v>3033762</v>
      </c>
      <c r="AG355" s="1">
        <v>0</v>
      </c>
      <c r="AH355" s="1">
        <v>0</v>
      </c>
      <c r="AI355" s="1">
        <v>0</v>
      </c>
      <c r="AJ355" s="1">
        <v>4592631</v>
      </c>
      <c r="AK355" s="1">
        <v>0</v>
      </c>
      <c r="AL355" s="1">
        <v>0</v>
      </c>
      <c r="AM355" s="1">
        <v>0</v>
      </c>
      <c r="AN355" s="1">
        <v>0</v>
      </c>
      <c r="AO355" s="1">
        <v>50559451</v>
      </c>
      <c r="AP355" s="1">
        <v>6927550</v>
      </c>
      <c r="AQ355" s="1">
        <v>43631901</v>
      </c>
      <c r="AR355" s="1">
        <v>9505138</v>
      </c>
      <c r="AS355" s="1">
        <v>1425771</v>
      </c>
      <c r="AT355" s="1">
        <f t="shared" si="35"/>
        <v>61490360</v>
      </c>
    </row>
    <row r="356" spans="1:46" x14ac:dyDescent="0.2">
      <c r="A356" s="1" t="str">
        <f>"00409"</f>
        <v>00409</v>
      </c>
      <c r="B356" s="1" t="str">
        <f>"حسن"</f>
        <v>حسن</v>
      </c>
      <c r="C356" s="1" t="str">
        <f>"رستمي"</f>
        <v>رستمي</v>
      </c>
      <c r="D356" s="1" t="str">
        <f t="shared" si="36"/>
        <v>قراردادي کارگري</v>
      </c>
      <c r="E356" s="1" t="str">
        <f t="shared" si="37"/>
        <v>پروژه تعميرات نيروگاه بوشهر</v>
      </c>
      <c r="F356" s="1">
        <v>8930944</v>
      </c>
      <c r="G356" s="1">
        <v>9983586</v>
      </c>
      <c r="H356" s="1">
        <v>0</v>
      </c>
      <c r="I356" s="1">
        <v>7323374</v>
      </c>
      <c r="J356" s="1">
        <v>0</v>
      </c>
      <c r="K356" s="1">
        <v>0</v>
      </c>
      <c r="L356" s="1">
        <v>7462913</v>
      </c>
      <c r="M356" s="1">
        <v>1000000</v>
      </c>
      <c r="N356" s="1">
        <v>4763171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9757891</v>
      </c>
      <c r="W356" s="1">
        <v>1900000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51121879</v>
      </c>
      <c r="AP356" s="1">
        <v>8335564</v>
      </c>
      <c r="AQ356" s="1">
        <v>42786315</v>
      </c>
      <c r="AR356" s="1">
        <v>10224376</v>
      </c>
      <c r="AS356" s="1">
        <v>1533656</v>
      </c>
      <c r="AT356" s="1">
        <f t="shared" si="35"/>
        <v>62879911</v>
      </c>
    </row>
    <row r="357" spans="1:46" x14ac:dyDescent="0.2">
      <c r="A357" s="1" t="str">
        <f>"00411"</f>
        <v>00411</v>
      </c>
      <c r="B357" s="1" t="str">
        <f>"زاهد"</f>
        <v>زاهد</v>
      </c>
      <c r="C357" s="1" t="str">
        <f>"طاهري"</f>
        <v>طاهري</v>
      </c>
      <c r="D357" s="1" t="str">
        <f t="shared" si="36"/>
        <v>قراردادي کارگري</v>
      </c>
      <c r="E357" s="1" t="str">
        <f t="shared" si="37"/>
        <v>پروژه تعميرات نيروگاه بوشهر</v>
      </c>
      <c r="F357" s="1">
        <v>9380410</v>
      </c>
      <c r="G357" s="1">
        <v>10905791</v>
      </c>
      <c r="H357" s="1">
        <v>0</v>
      </c>
      <c r="I357" s="1">
        <v>7316720</v>
      </c>
      <c r="J357" s="1">
        <v>0</v>
      </c>
      <c r="K357" s="1">
        <v>0</v>
      </c>
      <c r="L357" s="1">
        <v>7628143</v>
      </c>
      <c r="M357" s="1">
        <v>1000000</v>
      </c>
      <c r="N357" s="1">
        <v>4969755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10333342</v>
      </c>
      <c r="W357" s="1">
        <v>1900000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3033762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56467923</v>
      </c>
      <c r="AP357" s="1">
        <v>15647450</v>
      </c>
      <c r="AQ357" s="1">
        <v>40820473</v>
      </c>
      <c r="AR357" s="1">
        <v>10686832</v>
      </c>
      <c r="AS357" s="1">
        <v>1603025</v>
      </c>
      <c r="AT357" s="1">
        <f t="shared" si="35"/>
        <v>68757780</v>
      </c>
    </row>
    <row r="358" spans="1:46" x14ac:dyDescent="0.2">
      <c r="A358" s="1" t="str">
        <f>"00412"</f>
        <v>00412</v>
      </c>
      <c r="B358" s="1" t="str">
        <f>"خسرو"</f>
        <v>خسرو</v>
      </c>
      <c r="C358" s="1" t="str">
        <f>"نيکنام"</f>
        <v>نيکنام</v>
      </c>
      <c r="D358" s="1" t="str">
        <f t="shared" si="36"/>
        <v>قراردادي کارگري</v>
      </c>
      <c r="E358" s="1" t="str">
        <f t="shared" si="37"/>
        <v>پروژه تعميرات نيروگاه بوشهر</v>
      </c>
      <c r="F358" s="1">
        <v>7979799</v>
      </c>
      <c r="G358" s="1">
        <v>9708149</v>
      </c>
      <c r="H358" s="1">
        <v>0</v>
      </c>
      <c r="I358" s="1">
        <v>6383839</v>
      </c>
      <c r="J358" s="1">
        <v>0</v>
      </c>
      <c r="K358" s="1">
        <v>0</v>
      </c>
      <c r="L358" s="1">
        <v>7628143</v>
      </c>
      <c r="M358" s="1">
        <v>1000000</v>
      </c>
      <c r="N358" s="1">
        <v>4227708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9057009</v>
      </c>
      <c r="W358" s="1">
        <v>1900000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3033762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50918409</v>
      </c>
      <c r="AP358" s="1">
        <v>15813333</v>
      </c>
      <c r="AQ358" s="1">
        <v>35105076</v>
      </c>
      <c r="AR358" s="1">
        <v>9576929</v>
      </c>
      <c r="AS358" s="1">
        <v>1436539</v>
      </c>
      <c r="AT358" s="1">
        <f t="shared" si="35"/>
        <v>61931877</v>
      </c>
    </row>
    <row r="359" spans="1:46" x14ac:dyDescent="0.2">
      <c r="A359" s="1" t="str">
        <f>"00413"</f>
        <v>00413</v>
      </c>
      <c r="B359" s="1" t="str">
        <f>"سعيد"</f>
        <v>سعيد</v>
      </c>
      <c r="C359" s="1" t="str">
        <f>"نيک راد"</f>
        <v>نيک راد</v>
      </c>
      <c r="D359" s="1" t="str">
        <f t="shared" si="36"/>
        <v>قراردادي کارگري</v>
      </c>
      <c r="E359" s="1" t="str">
        <f t="shared" si="37"/>
        <v>پروژه تعميرات نيروگاه بوشهر</v>
      </c>
      <c r="F359" s="1">
        <v>10487652</v>
      </c>
      <c r="G359" s="1">
        <v>5466446</v>
      </c>
      <c r="H359" s="1">
        <v>0</v>
      </c>
      <c r="I359" s="1">
        <v>8599874</v>
      </c>
      <c r="J359" s="1">
        <v>0</v>
      </c>
      <c r="K359" s="1">
        <v>0</v>
      </c>
      <c r="L359" s="1">
        <v>7462913</v>
      </c>
      <c r="M359" s="1">
        <v>1000000</v>
      </c>
      <c r="N359" s="1">
        <v>5593415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10893561</v>
      </c>
      <c r="W359" s="1">
        <v>1900000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51403861</v>
      </c>
      <c r="AP359" s="1">
        <v>11551908</v>
      </c>
      <c r="AQ359" s="1">
        <v>39851953</v>
      </c>
      <c r="AR359" s="1">
        <v>10280772</v>
      </c>
      <c r="AS359" s="1">
        <v>1542116</v>
      </c>
      <c r="AT359" s="1">
        <f t="shared" si="35"/>
        <v>63226749</v>
      </c>
    </row>
    <row r="360" spans="1:46" x14ac:dyDescent="0.2">
      <c r="A360" s="1" t="str">
        <f>"00414"</f>
        <v>00414</v>
      </c>
      <c r="B360" s="1" t="str">
        <f>"حسين"</f>
        <v>حسين</v>
      </c>
      <c r="C360" s="1" t="str">
        <f>"حيدري"</f>
        <v>حيدري</v>
      </c>
      <c r="D360" s="1" t="str">
        <f t="shared" si="36"/>
        <v>قراردادي کارگري</v>
      </c>
      <c r="E360" s="1" t="str">
        <f t="shared" si="37"/>
        <v>پروژه تعميرات نيروگاه بوشهر</v>
      </c>
      <c r="F360" s="1">
        <v>7612152</v>
      </c>
      <c r="G360" s="1">
        <v>5331037</v>
      </c>
      <c r="H360" s="1">
        <v>0</v>
      </c>
      <c r="I360" s="1">
        <v>5785237</v>
      </c>
      <c r="J360" s="1">
        <v>0</v>
      </c>
      <c r="K360" s="1">
        <v>0</v>
      </c>
      <c r="L360" s="1">
        <v>7628143</v>
      </c>
      <c r="M360" s="1">
        <v>1000000</v>
      </c>
      <c r="N360" s="1">
        <v>4006397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6446577</v>
      </c>
      <c r="W360" s="1">
        <v>1900000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3033762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42743305</v>
      </c>
      <c r="AP360" s="1">
        <v>5050996</v>
      </c>
      <c r="AQ360" s="1">
        <v>37692309</v>
      </c>
      <c r="AR360" s="1">
        <v>7941909</v>
      </c>
      <c r="AS360" s="1">
        <v>1191286</v>
      </c>
      <c r="AT360" s="1">
        <f t="shared" si="35"/>
        <v>51876500</v>
      </c>
    </row>
    <row r="361" spans="1:46" x14ac:dyDescent="0.2">
      <c r="A361" s="1" t="str">
        <f>"00415"</f>
        <v>00415</v>
      </c>
      <c r="B361" s="1" t="str">
        <f>"صادق"</f>
        <v>صادق</v>
      </c>
      <c r="C361" s="1" t="str">
        <f>"سياوش پوري"</f>
        <v>سياوش پوري</v>
      </c>
      <c r="D361" s="1" t="str">
        <f t="shared" si="36"/>
        <v>قراردادي کارگري</v>
      </c>
      <c r="E361" s="1" t="str">
        <f t="shared" si="37"/>
        <v>پروژه تعميرات نيروگاه بوشهر</v>
      </c>
      <c r="F361" s="1">
        <v>8870554</v>
      </c>
      <c r="G361" s="1">
        <v>2572743</v>
      </c>
      <c r="H361" s="1">
        <v>0</v>
      </c>
      <c r="I361" s="1">
        <v>5322332</v>
      </c>
      <c r="J361" s="1">
        <v>0</v>
      </c>
      <c r="K361" s="1">
        <v>0</v>
      </c>
      <c r="L361" s="1">
        <v>7462913</v>
      </c>
      <c r="M361" s="1">
        <v>1000000</v>
      </c>
      <c r="N361" s="1">
        <v>4730962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6758188</v>
      </c>
      <c r="W361" s="1">
        <v>1900000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38617692</v>
      </c>
      <c r="AP361" s="1">
        <v>7489114</v>
      </c>
      <c r="AQ361" s="1">
        <v>31128578</v>
      </c>
      <c r="AR361" s="1">
        <v>7723538</v>
      </c>
      <c r="AS361" s="1">
        <v>1158531</v>
      </c>
      <c r="AT361" s="1">
        <f t="shared" si="35"/>
        <v>47499761</v>
      </c>
    </row>
    <row r="362" spans="1:46" x14ac:dyDescent="0.2">
      <c r="A362" s="1" t="str">
        <f>"00416"</f>
        <v>00416</v>
      </c>
      <c r="B362" s="1" t="str">
        <f>"سيد محسن"</f>
        <v>سيد محسن</v>
      </c>
      <c r="C362" s="1" t="str">
        <f>"تهامي پورزرندي"</f>
        <v>تهامي پورزرندي</v>
      </c>
      <c r="D362" s="1" t="str">
        <f>"قراردادي بهره بردار"</f>
        <v>قراردادي بهره بردار</v>
      </c>
      <c r="E362" s="1" t="str">
        <f t="shared" si="37"/>
        <v>پروژه تعميرات نيروگاه بوشهر</v>
      </c>
      <c r="F362" s="1">
        <v>31017649</v>
      </c>
      <c r="G362" s="1">
        <v>3116476</v>
      </c>
      <c r="H362" s="1">
        <v>0</v>
      </c>
      <c r="I362" s="1">
        <v>25870714</v>
      </c>
      <c r="J362" s="1">
        <v>0</v>
      </c>
      <c r="K362" s="1">
        <v>0</v>
      </c>
      <c r="L362" s="1">
        <v>0</v>
      </c>
      <c r="M362" s="1">
        <v>1000000</v>
      </c>
      <c r="N362" s="1">
        <v>4070586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21889736</v>
      </c>
      <c r="W362" s="1">
        <v>1900000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2907564</v>
      </c>
      <c r="AF362" s="1">
        <v>3033762</v>
      </c>
      <c r="AG362" s="1">
        <v>0</v>
      </c>
      <c r="AH362" s="1">
        <v>0</v>
      </c>
      <c r="AI362" s="1">
        <v>5000000</v>
      </c>
      <c r="AJ362" s="1">
        <v>0</v>
      </c>
      <c r="AK362" s="1">
        <v>0</v>
      </c>
      <c r="AL362" s="1">
        <v>6745544</v>
      </c>
      <c r="AM362" s="1">
        <v>0</v>
      </c>
      <c r="AN362" s="1">
        <v>0</v>
      </c>
      <c r="AO362" s="1">
        <v>106552031</v>
      </c>
      <c r="AP362" s="1">
        <v>52783794</v>
      </c>
      <c r="AQ362" s="1">
        <v>53768237</v>
      </c>
      <c r="AR362" s="1">
        <v>19703653</v>
      </c>
      <c r="AS362" s="1">
        <v>2955548</v>
      </c>
      <c r="AT362" s="1">
        <f t="shared" si="35"/>
        <v>129211232</v>
      </c>
    </row>
    <row r="363" spans="1:46" x14ac:dyDescent="0.2">
      <c r="A363" s="1" t="str">
        <f>"00417"</f>
        <v>00417</v>
      </c>
      <c r="B363" s="1" t="str">
        <f>"حسن"</f>
        <v>حسن</v>
      </c>
      <c r="C363" s="1" t="str">
        <f>"لک"</f>
        <v>لک</v>
      </c>
      <c r="D363" s="1" t="str">
        <f t="shared" ref="D363:D378" si="38">"قراردادي کارگري"</f>
        <v>قراردادي کارگري</v>
      </c>
      <c r="E363" s="1" t="str">
        <f t="shared" si="37"/>
        <v>پروژه تعميرات نيروگاه بوشهر</v>
      </c>
      <c r="F363" s="1">
        <v>10357153</v>
      </c>
      <c r="G363" s="1">
        <v>4988312</v>
      </c>
      <c r="H363" s="1">
        <v>0</v>
      </c>
      <c r="I363" s="1">
        <v>7457150</v>
      </c>
      <c r="J363" s="1">
        <v>0</v>
      </c>
      <c r="K363" s="1">
        <v>0</v>
      </c>
      <c r="L363" s="1">
        <v>7628143</v>
      </c>
      <c r="M363" s="1">
        <v>1000000</v>
      </c>
      <c r="N363" s="1">
        <v>5487234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6276374</v>
      </c>
      <c r="W363" s="1">
        <v>1900000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1516881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46611247</v>
      </c>
      <c r="AP363" s="1">
        <v>7980234</v>
      </c>
      <c r="AQ363" s="1">
        <v>38631013</v>
      </c>
      <c r="AR363" s="1">
        <v>9018873</v>
      </c>
      <c r="AS363" s="1">
        <v>1352831</v>
      </c>
      <c r="AT363" s="1">
        <f t="shared" si="35"/>
        <v>56982951</v>
      </c>
    </row>
    <row r="364" spans="1:46" x14ac:dyDescent="0.2">
      <c r="A364" s="1" t="str">
        <f>"00418"</f>
        <v>00418</v>
      </c>
      <c r="B364" s="1" t="str">
        <f>"اسماعيل"</f>
        <v>اسماعيل</v>
      </c>
      <c r="C364" s="1" t="str">
        <f>"محمدي نژاد"</f>
        <v>محمدي نژاد</v>
      </c>
      <c r="D364" s="1" t="str">
        <f t="shared" si="38"/>
        <v>قراردادي کارگري</v>
      </c>
      <c r="E364" s="1" t="str">
        <f t="shared" si="37"/>
        <v>پروژه تعميرات نيروگاه بوشهر</v>
      </c>
      <c r="F364" s="1">
        <v>8582996</v>
      </c>
      <c r="G364" s="1">
        <v>1367166</v>
      </c>
      <c r="H364" s="1">
        <v>0</v>
      </c>
      <c r="I364" s="1">
        <v>6179757</v>
      </c>
      <c r="J364" s="1">
        <v>0</v>
      </c>
      <c r="K364" s="1">
        <v>0</v>
      </c>
      <c r="L364" s="1">
        <v>7628143</v>
      </c>
      <c r="M364" s="1">
        <v>1000000</v>
      </c>
      <c r="N364" s="1">
        <v>4517367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5382888</v>
      </c>
      <c r="W364" s="1">
        <v>1900000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1516881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38075198</v>
      </c>
      <c r="AP364" s="1">
        <v>6588857</v>
      </c>
      <c r="AQ364" s="1">
        <v>31486341</v>
      </c>
      <c r="AR364" s="1">
        <v>7311663</v>
      </c>
      <c r="AS364" s="1">
        <v>1096750</v>
      </c>
      <c r="AT364" s="1">
        <f t="shared" si="35"/>
        <v>46483611</v>
      </c>
    </row>
    <row r="365" spans="1:46" x14ac:dyDescent="0.2">
      <c r="A365" s="1" t="str">
        <f>"00419"</f>
        <v>00419</v>
      </c>
      <c r="B365" s="1" t="str">
        <f>"ابوذر"</f>
        <v>ابوذر</v>
      </c>
      <c r="C365" s="1" t="str">
        <f>"خاقاني"</f>
        <v>خاقاني</v>
      </c>
      <c r="D365" s="1" t="str">
        <f t="shared" si="38"/>
        <v>قراردادي کارگري</v>
      </c>
      <c r="E365" s="1" t="str">
        <f t="shared" si="37"/>
        <v>پروژه تعميرات نيروگاه بوشهر</v>
      </c>
      <c r="F365" s="1">
        <v>9490985</v>
      </c>
      <c r="G365" s="1">
        <v>0</v>
      </c>
      <c r="H365" s="1">
        <v>0</v>
      </c>
      <c r="I365" s="1">
        <v>6738599</v>
      </c>
      <c r="J365" s="1">
        <v>0</v>
      </c>
      <c r="K365" s="1">
        <v>0</v>
      </c>
      <c r="L365" s="1">
        <v>7628143</v>
      </c>
      <c r="M365" s="1">
        <v>1000000</v>
      </c>
      <c r="N365" s="1">
        <v>5028335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9883646</v>
      </c>
      <c r="W365" s="1">
        <v>1900000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3033762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44703470</v>
      </c>
      <c r="AP365" s="1">
        <v>10173706</v>
      </c>
      <c r="AQ365" s="1">
        <v>34529764</v>
      </c>
      <c r="AR365" s="1">
        <v>8333942</v>
      </c>
      <c r="AS365" s="1">
        <v>1250091</v>
      </c>
      <c r="AT365" s="1">
        <f t="shared" si="35"/>
        <v>54287503</v>
      </c>
    </row>
    <row r="366" spans="1:46" x14ac:dyDescent="0.2">
      <c r="A366" s="1" t="str">
        <f>"00420"</f>
        <v>00420</v>
      </c>
      <c r="B366" s="1" t="str">
        <f>"صادق"</f>
        <v>صادق</v>
      </c>
      <c r="C366" s="1" t="str">
        <f>"عادلي زاده"</f>
        <v>عادلي زاده</v>
      </c>
      <c r="D366" s="1" t="str">
        <f t="shared" si="38"/>
        <v>قراردادي کارگري</v>
      </c>
      <c r="E366" s="1" t="str">
        <f t="shared" si="37"/>
        <v>پروژه تعميرات نيروگاه بوشهر</v>
      </c>
      <c r="F366" s="1">
        <v>9140833</v>
      </c>
      <c r="G366" s="1">
        <v>15627619</v>
      </c>
      <c r="H366" s="1">
        <v>0</v>
      </c>
      <c r="I366" s="1">
        <v>6672808</v>
      </c>
      <c r="J366" s="1">
        <v>0</v>
      </c>
      <c r="K366" s="1">
        <v>0</v>
      </c>
      <c r="L366" s="1">
        <v>7628143</v>
      </c>
      <c r="M366" s="1">
        <v>1000000</v>
      </c>
      <c r="N366" s="1">
        <v>4842825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5787036</v>
      </c>
      <c r="W366" s="1">
        <v>1900000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3033762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55633026</v>
      </c>
      <c r="AP366" s="1">
        <v>8702020</v>
      </c>
      <c r="AQ366" s="1">
        <v>46931006</v>
      </c>
      <c r="AR366" s="1">
        <v>10519853</v>
      </c>
      <c r="AS366" s="1">
        <v>1577978</v>
      </c>
      <c r="AT366" s="1">
        <f t="shared" si="35"/>
        <v>67730857</v>
      </c>
    </row>
    <row r="367" spans="1:46" x14ac:dyDescent="0.2">
      <c r="A367" s="1" t="str">
        <f>"00421"</f>
        <v>00421</v>
      </c>
      <c r="B367" s="1" t="str">
        <f>"محمود"</f>
        <v>محمود</v>
      </c>
      <c r="C367" s="1" t="str">
        <f>"سليماني"</f>
        <v>سليماني</v>
      </c>
      <c r="D367" s="1" t="str">
        <f t="shared" si="38"/>
        <v>قراردادي کارگري</v>
      </c>
      <c r="E367" s="1" t="str">
        <f t="shared" si="37"/>
        <v>پروژه تعميرات نيروگاه بوشهر</v>
      </c>
      <c r="F367" s="1">
        <v>11235606</v>
      </c>
      <c r="G367" s="1">
        <v>5745042</v>
      </c>
      <c r="H367" s="1">
        <v>0</v>
      </c>
      <c r="I367" s="1">
        <v>7977281</v>
      </c>
      <c r="J367" s="1">
        <v>0</v>
      </c>
      <c r="K367" s="1">
        <v>0</v>
      </c>
      <c r="L367" s="1">
        <v>7628143</v>
      </c>
      <c r="M367" s="1">
        <v>1000000</v>
      </c>
      <c r="N367" s="1">
        <v>5952639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12437141</v>
      </c>
      <c r="W367" s="1">
        <v>1900000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3033762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56909614</v>
      </c>
      <c r="AP367" s="1">
        <v>9032370</v>
      </c>
      <c r="AQ367" s="1">
        <v>47877244</v>
      </c>
      <c r="AR367" s="1">
        <v>10775170</v>
      </c>
      <c r="AS367" s="1">
        <v>1616276</v>
      </c>
      <c r="AT367" s="1">
        <f t="shared" si="35"/>
        <v>69301060</v>
      </c>
    </row>
    <row r="368" spans="1:46" x14ac:dyDescent="0.2">
      <c r="A368" s="1" t="str">
        <f>"00422"</f>
        <v>00422</v>
      </c>
      <c r="B368" s="1" t="str">
        <f>"حسين"</f>
        <v>حسين</v>
      </c>
      <c r="C368" s="1" t="str">
        <f>"علوي راد"</f>
        <v>علوي راد</v>
      </c>
      <c r="D368" s="1" t="str">
        <f t="shared" si="38"/>
        <v>قراردادي کارگري</v>
      </c>
      <c r="E368" s="1" t="str">
        <f t="shared" si="37"/>
        <v>پروژه تعميرات نيروگاه بوشهر</v>
      </c>
      <c r="F368" s="1">
        <v>6610391</v>
      </c>
      <c r="G368" s="1">
        <v>15483024</v>
      </c>
      <c r="H368" s="1">
        <v>0</v>
      </c>
      <c r="I368" s="1">
        <v>5023897</v>
      </c>
      <c r="J368" s="1">
        <v>0</v>
      </c>
      <c r="K368" s="1">
        <v>0</v>
      </c>
      <c r="L368" s="1">
        <v>7672721</v>
      </c>
      <c r="M368" s="1">
        <v>1000000</v>
      </c>
      <c r="N368" s="1">
        <v>3479153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4640909</v>
      </c>
      <c r="W368" s="1">
        <v>1900000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3033762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48843857</v>
      </c>
      <c r="AP368" s="1">
        <v>7449386</v>
      </c>
      <c r="AQ368" s="1">
        <v>41394471</v>
      </c>
      <c r="AR368" s="1">
        <v>9162019</v>
      </c>
      <c r="AS368" s="1">
        <v>1374303</v>
      </c>
      <c r="AT368" s="1">
        <f t="shared" si="35"/>
        <v>59380179</v>
      </c>
    </row>
    <row r="369" spans="1:46" x14ac:dyDescent="0.2">
      <c r="A369" s="1" t="str">
        <f>"00423"</f>
        <v>00423</v>
      </c>
      <c r="B369" s="1" t="str">
        <f>"عليرضا"</f>
        <v>عليرضا</v>
      </c>
      <c r="C369" s="1" t="str">
        <f>"احمدي"</f>
        <v>احمدي</v>
      </c>
      <c r="D369" s="1" t="str">
        <f t="shared" si="38"/>
        <v>قراردادي کارگري</v>
      </c>
      <c r="E369" s="1" t="str">
        <f t="shared" si="37"/>
        <v>پروژه تعميرات نيروگاه بوشهر</v>
      </c>
      <c r="F369" s="1">
        <v>8532671</v>
      </c>
      <c r="G369" s="1">
        <v>13735978</v>
      </c>
      <c r="H369" s="1">
        <v>0</v>
      </c>
      <c r="I369" s="1">
        <v>6228851</v>
      </c>
      <c r="J369" s="1">
        <v>0</v>
      </c>
      <c r="K369" s="1">
        <v>0</v>
      </c>
      <c r="L369" s="1">
        <v>7628143</v>
      </c>
      <c r="M369" s="1">
        <v>1000000</v>
      </c>
      <c r="N369" s="1">
        <v>4520620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5532786</v>
      </c>
      <c r="W369" s="1">
        <v>1900000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3033762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52112811</v>
      </c>
      <c r="AP369" s="1">
        <v>6678225</v>
      </c>
      <c r="AQ369" s="1">
        <v>45434586</v>
      </c>
      <c r="AR369" s="1">
        <v>9815810</v>
      </c>
      <c r="AS369" s="1">
        <v>1472371</v>
      </c>
      <c r="AT369" s="1">
        <f t="shared" si="35"/>
        <v>63400992</v>
      </c>
    </row>
    <row r="370" spans="1:46" x14ac:dyDescent="0.2">
      <c r="A370" s="1" t="str">
        <f>"00424"</f>
        <v>00424</v>
      </c>
      <c r="B370" s="1" t="str">
        <f>"سيد محمد"</f>
        <v>سيد محمد</v>
      </c>
      <c r="C370" s="1" t="str">
        <f>"پور قنبري"</f>
        <v>پور قنبري</v>
      </c>
      <c r="D370" s="1" t="str">
        <f t="shared" si="38"/>
        <v>قراردادي کارگري</v>
      </c>
      <c r="E370" s="1" t="str">
        <f t="shared" si="37"/>
        <v>پروژه تعميرات نيروگاه بوشهر</v>
      </c>
      <c r="F370" s="1">
        <v>9856916</v>
      </c>
      <c r="G370" s="1">
        <v>12684494</v>
      </c>
      <c r="H370" s="1">
        <v>0</v>
      </c>
      <c r="I370" s="1">
        <v>7294118</v>
      </c>
      <c r="J370" s="1">
        <v>0</v>
      </c>
      <c r="K370" s="1">
        <v>0</v>
      </c>
      <c r="L370" s="1">
        <v>7462913</v>
      </c>
      <c r="M370" s="1">
        <v>1000000</v>
      </c>
      <c r="N370" s="1">
        <v>5257021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6080513</v>
      </c>
      <c r="W370" s="1">
        <v>1900000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1516881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53052856</v>
      </c>
      <c r="AP370" s="1">
        <v>22421670</v>
      </c>
      <c r="AQ370" s="1">
        <v>30631186</v>
      </c>
      <c r="AR370" s="1">
        <v>10307195</v>
      </c>
      <c r="AS370" s="1">
        <v>1546079</v>
      </c>
      <c r="AT370" s="1">
        <f t="shared" si="35"/>
        <v>64906130</v>
      </c>
    </row>
    <row r="371" spans="1:46" x14ac:dyDescent="0.2">
      <c r="A371" s="1" t="str">
        <f>"00425"</f>
        <v>00425</v>
      </c>
      <c r="B371" s="1" t="str">
        <f>"عليرضا"</f>
        <v>عليرضا</v>
      </c>
      <c r="C371" s="1" t="str">
        <f>"اميري منش"</f>
        <v>اميري منش</v>
      </c>
      <c r="D371" s="1" t="str">
        <f t="shared" si="38"/>
        <v>قراردادي کارگري</v>
      </c>
      <c r="E371" s="1" t="str">
        <f t="shared" si="37"/>
        <v>پروژه تعميرات نيروگاه بوشهر</v>
      </c>
      <c r="F371" s="1">
        <v>8323809</v>
      </c>
      <c r="G371" s="1">
        <v>677047</v>
      </c>
      <c r="H371" s="1">
        <v>0</v>
      </c>
      <c r="I371" s="1">
        <v>6159618</v>
      </c>
      <c r="J371" s="1">
        <v>0</v>
      </c>
      <c r="K371" s="1">
        <v>0</v>
      </c>
      <c r="L371" s="1">
        <v>7628143</v>
      </c>
      <c r="M371" s="1">
        <v>1000000</v>
      </c>
      <c r="N371" s="1">
        <v>4409966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5460867</v>
      </c>
      <c r="W371" s="1">
        <v>1900000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3033762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38593212</v>
      </c>
      <c r="AP371" s="1">
        <v>10811986</v>
      </c>
      <c r="AQ371" s="1">
        <v>27781226</v>
      </c>
      <c r="AR371" s="1">
        <v>7111890</v>
      </c>
      <c r="AS371" s="1">
        <v>1066784</v>
      </c>
      <c r="AT371" s="1">
        <f t="shared" si="35"/>
        <v>46771886</v>
      </c>
    </row>
    <row r="372" spans="1:46" x14ac:dyDescent="0.2">
      <c r="A372" s="1" t="str">
        <f>"00426"</f>
        <v>00426</v>
      </c>
      <c r="B372" s="1" t="str">
        <f>"محسن"</f>
        <v>محسن</v>
      </c>
      <c r="C372" s="1" t="str">
        <f>"منفرد"</f>
        <v>منفرد</v>
      </c>
      <c r="D372" s="1" t="str">
        <f t="shared" si="38"/>
        <v>قراردادي کارگري</v>
      </c>
      <c r="E372" s="1" t="str">
        <f t="shared" si="37"/>
        <v>پروژه تعميرات نيروگاه بوشهر</v>
      </c>
      <c r="F372" s="1">
        <v>9581809</v>
      </c>
      <c r="G372" s="1">
        <v>18381679</v>
      </c>
      <c r="H372" s="1">
        <v>0</v>
      </c>
      <c r="I372" s="1">
        <v>8048719</v>
      </c>
      <c r="J372" s="1">
        <v>0</v>
      </c>
      <c r="K372" s="1">
        <v>0</v>
      </c>
      <c r="L372" s="1">
        <v>7462913</v>
      </c>
      <c r="M372" s="1">
        <v>1000000</v>
      </c>
      <c r="N372" s="1">
        <v>5110298</v>
      </c>
      <c r="O372" s="1">
        <v>0</v>
      </c>
      <c r="P372" s="1">
        <v>0</v>
      </c>
      <c r="Q372" s="1">
        <v>0</v>
      </c>
      <c r="R372" s="1">
        <v>116850</v>
      </c>
      <c r="S372" s="1">
        <v>0</v>
      </c>
      <c r="T372" s="1">
        <v>0</v>
      </c>
      <c r="U372" s="1">
        <v>0</v>
      </c>
      <c r="V372" s="1">
        <v>5976073</v>
      </c>
      <c r="W372" s="1">
        <v>1900000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1516881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59095222</v>
      </c>
      <c r="AP372" s="1">
        <v>12415034</v>
      </c>
      <c r="AQ372" s="1">
        <v>46680188</v>
      </c>
      <c r="AR372" s="1">
        <v>11492298</v>
      </c>
      <c r="AS372" s="1">
        <v>1723845</v>
      </c>
      <c r="AT372" s="1">
        <f t="shared" si="35"/>
        <v>72311365</v>
      </c>
    </row>
    <row r="373" spans="1:46" x14ac:dyDescent="0.2">
      <c r="A373" s="1" t="str">
        <f>"00427"</f>
        <v>00427</v>
      </c>
      <c r="B373" s="1" t="str">
        <f>"عبدالمجيد"</f>
        <v>عبدالمجيد</v>
      </c>
      <c r="C373" s="1" t="str">
        <f>"كازروني"</f>
        <v>كازروني</v>
      </c>
      <c r="D373" s="1" t="str">
        <f t="shared" si="38"/>
        <v>قراردادي کارگري</v>
      </c>
      <c r="E373" s="1" t="str">
        <f t="shared" si="37"/>
        <v>پروژه تعميرات نيروگاه بوشهر</v>
      </c>
      <c r="F373" s="1">
        <v>11876612</v>
      </c>
      <c r="G373" s="1">
        <v>25296240</v>
      </c>
      <c r="H373" s="1">
        <v>0</v>
      </c>
      <c r="I373" s="1">
        <v>8788692</v>
      </c>
      <c r="J373" s="1">
        <v>0</v>
      </c>
      <c r="K373" s="1">
        <v>0</v>
      </c>
      <c r="L373" s="1">
        <v>7462913</v>
      </c>
      <c r="M373" s="1">
        <v>1000000</v>
      </c>
      <c r="N373" s="1">
        <v>6334192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6742633</v>
      </c>
      <c r="W373" s="1">
        <v>1900000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4550643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73951925</v>
      </c>
      <c r="AP373" s="1">
        <v>18731845</v>
      </c>
      <c r="AQ373" s="1">
        <v>55220080</v>
      </c>
      <c r="AR373" s="1">
        <v>13880256</v>
      </c>
      <c r="AS373" s="1">
        <v>2082038</v>
      </c>
      <c r="AT373" s="1">
        <f t="shared" si="35"/>
        <v>89914219</v>
      </c>
    </row>
    <row r="374" spans="1:46" x14ac:dyDescent="0.2">
      <c r="A374" s="1" t="str">
        <f>"00428"</f>
        <v>00428</v>
      </c>
      <c r="B374" s="1" t="str">
        <f>"قاسم"</f>
        <v>قاسم</v>
      </c>
      <c r="C374" s="1" t="str">
        <f>"عليزاده"</f>
        <v>عليزاده</v>
      </c>
      <c r="D374" s="1" t="str">
        <f t="shared" si="38"/>
        <v>قراردادي کارگري</v>
      </c>
      <c r="E374" s="1" t="str">
        <f t="shared" si="37"/>
        <v>پروژه تعميرات نيروگاه بوشهر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2405355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2405355</v>
      </c>
      <c r="AP374" s="1">
        <v>2405355</v>
      </c>
      <c r="AQ374" s="1">
        <v>0</v>
      </c>
      <c r="AR374" s="1">
        <v>0</v>
      </c>
      <c r="AS374" s="1">
        <v>0</v>
      </c>
      <c r="AT374" s="1">
        <f t="shared" si="35"/>
        <v>2405355</v>
      </c>
    </row>
    <row r="375" spans="1:46" x14ac:dyDescent="0.2">
      <c r="A375" s="1" t="str">
        <f>"00429"</f>
        <v>00429</v>
      </c>
      <c r="B375" s="1" t="str">
        <f>"علي"</f>
        <v>علي</v>
      </c>
      <c r="C375" s="1" t="str">
        <f>"نجفي نيا"</f>
        <v>نجفي نيا</v>
      </c>
      <c r="D375" s="1" t="str">
        <f t="shared" si="38"/>
        <v>قراردادي کارگري</v>
      </c>
      <c r="E375" s="1" t="str">
        <f t="shared" si="37"/>
        <v>پروژه تعميرات نيروگاه بوشهر</v>
      </c>
      <c r="F375" s="1">
        <v>7810032</v>
      </c>
      <c r="G375" s="1">
        <v>11577444</v>
      </c>
      <c r="H375" s="1">
        <v>0</v>
      </c>
      <c r="I375" s="1">
        <v>5623222</v>
      </c>
      <c r="J375" s="1">
        <v>0</v>
      </c>
      <c r="K375" s="1">
        <v>0</v>
      </c>
      <c r="L375" s="1">
        <v>7628143</v>
      </c>
      <c r="M375" s="1">
        <v>1000000</v>
      </c>
      <c r="N375" s="1">
        <v>4110544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5211192</v>
      </c>
      <c r="W375" s="1">
        <v>1900000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4550643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49411220</v>
      </c>
      <c r="AP375" s="1">
        <v>13334121</v>
      </c>
      <c r="AQ375" s="1">
        <v>36077099</v>
      </c>
      <c r="AR375" s="1">
        <v>8972115</v>
      </c>
      <c r="AS375" s="1">
        <v>1345817</v>
      </c>
      <c r="AT375" s="1">
        <f t="shared" si="35"/>
        <v>59729152</v>
      </c>
    </row>
    <row r="376" spans="1:46" x14ac:dyDescent="0.2">
      <c r="A376" s="1" t="str">
        <f>"00430"</f>
        <v>00430</v>
      </c>
      <c r="B376" s="1" t="str">
        <f>"مهدي"</f>
        <v>مهدي</v>
      </c>
      <c r="C376" s="1" t="str">
        <f>"خدري"</f>
        <v>خدري</v>
      </c>
      <c r="D376" s="1" t="str">
        <f t="shared" si="38"/>
        <v>قراردادي کارگري</v>
      </c>
      <c r="E376" s="1" t="str">
        <f t="shared" si="37"/>
        <v>پروژه تعميرات نيروگاه بوشهر</v>
      </c>
      <c r="F376" s="1">
        <v>9139531</v>
      </c>
      <c r="G376" s="1">
        <v>20234484</v>
      </c>
      <c r="H376" s="1">
        <v>0</v>
      </c>
      <c r="I376" s="1">
        <v>6854648</v>
      </c>
      <c r="J376" s="1">
        <v>0</v>
      </c>
      <c r="K376" s="1">
        <v>0</v>
      </c>
      <c r="L376" s="1">
        <v>7672721</v>
      </c>
      <c r="M376" s="1">
        <v>1000000</v>
      </c>
      <c r="N376" s="1">
        <v>4810280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6924246</v>
      </c>
      <c r="W376" s="1">
        <v>1900000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4550643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63086553</v>
      </c>
      <c r="AP376" s="1">
        <v>9743648</v>
      </c>
      <c r="AQ376" s="1">
        <v>53342905</v>
      </c>
      <c r="AR376" s="1">
        <v>11707182</v>
      </c>
      <c r="AS376" s="1">
        <v>1756077</v>
      </c>
      <c r="AT376" s="1">
        <f t="shared" si="35"/>
        <v>76549812</v>
      </c>
    </row>
    <row r="377" spans="1:46" x14ac:dyDescent="0.2">
      <c r="A377" s="1" t="str">
        <f>"00431"</f>
        <v>00431</v>
      </c>
      <c r="B377" s="1" t="str">
        <f>"صفرعلي"</f>
        <v>صفرعلي</v>
      </c>
      <c r="C377" s="1" t="str">
        <f>"جوادي اقدم هرزند"</f>
        <v>جوادي اقدم هرزند</v>
      </c>
      <c r="D377" s="1" t="str">
        <f t="shared" si="38"/>
        <v>قراردادي کارگري</v>
      </c>
      <c r="E377" s="1" t="str">
        <f t="shared" si="37"/>
        <v>پروژه تعميرات نيروگاه بوشهر</v>
      </c>
      <c r="F377" s="1">
        <v>9626131</v>
      </c>
      <c r="G377" s="1">
        <v>7235774</v>
      </c>
      <c r="H377" s="1">
        <v>0</v>
      </c>
      <c r="I377" s="1">
        <v>7123337</v>
      </c>
      <c r="J377" s="1">
        <v>0</v>
      </c>
      <c r="K377" s="1">
        <v>0</v>
      </c>
      <c r="L377" s="1">
        <v>7628143</v>
      </c>
      <c r="M377" s="1">
        <v>1000000</v>
      </c>
      <c r="N377" s="1">
        <v>5099938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7144327</v>
      </c>
      <c r="W377" s="1">
        <v>1900000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3033762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49791412</v>
      </c>
      <c r="AP377" s="1">
        <v>14701989</v>
      </c>
      <c r="AQ377" s="1">
        <v>35089423</v>
      </c>
      <c r="AR377" s="1">
        <v>9351530</v>
      </c>
      <c r="AS377" s="1">
        <v>1402730</v>
      </c>
      <c r="AT377" s="1">
        <f t="shared" si="35"/>
        <v>60545672</v>
      </c>
    </row>
    <row r="378" spans="1:46" x14ac:dyDescent="0.2">
      <c r="A378" s="1" t="str">
        <f>"00432"</f>
        <v>00432</v>
      </c>
      <c r="B378" s="1" t="str">
        <f>"حسين"</f>
        <v>حسين</v>
      </c>
      <c r="C378" s="1" t="str">
        <f>"محمدي ثالث"</f>
        <v>محمدي ثالث</v>
      </c>
      <c r="D378" s="1" t="str">
        <f t="shared" si="38"/>
        <v>قراردادي کارگري</v>
      </c>
      <c r="E378" s="1" t="str">
        <f t="shared" si="37"/>
        <v>پروژه تعميرات نيروگاه بوشهر</v>
      </c>
      <c r="F378" s="1">
        <v>9441841</v>
      </c>
      <c r="G378" s="1">
        <v>7112183</v>
      </c>
      <c r="H378" s="1">
        <v>0</v>
      </c>
      <c r="I378" s="1">
        <v>6892544</v>
      </c>
      <c r="J378" s="1">
        <v>0</v>
      </c>
      <c r="K378" s="1">
        <v>0</v>
      </c>
      <c r="L378" s="1">
        <v>7628143</v>
      </c>
      <c r="M378" s="1">
        <v>1000000</v>
      </c>
      <c r="N378" s="1">
        <v>5002298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7031529</v>
      </c>
      <c r="W378" s="1">
        <v>1900000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3033762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49042300</v>
      </c>
      <c r="AP378" s="1">
        <v>14561032</v>
      </c>
      <c r="AQ378" s="1">
        <v>34481268</v>
      </c>
      <c r="AR378" s="1">
        <v>9201708</v>
      </c>
      <c r="AS378" s="1">
        <v>1380256</v>
      </c>
      <c r="AT378" s="1">
        <f t="shared" si="35"/>
        <v>59624264</v>
      </c>
    </row>
    <row r="379" spans="1:46" x14ac:dyDescent="0.2">
      <c r="A379" s="1" t="str">
        <f>"00433"</f>
        <v>00433</v>
      </c>
      <c r="B379" s="1" t="str">
        <f>"عليرضا"</f>
        <v>عليرضا</v>
      </c>
      <c r="C379" s="1" t="str">
        <f>"مسعودي"</f>
        <v>مسعودي</v>
      </c>
      <c r="D379" s="1" t="str">
        <f>"قراردادي بهره بردار"</f>
        <v>قراردادي بهره بردار</v>
      </c>
      <c r="E379" s="1" t="str">
        <f>"پروژه بهره برداري نيروگاه بوشهر"</f>
        <v>پروژه بهره برداري نيروگاه بوشهر</v>
      </c>
      <c r="F379" s="1">
        <v>11685016</v>
      </c>
      <c r="G379" s="1">
        <v>4964252</v>
      </c>
      <c r="H379" s="1">
        <v>0</v>
      </c>
      <c r="I379" s="1">
        <v>10822931</v>
      </c>
      <c r="J379" s="1">
        <v>0</v>
      </c>
      <c r="K379" s="1">
        <v>0</v>
      </c>
      <c r="L379" s="1">
        <v>0</v>
      </c>
      <c r="M379" s="1">
        <v>1000000</v>
      </c>
      <c r="N379" s="1">
        <v>2065580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1606000</v>
      </c>
      <c r="U379" s="1">
        <v>0</v>
      </c>
      <c r="V379" s="1">
        <v>5780525</v>
      </c>
      <c r="W379" s="1">
        <v>1900000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1475414</v>
      </c>
      <c r="AF379" s="1">
        <v>3033762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5197138</v>
      </c>
      <c r="AM379" s="1">
        <v>0</v>
      </c>
      <c r="AN379" s="1">
        <v>0</v>
      </c>
      <c r="AO379" s="1">
        <v>49530618</v>
      </c>
      <c r="AP379" s="1">
        <v>12332898</v>
      </c>
      <c r="AQ379" s="1">
        <v>37197720</v>
      </c>
      <c r="AR379" s="1">
        <v>8978171</v>
      </c>
      <c r="AS379" s="1">
        <v>1346726</v>
      </c>
      <c r="AT379" s="1">
        <f t="shared" si="35"/>
        <v>59855515</v>
      </c>
    </row>
    <row r="380" spans="1:46" x14ac:dyDescent="0.2">
      <c r="A380" s="1" t="str">
        <f>"00434"</f>
        <v>00434</v>
      </c>
      <c r="B380" s="1" t="str">
        <f>"عباس"</f>
        <v>عباس</v>
      </c>
      <c r="C380" s="1" t="str">
        <f>"عبدالعلي پور"</f>
        <v>عبدالعلي پور</v>
      </c>
      <c r="D380" s="1" t="str">
        <f t="shared" ref="D380:D386" si="39">"قراردادي کارگري"</f>
        <v>قراردادي کارگري</v>
      </c>
      <c r="E380" s="1" t="str">
        <f t="shared" ref="E380:E386" si="40">"پروژه تعميرات نيروگاه بوشهر"</f>
        <v>پروژه تعميرات نيروگاه بوشهر</v>
      </c>
      <c r="F380" s="1">
        <v>9796527</v>
      </c>
      <c r="G380" s="1">
        <v>15152516</v>
      </c>
      <c r="H380" s="1">
        <v>0</v>
      </c>
      <c r="I380" s="1">
        <v>7249430</v>
      </c>
      <c r="J380" s="1">
        <v>0</v>
      </c>
      <c r="K380" s="1">
        <v>0</v>
      </c>
      <c r="L380" s="1">
        <v>7462913</v>
      </c>
      <c r="M380" s="1">
        <v>1000000</v>
      </c>
      <c r="N380" s="1">
        <v>5224814</v>
      </c>
      <c r="O380" s="1">
        <v>0</v>
      </c>
      <c r="P380" s="1">
        <v>0</v>
      </c>
      <c r="Q380" s="1">
        <v>0</v>
      </c>
      <c r="R380" s="1">
        <v>853881</v>
      </c>
      <c r="S380" s="1">
        <v>0</v>
      </c>
      <c r="T380" s="1">
        <v>0</v>
      </c>
      <c r="U380" s="1">
        <v>0</v>
      </c>
      <c r="V380" s="1">
        <v>6055115</v>
      </c>
      <c r="W380" s="1">
        <v>1900000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3033762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57728958</v>
      </c>
      <c r="AP380" s="1">
        <v>10407274</v>
      </c>
      <c r="AQ380" s="1">
        <v>47321684</v>
      </c>
      <c r="AR380" s="1">
        <v>10768263</v>
      </c>
      <c r="AS380" s="1">
        <v>1615239</v>
      </c>
      <c r="AT380" s="1">
        <f t="shared" si="35"/>
        <v>70112460</v>
      </c>
    </row>
    <row r="381" spans="1:46" x14ac:dyDescent="0.2">
      <c r="A381" s="1" t="str">
        <f>"00435"</f>
        <v>00435</v>
      </c>
      <c r="B381" s="1" t="str">
        <f>"رضا"</f>
        <v>رضا</v>
      </c>
      <c r="C381" s="1" t="str">
        <f>"محمودي"</f>
        <v>محمودي</v>
      </c>
      <c r="D381" s="1" t="str">
        <f t="shared" si="39"/>
        <v>قراردادي کارگري</v>
      </c>
      <c r="E381" s="1" t="str">
        <f t="shared" si="40"/>
        <v>پروژه تعميرات نيروگاه بوشهر</v>
      </c>
      <c r="F381" s="1">
        <v>11026743</v>
      </c>
      <c r="G381" s="1">
        <v>33087074</v>
      </c>
      <c r="H381" s="1">
        <v>0</v>
      </c>
      <c r="I381" s="1">
        <v>8159790</v>
      </c>
      <c r="J381" s="1">
        <v>0</v>
      </c>
      <c r="K381" s="1">
        <v>0</v>
      </c>
      <c r="L381" s="1">
        <v>7628143</v>
      </c>
      <c r="M381" s="1">
        <v>1000000</v>
      </c>
      <c r="N381" s="1">
        <v>5841984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6417598</v>
      </c>
      <c r="W381" s="1">
        <v>1900000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3033762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78095094</v>
      </c>
      <c r="AP381" s="1">
        <v>12166137</v>
      </c>
      <c r="AQ381" s="1">
        <v>65928957</v>
      </c>
      <c r="AR381" s="1">
        <v>15012266</v>
      </c>
      <c r="AS381" s="1">
        <v>2251840</v>
      </c>
      <c r="AT381" s="1">
        <f t="shared" si="35"/>
        <v>95359200</v>
      </c>
    </row>
    <row r="382" spans="1:46" x14ac:dyDescent="0.2">
      <c r="A382" s="1" t="str">
        <f>"00437"</f>
        <v>00437</v>
      </c>
      <c r="B382" s="1" t="str">
        <f>"رسول"</f>
        <v>رسول</v>
      </c>
      <c r="C382" s="1" t="str">
        <f>"زماني"</f>
        <v>زماني</v>
      </c>
      <c r="D382" s="1" t="str">
        <f t="shared" si="39"/>
        <v>قراردادي کارگري</v>
      </c>
      <c r="E382" s="1" t="str">
        <f t="shared" si="40"/>
        <v>پروژه تعميرات نيروگاه بوشهر</v>
      </c>
      <c r="F382" s="1">
        <v>8261443</v>
      </c>
      <c r="G382" s="1">
        <v>0</v>
      </c>
      <c r="H382" s="1">
        <v>0</v>
      </c>
      <c r="I382" s="1">
        <v>5369938</v>
      </c>
      <c r="J382" s="1">
        <v>0</v>
      </c>
      <c r="K382" s="1">
        <v>0</v>
      </c>
      <c r="L382" s="1">
        <v>7628143</v>
      </c>
      <c r="M382" s="1">
        <v>1000000</v>
      </c>
      <c r="N382" s="1">
        <v>4348128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7151080</v>
      </c>
      <c r="W382" s="1">
        <v>1900000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35658732</v>
      </c>
      <c r="AP382" s="1">
        <v>5437903</v>
      </c>
      <c r="AQ382" s="1">
        <v>30220829</v>
      </c>
      <c r="AR382" s="1">
        <v>7131746</v>
      </c>
      <c r="AS382" s="1">
        <v>1069762</v>
      </c>
      <c r="AT382" s="1">
        <f t="shared" si="35"/>
        <v>43860240</v>
      </c>
    </row>
    <row r="383" spans="1:46" x14ac:dyDescent="0.2">
      <c r="A383" s="1" t="str">
        <f>"00438"</f>
        <v>00438</v>
      </c>
      <c r="B383" s="1" t="str">
        <f>"منصور"</f>
        <v>منصور</v>
      </c>
      <c r="C383" s="1" t="str">
        <f>"محمدي"</f>
        <v>محمدي</v>
      </c>
      <c r="D383" s="1" t="str">
        <f t="shared" si="39"/>
        <v>قراردادي کارگري</v>
      </c>
      <c r="E383" s="1" t="str">
        <f t="shared" si="40"/>
        <v>پروژه تعميرات نيروگاه بوشهر</v>
      </c>
      <c r="F383" s="1">
        <v>13366220</v>
      </c>
      <c r="G383" s="1">
        <v>3553887</v>
      </c>
      <c r="H383" s="1">
        <v>0</v>
      </c>
      <c r="I383" s="1">
        <v>11227625</v>
      </c>
      <c r="J383" s="1">
        <v>0</v>
      </c>
      <c r="K383" s="1">
        <v>0</v>
      </c>
      <c r="L383" s="1">
        <v>7462913</v>
      </c>
      <c r="M383" s="1">
        <v>1000000</v>
      </c>
      <c r="N383" s="1">
        <v>7128650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11178250</v>
      </c>
      <c r="W383" s="1">
        <v>1900000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3033762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59851307</v>
      </c>
      <c r="AP383" s="1">
        <v>11230435</v>
      </c>
      <c r="AQ383" s="1">
        <v>48620872</v>
      </c>
      <c r="AR383" s="1">
        <v>11363509</v>
      </c>
      <c r="AS383" s="1">
        <v>1704526</v>
      </c>
      <c r="AT383" s="1">
        <f t="shared" si="35"/>
        <v>72919342</v>
      </c>
    </row>
    <row r="384" spans="1:46" x14ac:dyDescent="0.2">
      <c r="A384" s="1" t="str">
        <f>"00439"</f>
        <v>00439</v>
      </c>
      <c r="B384" s="1" t="str">
        <f>"سيد سعد"</f>
        <v>سيد سعد</v>
      </c>
      <c r="C384" s="1" t="str">
        <f>"موسوي بغلاني"</f>
        <v>موسوي بغلاني</v>
      </c>
      <c r="D384" s="1" t="str">
        <f t="shared" si="39"/>
        <v>قراردادي کارگري</v>
      </c>
      <c r="E384" s="1" t="str">
        <f t="shared" si="40"/>
        <v>پروژه تعميرات نيروگاه بوشهر</v>
      </c>
      <c r="F384" s="1">
        <v>7840950</v>
      </c>
      <c r="G384" s="1">
        <v>2392104</v>
      </c>
      <c r="H384" s="1">
        <v>0</v>
      </c>
      <c r="I384" s="1">
        <v>5645484</v>
      </c>
      <c r="J384" s="1">
        <v>0</v>
      </c>
      <c r="K384" s="1">
        <v>0</v>
      </c>
      <c r="L384" s="1">
        <v>7628143</v>
      </c>
      <c r="M384" s="1">
        <v>1000000</v>
      </c>
      <c r="N384" s="1">
        <v>4126816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12424746</v>
      </c>
      <c r="W384" s="1">
        <v>1900000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3786209</v>
      </c>
      <c r="AE384" s="1">
        <v>0</v>
      </c>
      <c r="AF384" s="1">
        <v>4550643</v>
      </c>
      <c r="AG384" s="1">
        <v>0</v>
      </c>
      <c r="AH384" s="1">
        <v>0</v>
      </c>
      <c r="AI384" s="1">
        <v>0</v>
      </c>
      <c r="AJ384" s="1">
        <v>5103154</v>
      </c>
      <c r="AK384" s="1">
        <v>0</v>
      </c>
      <c r="AL384" s="1">
        <v>0</v>
      </c>
      <c r="AM384" s="1">
        <v>0</v>
      </c>
      <c r="AN384" s="1">
        <v>0</v>
      </c>
      <c r="AO384" s="1">
        <v>56398249</v>
      </c>
      <c r="AP384" s="1">
        <v>10311559</v>
      </c>
      <c r="AQ384" s="1">
        <v>46086690</v>
      </c>
      <c r="AR384" s="1">
        <v>10369521</v>
      </c>
      <c r="AS384" s="1">
        <v>1555428</v>
      </c>
      <c r="AT384" s="1">
        <f t="shared" si="35"/>
        <v>68323198</v>
      </c>
    </row>
    <row r="385" spans="1:46" x14ac:dyDescent="0.2">
      <c r="A385" s="1" t="str">
        <f>"00440"</f>
        <v>00440</v>
      </c>
      <c r="B385" s="1" t="str">
        <f>"احمد"</f>
        <v>احمد</v>
      </c>
      <c r="C385" s="1" t="str">
        <f>"خليفه"</f>
        <v>خليفه</v>
      </c>
      <c r="D385" s="1" t="str">
        <f t="shared" si="39"/>
        <v>قراردادي کارگري</v>
      </c>
      <c r="E385" s="1" t="str">
        <f t="shared" si="40"/>
        <v>پروژه تعميرات نيروگاه بوشهر</v>
      </c>
      <c r="F385" s="1">
        <v>7395723</v>
      </c>
      <c r="G385" s="1">
        <v>2051026</v>
      </c>
      <c r="H385" s="1">
        <v>0</v>
      </c>
      <c r="I385" s="1">
        <v>5398877</v>
      </c>
      <c r="J385" s="1">
        <v>0</v>
      </c>
      <c r="K385" s="1">
        <v>0</v>
      </c>
      <c r="L385" s="1">
        <v>7628143</v>
      </c>
      <c r="M385" s="1">
        <v>1000000</v>
      </c>
      <c r="N385" s="1">
        <v>3892486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12017234</v>
      </c>
      <c r="W385" s="1">
        <v>1900000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3647284</v>
      </c>
      <c r="AE385" s="1">
        <v>0</v>
      </c>
      <c r="AF385" s="1">
        <v>3033762</v>
      </c>
      <c r="AG385" s="1">
        <v>0</v>
      </c>
      <c r="AH385" s="1">
        <v>0</v>
      </c>
      <c r="AI385" s="1">
        <v>0</v>
      </c>
      <c r="AJ385" s="1">
        <v>3281642</v>
      </c>
      <c r="AK385" s="1">
        <v>0</v>
      </c>
      <c r="AL385" s="1">
        <v>0</v>
      </c>
      <c r="AM385" s="1">
        <v>0</v>
      </c>
      <c r="AN385" s="1">
        <v>0</v>
      </c>
      <c r="AO385" s="1">
        <v>51246177</v>
      </c>
      <c r="AP385" s="1">
        <v>17257629</v>
      </c>
      <c r="AQ385" s="1">
        <v>33988548</v>
      </c>
      <c r="AR385" s="1">
        <v>9642483</v>
      </c>
      <c r="AS385" s="1">
        <v>1446372</v>
      </c>
      <c r="AT385" s="1">
        <f t="shared" si="35"/>
        <v>62335032</v>
      </c>
    </row>
    <row r="386" spans="1:46" x14ac:dyDescent="0.2">
      <c r="A386" s="1" t="str">
        <f>"00442"</f>
        <v>00442</v>
      </c>
      <c r="B386" s="1" t="str">
        <f>"ايوب"</f>
        <v>ايوب</v>
      </c>
      <c r="C386" s="1" t="str">
        <f>"غلامي"</f>
        <v>غلامي</v>
      </c>
      <c r="D386" s="1" t="str">
        <f t="shared" si="39"/>
        <v>قراردادي کارگري</v>
      </c>
      <c r="E386" s="1" t="str">
        <f t="shared" si="40"/>
        <v>پروژه تعميرات نيروگاه بوشهر</v>
      </c>
      <c r="F386" s="1">
        <v>9171833</v>
      </c>
      <c r="G386" s="1">
        <v>0</v>
      </c>
      <c r="H386" s="1">
        <v>0</v>
      </c>
      <c r="I386" s="1">
        <v>6420283</v>
      </c>
      <c r="J386" s="1">
        <v>0</v>
      </c>
      <c r="K386" s="1">
        <v>0</v>
      </c>
      <c r="L386" s="1">
        <v>7628143</v>
      </c>
      <c r="M386" s="1">
        <v>1000000</v>
      </c>
      <c r="N386" s="1">
        <v>4891645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6843884</v>
      </c>
      <c r="W386" s="1">
        <v>1900000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1516881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39372669</v>
      </c>
      <c r="AP386" s="1">
        <v>21164013</v>
      </c>
      <c r="AQ386" s="1">
        <v>18208656</v>
      </c>
      <c r="AR386" s="1">
        <v>7571158</v>
      </c>
      <c r="AS386" s="1">
        <v>1135674</v>
      </c>
      <c r="AT386" s="1">
        <f t="shared" si="35"/>
        <v>48079501</v>
      </c>
    </row>
    <row r="387" spans="1:46" x14ac:dyDescent="0.2">
      <c r="A387" s="1" t="str">
        <f>"00443"</f>
        <v>00443</v>
      </c>
      <c r="B387" s="1" t="str">
        <f>"امير"</f>
        <v>امير</v>
      </c>
      <c r="C387" s="1" t="str">
        <f>"مرادي"</f>
        <v>مرادي</v>
      </c>
      <c r="D387" s="1" t="str">
        <f>"قراردادي بهره بردار"</f>
        <v>قراردادي بهره بردار</v>
      </c>
      <c r="E387" s="1" t="str">
        <f>"پروژه بهره برداري نيروگاه بوشهر"</f>
        <v>پروژه بهره برداري نيروگاه بوشهر</v>
      </c>
      <c r="F387" s="1">
        <v>24233155</v>
      </c>
      <c r="G387" s="1">
        <v>9875857</v>
      </c>
      <c r="H387" s="1">
        <v>0</v>
      </c>
      <c r="I387" s="1">
        <v>19551845</v>
      </c>
      <c r="J387" s="1">
        <v>0</v>
      </c>
      <c r="K387" s="1">
        <v>5500000</v>
      </c>
      <c r="L387" s="1">
        <v>0</v>
      </c>
      <c r="M387" s="1">
        <v>1000000</v>
      </c>
      <c r="N387" s="1">
        <v>3809898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14218535</v>
      </c>
      <c r="W387" s="1">
        <v>1900000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2721356</v>
      </c>
      <c r="AF387" s="1">
        <v>1516881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5442711</v>
      </c>
      <c r="AM387" s="1">
        <v>0</v>
      </c>
      <c r="AN387" s="1">
        <v>0</v>
      </c>
      <c r="AO387" s="1">
        <v>89770238</v>
      </c>
      <c r="AP387" s="1">
        <v>41539740</v>
      </c>
      <c r="AQ387" s="1">
        <v>48230498</v>
      </c>
      <c r="AR387" s="1">
        <v>17650671</v>
      </c>
      <c r="AS387" s="1">
        <v>2647601</v>
      </c>
      <c r="AT387" s="1">
        <f t="shared" ref="AT387:AT450" si="41">AO387+AR387+AS387</f>
        <v>110068510</v>
      </c>
    </row>
    <row r="388" spans="1:46" x14ac:dyDescent="0.2">
      <c r="A388" s="1" t="str">
        <f>"00444"</f>
        <v>00444</v>
      </c>
      <c r="B388" s="1" t="str">
        <f>"علي"</f>
        <v>علي</v>
      </c>
      <c r="C388" s="1" t="str">
        <f>"حسن زاده"</f>
        <v>حسن زاده</v>
      </c>
      <c r="D388" s="1" t="str">
        <f>"قراردادي کارگري"</f>
        <v>قراردادي کارگري</v>
      </c>
      <c r="E388" s="1" t="str">
        <f>"پروژه تعميرات نيروگاه بوشهر"</f>
        <v>پروژه تعميرات نيروگاه بوشهر</v>
      </c>
      <c r="F388" s="1">
        <v>17738403</v>
      </c>
      <c r="G388" s="1">
        <v>48912225</v>
      </c>
      <c r="H388" s="1">
        <v>0</v>
      </c>
      <c r="I388" s="1">
        <v>12949032</v>
      </c>
      <c r="J388" s="1">
        <v>0</v>
      </c>
      <c r="K388" s="1">
        <v>0</v>
      </c>
      <c r="L388" s="1">
        <v>27061908</v>
      </c>
      <c r="M388" s="1">
        <v>4000000</v>
      </c>
      <c r="N388" s="1">
        <v>9397827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19344297</v>
      </c>
      <c r="W388" s="1">
        <v>5900000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10634823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155938515</v>
      </c>
      <c r="AP388" s="1">
        <v>33510999</v>
      </c>
      <c r="AQ388" s="1">
        <v>122427516</v>
      </c>
      <c r="AR388" s="1">
        <v>29060740</v>
      </c>
      <c r="AS388" s="1">
        <v>4359111</v>
      </c>
      <c r="AT388" s="1">
        <f t="shared" si="41"/>
        <v>189358366</v>
      </c>
    </row>
    <row r="389" spans="1:46" x14ac:dyDescent="0.2">
      <c r="A389" s="1" t="str">
        <f>"00448"</f>
        <v>00448</v>
      </c>
      <c r="B389" s="1" t="str">
        <f>"اکبر"</f>
        <v>اکبر</v>
      </c>
      <c r="C389" s="1" t="str">
        <f>"آجامي"</f>
        <v>آجامي</v>
      </c>
      <c r="D389" s="1" t="str">
        <f t="shared" ref="D389:D420" si="42">"قراردادي بهره بردار"</f>
        <v>قراردادي بهره بردار</v>
      </c>
      <c r="E389" s="1" t="str">
        <f>"پروژه بهره برداري نيروگاه بوشهر"</f>
        <v>پروژه بهره برداري نيروگاه بوشهر</v>
      </c>
      <c r="F389" s="1">
        <v>15503348</v>
      </c>
      <c r="G389" s="1">
        <v>5516715</v>
      </c>
      <c r="H389" s="1">
        <v>0</v>
      </c>
      <c r="I389" s="1">
        <v>14359221</v>
      </c>
      <c r="J389" s="1">
        <v>0</v>
      </c>
      <c r="K389" s="1">
        <v>4620000</v>
      </c>
      <c r="L389" s="1">
        <v>0</v>
      </c>
      <c r="M389" s="1">
        <v>1000000</v>
      </c>
      <c r="N389" s="1">
        <v>2903619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1606000</v>
      </c>
      <c r="U389" s="1">
        <v>0</v>
      </c>
      <c r="V389" s="1">
        <v>11245365</v>
      </c>
      <c r="W389" s="1">
        <v>1900000</v>
      </c>
      <c r="X389" s="1">
        <v>848725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2074014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14052689</v>
      </c>
      <c r="AM389" s="1">
        <v>0</v>
      </c>
      <c r="AN389" s="1">
        <v>0</v>
      </c>
      <c r="AO389" s="1">
        <v>75629696</v>
      </c>
      <c r="AP389" s="1">
        <v>14633629</v>
      </c>
      <c r="AQ389" s="1">
        <v>60996067</v>
      </c>
      <c r="AR389" s="1">
        <v>14804739</v>
      </c>
      <c r="AS389" s="1">
        <v>2220711</v>
      </c>
      <c r="AT389" s="1">
        <f t="shared" si="41"/>
        <v>92655146</v>
      </c>
    </row>
    <row r="390" spans="1:46" x14ac:dyDescent="0.2">
      <c r="A390" s="1" t="str">
        <f>"00449"</f>
        <v>00449</v>
      </c>
      <c r="B390" s="1" t="str">
        <f>"حميدرضا"</f>
        <v>حميدرضا</v>
      </c>
      <c r="C390" s="1" t="str">
        <f>"احمدي خرم"</f>
        <v>احمدي خرم</v>
      </c>
      <c r="D390" s="1" t="str">
        <f t="shared" si="42"/>
        <v>قراردادي بهره بردار</v>
      </c>
      <c r="E390" s="1" t="str">
        <f>"پروژه بهره برداري نيروگاه بوشهر"</f>
        <v>پروژه بهره برداري نيروگاه بوشهر</v>
      </c>
      <c r="F390" s="1">
        <v>13025704</v>
      </c>
      <c r="G390" s="1">
        <v>0</v>
      </c>
      <c r="H390" s="1">
        <v>0</v>
      </c>
      <c r="I390" s="1">
        <v>9575125</v>
      </c>
      <c r="J390" s="1">
        <v>0</v>
      </c>
      <c r="K390" s="1">
        <v>4620000</v>
      </c>
      <c r="L390" s="1">
        <v>0</v>
      </c>
      <c r="M390" s="1">
        <v>1000000</v>
      </c>
      <c r="N390" s="1">
        <v>2277965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11986297</v>
      </c>
      <c r="W390" s="1">
        <v>1900000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1627118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6789358</v>
      </c>
      <c r="AM390" s="1">
        <v>0</v>
      </c>
      <c r="AN390" s="1">
        <v>0</v>
      </c>
      <c r="AO390" s="1">
        <v>52801567</v>
      </c>
      <c r="AP390" s="1">
        <v>10453085</v>
      </c>
      <c r="AQ390" s="1">
        <v>42348482</v>
      </c>
      <c r="AR390" s="1">
        <v>10560313</v>
      </c>
      <c r="AS390" s="1">
        <v>1584047</v>
      </c>
      <c r="AT390" s="1">
        <f t="shared" si="41"/>
        <v>64945927</v>
      </c>
    </row>
    <row r="391" spans="1:46" x14ac:dyDescent="0.2">
      <c r="A391" s="1" t="str">
        <f>"00450"</f>
        <v>00450</v>
      </c>
      <c r="B391" s="1" t="str">
        <f>"سيدابراهيم"</f>
        <v>سيدابراهيم</v>
      </c>
      <c r="C391" s="1" t="str">
        <f>"اعلايي خانقاه سادات"</f>
        <v>اعلايي خانقاه سادات</v>
      </c>
      <c r="D391" s="1" t="str">
        <f t="shared" si="42"/>
        <v>قراردادي بهره بردار</v>
      </c>
      <c r="E391" s="1" t="str">
        <f>"پروژه بهره برداري نيروگاه بوشهر"</f>
        <v>پروژه بهره برداري نيروگاه بوشهر</v>
      </c>
      <c r="F391" s="1">
        <v>19352349</v>
      </c>
      <c r="G391" s="1">
        <v>13639297</v>
      </c>
      <c r="H391" s="1">
        <v>0</v>
      </c>
      <c r="I391" s="1">
        <v>16630021</v>
      </c>
      <c r="J391" s="1">
        <v>0</v>
      </c>
      <c r="K391" s="1">
        <v>5500000</v>
      </c>
      <c r="L391" s="1">
        <v>0</v>
      </c>
      <c r="M391" s="1">
        <v>1000000</v>
      </c>
      <c r="N391" s="1">
        <v>3415030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19886951</v>
      </c>
      <c r="W391" s="1">
        <v>1900000</v>
      </c>
      <c r="X391" s="1">
        <v>2809212</v>
      </c>
      <c r="Y391" s="1">
        <v>0</v>
      </c>
      <c r="Z391" s="1">
        <v>0</v>
      </c>
      <c r="AA391" s="1">
        <v>0</v>
      </c>
      <c r="AB391" s="1">
        <v>0</v>
      </c>
      <c r="AC391" s="1">
        <v>3877480</v>
      </c>
      <c r="AD391" s="1">
        <v>0</v>
      </c>
      <c r="AE391" s="1">
        <v>2439307</v>
      </c>
      <c r="AF391" s="1">
        <v>3033762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18437264</v>
      </c>
      <c r="AM391" s="1">
        <v>0</v>
      </c>
      <c r="AN391" s="1">
        <v>0</v>
      </c>
      <c r="AO391" s="1">
        <v>111920673</v>
      </c>
      <c r="AP391" s="1">
        <v>32495822</v>
      </c>
      <c r="AQ391" s="1">
        <v>79424851</v>
      </c>
      <c r="AR391" s="1">
        <v>21777382</v>
      </c>
      <c r="AS391" s="1">
        <v>3266607</v>
      </c>
      <c r="AT391" s="1">
        <f t="shared" si="41"/>
        <v>136964662</v>
      </c>
    </row>
    <row r="392" spans="1:46" x14ac:dyDescent="0.2">
      <c r="A392" s="1" t="str">
        <f>"00451"</f>
        <v>00451</v>
      </c>
      <c r="B392" s="1" t="str">
        <f>"محمدمهدي"</f>
        <v>محمدمهدي</v>
      </c>
      <c r="C392" s="1" t="str">
        <f>"افشاري"</f>
        <v>افشاري</v>
      </c>
      <c r="D392" s="1" t="str">
        <f t="shared" si="42"/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15179129</v>
      </c>
      <c r="G392" s="1">
        <v>6144409</v>
      </c>
      <c r="H392" s="1">
        <v>0</v>
      </c>
      <c r="I392" s="1">
        <v>10959422</v>
      </c>
      <c r="J392" s="1">
        <v>0</v>
      </c>
      <c r="K392" s="1">
        <v>4620000</v>
      </c>
      <c r="L392" s="1">
        <v>0</v>
      </c>
      <c r="M392" s="1">
        <v>1000000</v>
      </c>
      <c r="N392" s="1">
        <v>2790143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8141163</v>
      </c>
      <c r="W392" s="1">
        <v>1900000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1992959</v>
      </c>
      <c r="AF392" s="1">
        <v>1516881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4474711</v>
      </c>
      <c r="AM392" s="1">
        <v>0</v>
      </c>
      <c r="AN392" s="1">
        <v>0</v>
      </c>
      <c r="AO392" s="1">
        <v>58718817</v>
      </c>
      <c r="AP392" s="1">
        <v>13740670</v>
      </c>
      <c r="AQ392" s="1">
        <v>44978147</v>
      </c>
      <c r="AR392" s="1">
        <v>11440387</v>
      </c>
      <c r="AS392" s="1">
        <v>1716058</v>
      </c>
      <c r="AT392" s="1">
        <f t="shared" si="41"/>
        <v>71875262</v>
      </c>
    </row>
    <row r="393" spans="1:46" x14ac:dyDescent="0.2">
      <c r="A393" s="1" t="str">
        <f>"00452"</f>
        <v>00452</v>
      </c>
      <c r="B393" s="1" t="str">
        <f>"محمدرضا"</f>
        <v>محمدرضا</v>
      </c>
      <c r="C393" s="1" t="str">
        <f>"اکبرپور"</f>
        <v>اکبرپور</v>
      </c>
      <c r="D393" s="1" t="str">
        <f t="shared" si="42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14421159</v>
      </c>
      <c r="G393" s="1">
        <v>3573526</v>
      </c>
      <c r="H393" s="1">
        <v>0</v>
      </c>
      <c r="I393" s="1">
        <v>13476631</v>
      </c>
      <c r="J393" s="1">
        <v>0</v>
      </c>
      <c r="K393" s="1">
        <v>4620000</v>
      </c>
      <c r="L393" s="1">
        <v>0</v>
      </c>
      <c r="M393" s="1">
        <v>1000000</v>
      </c>
      <c r="N393" s="1">
        <v>2766374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1606000</v>
      </c>
      <c r="U393" s="1">
        <v>0</v>
      </c>
      <c r="V393" s="1">
        <v>10521819</v>
      </c>
      <c r="W393" s="1">
        <v>1900000</v>
      </c>
      <c r="X393" s="1">
        <v>2093394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1975981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13106890</v>
      </c>
      <c r="AM393" s="1">
        <v>0</v>
      </c>
      <c r="AN393" s="1">
        <v>0</v>
      </c>
      <c r="AO393" s="1">
        <v>71061774</v>
      </c>
      <c r="AP393" s="1">
        <v>34039787</v>
      </c>
      <c r="AQ393" s="1">
        <v>37021987</v>
      </c>
      <c r="AR393" s="1">
        <v>13891155</v>
      </c>
      <c r="AS393" s="1">
        <v>2083673</v>
      </c>
      <c r="AT393" s="1">
        <f t="shared" si="41"/>
        <v>87036602</v>
      </c>
    </row>
    <row r="394" spans="1:46" x14ac:dyDescent="0.2">
      <c r="A394" s="1" t="str">
        <f>"00453"</f>
        <v>00453</v>
      </c>
      <c r="B394" s="1" t="str">
        <f>"رضا"</f>
        <v>رضا</v>
      </c>
      <c r="C394" s="1" t="str">
        <f>"اوجي نيا"</f>
        <v>اوجي نيا</v>
      </c>
      <c r="D394" s="1" t="str">
        <f t="shared" si="42"/>
        <v>قراردادي بهره بردار</v>
      </c>
      <c r="E394" s="1" t="str">
        <f>"پروژه تعميرات نيروگاه بوشهر"</f>
        <v>پروژه تعميرات نيروگاه بوشهر</v>
      </c>
      <c r="F394" s="1">
        <v>18283304</v>
      </c>
      <c r="G394" s="1">
        <v>10726148</v>
      </c>
      <c r="H394" s="1">
        <v>0</v>
      </c>
      <c r="I394" s="1">
        <v>14524935</v>
      </c>
      <c r="J394" s="1">
        <v>0</v>
      </c>
      <c r="K394" s="1">
        <v>5500000</v>
      </c>
      <c r="L394" s="1">
        <v>0</v>
      </c>
      <c r="M394" s="1">
        <v>1000000</v>
      </c>
      <c r="N394" s="1">
        <v>3040864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1606000</v>
      </c>
      <c r="U394" s="1">
        <v>0</v>
      </c>
      <c r="V394" s="1">
        <v>11202170</v>
      </c>
      <c r="W394" s="1">
        <v>1900000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2172046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5064121</v>
      </c>
      <c r="AM394" s="1">
        <v>0</v>
      </c>
      <c r="AN394" s="1">
        <v>0</v>
      </c>
      <c r="AO394" s="1">
        <v>75019588</v>
      </c>
      <c r="AP394" s="1">
        <v>25806616</v>
      </c>
      <c r="AQ394" s="1">
        <v>49212972</v>
      </c>
      <c r="AR394" s="1">
        <v>14682718</v>
      </c>
      <c r="AS394" s="1">
        <v>2202408</v>
      </c>
      <c r="AT394" s="1">
        <f t="shared" si="41"/>
        <v>91904714</v>
      </c>
    </row>
    <row r="395" spans="1:46" x14ac:dyDescent="0.2">
      <c r="A395" s="1" t="str">
        <f>"00454"</f>
        <v>00454</v>
      </c>
      <c r="B395" s="1" t="str">
        <f>"مهرداد"</f>
        <v>مهرداد</v>
      </c>
      <c r="C395" s="1" t="str">
        <f>"بازياري"</f>
        <v>بازياري</v>
      </c>
      <c r="D395" s="1" t="str">
        <f t="shared" si="42"/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14550408</v>
      </c>
      <c r="G395" s="1">
        <v>10803392</v>
      </c>
      <c r="H395" s="1">
        <v>0</v>
      </c>
      <c r="I395" s="1">
        <v>11920828</v>
      </c>
      <c r="J395" s="1">
        <v>0</v>
      </c>
      <c r="K395" s="1">
        <v>4620000</v>
      </c>
      <c r="L395" s="1">
        <v>0</v>
      </c>
      <c r="M395" s="1">
        <v>1000000</v>
      </c>
      <c r="N395" s="1">
        <v>2811611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1606000</v>
      </c>
      <c r="U395" s="1">
        <v>0</v>
      </c>
      <c r="V395" s="1">
        <v>9871849</v>
      </c>
      <c r="W395" s="1">
        <v>1900000</v>
      </c>
      <c r="X395" s="1">
        <v>2112156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2008294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11629942</v>
      </c>
      <c r="AM395" s="1">
        <v>0</v>
      </c>
      <c r="AN395" s="1">
        <v>0</v>
      </c>
      <c r="AO395" s="1">
        <v>74834480</v>
      </c>
      <c r="AP395" s="1">
        <v>32936847</v>
      </c>
      <c r="AQ395" s="1">
        <v>41897633</v>
      </c>
      <c r="AR395" s="1">
        <v>14645696</v>
      </c>
      <c r="AS395" s="1">
        <v>2196854</v>
      </c>
      <c r="AT395" s="1">
        <f t="shared" si="41"/>
        <v>91677030</v>
      </c>
    </row>
    <row r="396" spans="1:46" x14ac:dyDescent="0.2">
      <c r="A396" s="1" t="str">
        <f>"00455"</f>
        <v>00455</v>
      </c>
      <c r="B396" s="1" t="str">
        <f>"سعيد"</f>
        <v>سعيد</v>
      </c>
      <c r="C396" s="1" t="str">
        <f>"بزرگي"</f>
        <v>بزرگي</v>
      </c>
      <c r="D396" s="1" t="str">
        <f t="shared" si="42"/>
        <v>قراردادي بهره بردار</v>
      </c>
      <c r="E396" s="1" t="str">
        <f>"پروژه بهره برداري نيروگاه بوشهر"</f>
        <v>پروژه بهره برداري نيروگاه بوشهر</v>
      </c>
      <c r="F396" s="1">
        <v>18657908</v>
      </c>
      <c r="G396" s="1">
        <v>2036901</v>
      </c>
      <c r="H396" s="1">
        <v>0</v>
      </c>
      <c r="I396" s="1">
        <v>13773417</v>
      </c>
      <c r="J396" s="1">
        <v>0</v>
      </c>
      <c r="K396" s="1">
        <v>5500000</v>
      </c>
      <c r="L396" s="1">
        <v>0</v>
      </c>
      <c r="M396" s="1">
        <v>1000000</v>
      </c>
      <c r="N396" s="1">
        <v>3171976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14888108</v>
      </c>
      <c r="W396" s="1">
        <v>1900000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2265697</v>
      </c>
      <c r="AF396" s="1">
        <v>1516881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4974478</v>
      </c>
      <c r="AM396" s="1">
        <v>0</v>
      </c>
      <c r="AN396" s="1">
        <v>0</v>
      </c>
      <c r="AO396" s="1">
        <v>69685366</v>
      </c>
      <c r="AP396" s="1">
        <v>16457537</v>
      </c>
      <c r="AQ396" s="1">
        <v>53227829</v>
      </c>
      <c r="AR396" s="1">
        <v>13633697</v>
      </c>
      <c r="AS396" s="1">
        <v>2045055</v>
      </c>
      <c r="AT396" s="1">
        <f t="shared" si="41"/>
        <v>85364118</v>
      </c>
    </row>
    <row r="397" spans="1:46" x14ac:dyDescent="0.2">
      <c r="A397" s="1" t="str">
        <f>"00456"</f>
        <v>00456</v>
      </c>
      <c r="B397" s="1" t="str">
        <f>"محمد"</f>
        <v>محمد</v>
      </c>
      <c r="C397" s="1" t="str">
        <f>"پرويني"</f>
        <v>پرويني</v>
      </c>
      <c r="D397" s="1" t="str">
        <f t="shared" si="42"/>
        <v>قراردادي بهره بردار</v>
      </c>
      <c r="E397" s="1" t="str">
        <f>"پروژه بهره برداري نيروگاه بوشهر"</f>
        <v>پروژه بهره برداري نيروگاه بوشهر</v>
      </c>
      <c r="F397" s="1">
        <v>17652393</v>
      </c>
      <c r="G397" s="1">
        <v>8900059</v>
      </c>
      <c r="H397" s="1">
        <v>0</v>
      </c>
      <c r="I397" s="1">
        <v>14240655</v>
      </c>
      <c r="J397" s="1">
        <v>0</v>
      </c>
      <c r="K397" s="1">
        <v>4620000</v>
      </c>
      <c r="L397" s="1">
        <v>0</v>
      </c>
      <c r="M397" s="1">
        <v>1000000</v>
      </c>
      <c r="N397" s="1">
        <v>2931224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1606000</v>
      </c>
      <c r="U397" s="1">
        <v>0</v>
      </c>
      <c r="V397" s="1">
        <v>11422227</v>
      </c>
      <c r="W397" s="1">
        <v>1900000</v>
      </c>
      <c r="X397" s="1">
        <v>2562444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2093731</v>
      </c>
      <c r="AF397" s="1">
        <v>1516881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12743853</v>
      </c>
      <c r="AM397" s="1">
        <v>0</v>
      </c>
      <c r="AN397" s="1">
        <v>0</v>
      </c>
      <c r="AO397" s="1">
        <v>83189467</v>
      </c>
      <c r="AP397" s="1">
        <v>24625907</v>
      </c>
      <c r="AQ397" s="1">
        <v>58563560</v>
      </c>
      <c r="AR397" s="1">
        <v>16013318</v>
      </c>
      <c r="AS397" s="1">
        <v>2401997</v>
      </c>
      <c r="AT397" s="1">
        <f t="shared" si="41"/>
        <v>101604782</v>
      </c>
    </row>
    <row r="398" spans="1:46" x14ac:dyDescent="0.2">
      <c r="A398" s="1" t="str">
        <f>"00457"</f>
        <v>00457</v>
      </c>
      <c r="B398" s="1" t="str">
        <f>"محمد امين"</f>
        <v>محمد امين</v>
      </c>
      <c r="C398" s="1" t="str">
        <f>"پريسوز"</f>
        <v>پريسوز</v>
      </c>
      <c r="D398" s="1" t="str">
        <f t="shared" si="42"/>
        <v>قراردادي بهره بردار</v>
      </c>
      <c r="E398" s="1" t="str">
        <f>"پروژه تعميرات نيروگاه بوشهر"</f>
        <v>پروژه تعميرات نيروگاه بوشهر</v>
      </c>
      <c r="F398" s="1">
        <v>13104568</v>
      </c>
      <c r="G398" s="1">
        <v>3806257</v>
      </c>
      <c r="H398" s="1">
        <v>0</v>
      </c>
      <c r="I398" s="1">
        <v>6030180</v>
      </c>
      <c r="J398" s="1">
        <v>0</v>
      </c>
      <c r="K398" s="1">
        <v>4620000</v>
      </c>
      <c r="L398" s="1">
        <v>0</v>
      </c>
      <c r="M398" s="1">
        <v>1000000</v>
      </c>
      <c r="N398" s="1">
        <v>2305567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6724240</v>
      </c>
      <c r="W398" s="1">
        <v>1900000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1646834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6148675</v>
      </c>
      <c r="AM398" s="1">
        <v>0</v>
      </c>
      <c r="AN398" s="1">
        <v>0</v>
      </c>
      <c r="AO398" s="1">
        <v>47286321</v>
      </c>
      <c r="AP398" s="1">
        <v>25670901</v>
      </c>
      <c r="AQ398" s="1">
        <v>21615420</v>
      </c>
      <c r="AR398" s="1">
        <v>9457264</v>
      </c>
      <c r="AS398" s="1">
        <v>1418590</v>
      </c>
      <c r="AT398" s="1">
        <f t="shared" si="41"/>
        <v>58162175</v>
      </c>
    </row>
    <row r="399" spans="1:46" x14ac:dyDescent="0.2">
      <c r="A399" s="1" t="str">
        <f>"00458"</f>
        <v>00458</v>
      </c>
      <c r="B399" s="1" t="str">
        <f>"سعيد"</f>
        <v>سعيد</v>
      </c>
      <c r="C399" s="1" t="str">
        <f>"پولادي"</f>
        <v>پولادي</v>
      </c>
      <c r="D399" s="1" t="str">
        <f t="shared" si="42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14324769</v>
      </c>
      <c r="G399" s="1">
        <v>6679283</v>
      </c>
      <c r="H399" s="1">
        <v>0</v>
      </c>
      <c r="I399" s="1">
        <v>11686524</v>
      </c>
      <c r="J399" s="1">
        <v>0</v>
      </c>
      <c r="K399" s="1">
        <v>4620000</v>
      </c>
      <c r="L399" s="1">
        <v>0</v>
      </c>
      <c r="M399" s="1">
        <v>1000000</v>
      </c>
      <c r="N399" s="1">
        <v>2732638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17861379</v>
      </c>
      <c r="W399" s="1">
        <v>1900000</v>
      </c>
      <c r="X399" s="1">
        <v>2079402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1951884</v>
      </c>
      <c r="AF399" s="1">
        <v>1516881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10602169</v>
      </c>
      <c r="AM399" s="1">
        <v>0</v>
      </c>
      <c r="AN399" s="1">
        <v>0</v>
      </c>
      <c r="AO399" s="1">
        <v>76954929</v>
      </c>
      <c r="AP399" s="1">
        <v>33596276</v>
      </c>
      <c r="AQ399" s="1">
        <v>43358653</v>
      </c>
      <c r="AR399" s="1">
        <v>15087610</v>
      </c>
      <c r="AS399" s="1">
        <v>2263141</v>
      </c>
      <c r="AT399" s="1">
        <f t="shared" si="41"/>
        <v>94305680</v>
      </c>
    </row>
    <row r="400" spans="1:46" x14ac:dyDescent="0.2">
      <c r="A400" s="1" t="str">
        <f>"00459"</f>
        <v>00459</v>
      </c>
      <c r="B400" s="1" t="str">
        <f>"بهنام"</f>
        <v>بهنام</v>
      </c>
      <c r="C400" s="1" t="str">
        <f>"تنگستاني"</f>
        <v>تنگستاني</v>
      </c>
      <c r="D400" s="1" t="str">
        <f t="shared" si="42"/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1">
        <v>14072843</v>
      </c>
      <c r="G400" s="1">
        <v>0</v>
      </c>
      <c r="H400" s="1">
        <v>0</v>
      </c>
      <c r="I400" s="1">
        <v>11372759</v>
      </c>
      <c r="J400" s="1">
        <v>0</v>
      </c>
      <c r="K400" s="1">
        <v>3465000</v>
      </c>
      <c r="L400" s="1">
        <v>0</v>
      </c>
      <c r="M400" s="1">
        <v>1000000</v>
      </c>
      <c r="N400" s="1">
        <v>2644463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16103882</v>
      </c>
      <c r="W400" s="1">
        <v>1900000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1888902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6620764</v>
      </c>
      <c r="AM400" s="1">
        <v>0</v>
      </c>
      <c r="AN400" s="1">
        <v>0</v>
      </c>
      <c r="AO400" s="1">
        <v>59068613</v>
      </c>
      <c r="AP400" s="1">
        <v>10083948</v>
      </c>
      <c r="AQ400" s="1">
        <v>48984665</v>
      </c>
      <c r="AR400" s="1">
        <v>11813723</v>
      </c>
      <c r="AS400" s="1">
        <v>1772058</v>
      </c>
      <c r="AT400" s="1">
        <f t="shared" si="41"/>
        <v>72654394</v>
      </c>
    </row>
    <row r="401" spans="1:46" x14ac:dyDescent="0.2">
      <c r="A401" s="1" t="str">
        <f>"00460"</f>
        <v>00460</v>
      </c>
      <c r="B401" s="1" t="str">
        <f>"مجيد"</f>
        <v>مجيد</v>
      </c>
      <c r="C401" s="1" t="str">
        <f>"جعفري"</f>
        <v>جعفري</v>
      </c>
      <c r="D401" s="1" t="str">
        <f t="shared" si="42"/>
        <v>قراردادي بهره بردار</v>
      </c>
      <c r="E401" s="1" t="str">
        <f>"پروژه تعميرات نيروگاه بوشهر"</f>
        <v>پروژه تعميرات نيروگاه بوشهر</v>
      </c>
      <c r="F401" s="1">
        <v>14061889</v>
      </c>
      <c r="G401" s="1">
        <v>-707010</v>
      </c>
      <c r="H401" s="1">
        <v>0</v>
      </c>
      <c r="I401" s="1">
        <v>11622334</v>
      </c>
      <c r="J401" s="1">
        <v>0</v>
      </c>
      <c r="K401" s="1">
        <v>4620000</v>
      </c>
      <c r="L401" s="1">
        <v>0</v>
      </c>
      <c r="M401" s="1">
        <v>1000000</v>
      </c>
      <c r="N401" s="1">
        <v>2640630</v>
      </c>
      <c r="O401" s="1">
        <v>0</v>
      </c>
      <c r="P401" s="1">
        <v>0</v>
      </c>
      <c r="Q401" s="1">
        <v>0</v>
      </c>
      <c r="R401" s="1">
        <v>11000000</v>
      </c>
      <c r="S401" s="1">
        <v>0</v>
      </c>
      <c r="T401" s="1">
        <v>0</v>
      </c>
      <c r="U401" s="1">
        <v>0</v>
      </c>
      <c r="V401" s="1">
        <v>7041939</v>
      </c>
      <c r="W401" s="1">
        <v>1900000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1886164</v>
      </c>
      <c r="AF401" s="1">
        <v>1516881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-10918021</v>
      </c>
      <c r="AM401" s="1">
        <v>0</v>
      </c>
      <c r="AN401" s="1">
        <v>0</v>
      </c>
      <c r="AO401" s="1">
        <v>45664806</v>
      </c>
      <c r="AP401" s="1">
        <v>33454415</v>
      </c>
      <c r="AQ401" s="1">
        <v>12210391</v>
      </c>
      <c r="AR401" s="1">
        <v>6629584</v>
      </c>
      <c r="AS401" s="1">
        <v>994438</v>
      </c>
      <c r="AT401" s="1">
        <f t="shared" si="41"/>
        <v>53288828</v>
      </c>
    </row>
    <row r="402" spans="1:46" x14ac:dyDescent="0.2">
      <c r="A402" s="1" t="str">
        <f>"00461"</f>
        <v>00461</v>
      </c>
      <c r="B402" s="1" t="str">
        <f>"علي اکبر"</f>
        <v>علي اکبر</v>
      </c>
      <c r="C402" s="1" t="str">
        <f>"جعفري"</f>
        <v>جعفري</v>
      </c>
      <c r="D402" s="1" t="str">
        <f t="shared" si="42"/>
        <v>قراردادي بهره بردار</v>
      </c>
      <c r="E402" s="1" t="str">
        <f>"پروژه بهره برداري نيروگاه بوشهر"</f>
        <v>پروژه بهره برداري نيروگاه بوشهر</v>
      </c>
      <c r="F402" s="1">
        <v>14662132</v>
      </c>
      <c r="G402" s="1">
        <v>10072212</v>
      </c>
      <c r="H402" s="1">
        <v>0</v>
      </c>
      <c r="I402" s="1">
        <v>12178100</v>
      </c>
      <c r="J402" s="1">
        <v>0</v>
      </c>
      <c r="K402" s="1">
        <v>4620000</v>
      </c>
      <c r="L402" s="1">
        <v>0</v>
      </c>
      <c r="M402" s="1">
        <v>1000000</v>
      </c>
      <c r="N402" s="1">
        <v>2850715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1606000</v>
      </c>
      <c r="U402" s="1">
        <v>0</v>
      </c>
      <c r="V402" s="1">
        <v>9885473</v>
      </c>
      <c r="W402" s="1">
        <v>1900000</v>
      </c>
      <c r="X402" s="1">
        <v>2128374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2036225</v>
      </c>
      <c r="AF402" s="1">
        <v>1516881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11253148</v>
      </c>
      <c r="AM402" s="1">
        <v>0</v>
      </c>
      <c r="AN402" s="1">
        <v>0</v>
      </c>
      <c r="AO402" s="1">
        <v>75709260</v>
      </c>
      <c r="AP402" s="1">
        <v>19101651</v>
      </c>
      <c r="AQ402" s="1">
        <v>56607609</v>
      </c>
      <c r="AR402" s="1">
        <v>14517276</v>
      </c>
      <c r="AS402" s="1">
        <v>2177591</v>
      </c>
      <c r="AT402" s="1">
        <f t="shared" si="41"/>
        <v>92404127</v>
      </c>
    </row>
    <row r="403" spans="1:46" x14ac:dyDescent="0.2">
      <c r="A403" s="1" t="str">
        <f>"00462"</f>
        <v>00462</v>
      </c>
      <c r="B403" s="1" t="str">
        <f>"سلمان"</f>
        <v>سلمان</v>
      </c>
      <c r="C403" s="1" t="str">
        <f>"حسين زاده"</f>
        <v>حسين زاده</v>
      </c>
      <c r="D403" s="1" t="str">
        <f t="shared" si="42"/>
        <v>قراردادي بهره بردار</v>
      </c>
      <c r="E403" s="1" t="str">
        <f>"پروژه بهره برداري نيروگاه بوشهر"</f>
        <v>پروژه بهره برداري نيروگاه بوشهر</v>
      </c>
      <c r="F403" s="1">
        <v>16167120</v>
      </c>
      <c r="G403" s="1">
        <v>3149904</v>
      </c>
      <c r="H403" s="1">
        <v>0</v>
      </c>
      <c r="I403" s="1">
        <v>13760342</v>
      </c>
      <c r="J403" s="1">
        <v>0</v>
      </c>
      <c r="K403" s="1">
        <v>4620000</v>
      </c>
      <c r="L403" s="1">
        <v>0</v>
      </c>
      <c r="M403" s="1">
        <v>1000000</v>
      </c>
      <c r="N403" s="1">
        <v>3135939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16268940</v>
      </c>
      <c r="W403" s="1">
        <v>1900000</v>
      </c>
      <c r="X403" s="1">
        <v>2346840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2239957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12197194</v>
      </c>
      <c r="AM403" s="1">
        <v>0</v>
      </c>
      <c r="AN403" s="1">
        <v>0</v>
      </c>
      <c r="AO403" s="1">
        <v>76786236</v>
      </c>
      <c r="AP403" s="1">
        <v>15256381</v>
      </c>
      <c r="AQ403" s="1">
        <v>61529855</v>
      </c>
      <c r="AR403" s="1">
        <v>15357247</v>
      </c>
      <c r="AS403" s="1">
        <v>2303587</v>
      </c>
      <c r="AT403" s="1">
        <f t="shared" si="41"/>
        <v>94447070</v>
      </c>
    </row>
    <row r="404" spans="1:46" x14ac:dyDescent="0.2">
      <c r="A404" s="1" t="str">
        <f>"00463"</f>
        <v>00463</v>
      </c>
      <c r="B404" s="1" t="str">
        <f>"حامد"</f>
        <v>حامد</v>
      </c>
      <c r="C404" s="1" t="str">
        <f>"حسيني فانيد"</f>
        <v>حسيني فانيد</v>
      </c>
      <c r="D404" s="1" t="str">
        <f t="shared" si="42"/>
        <v>قراردادي بهره بردار</v>
      </c>
      <c r="E404" s="1" t="str">
        <f>"پروژه تعميرات نيروگاه بوشهر"</f>
        <v>پروژه تعميرات نيروگاه بوشهر</v>
      </c>
      <c r="F404" s="1">
        <v>14405824</v>
      </c>
      <c r="G404" s="1">
        <v>5913432</v>
      </c>
      <c r="H404" s="1">
        <v>0</v>
      </c>
      <c r="I404" s="1">
        <v>12058035</v>
      </c>
      <c r="J404" s="1">
        <v>0</v>
      </c>
      <c r="K404" s="1">
        <v>4620000</v>
      </c>
      <c r="L404" s="1">
        <v>0</v>
      </c>
      <c r="M404" s="1">
        <v>1000000</v>
      </c>
      <c r="N404" s="1">
        <v>2761007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1606000</v>
      </c>
      <c r="U404" s="1">
        <v>0</v>
      </c>
      <c r="V404" s="1">
        <v>15266919</v>
      </c>
      <c r="W404" s="1">
        <v>1900000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1972148</v>
      </c>
      <c r="AF404" s="1">
        <v>1516881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-10978573</v>
      </c>
      <c r="AM404" s="1">
        <v>0</v>
      </c>
      <c r="AN404" s="1">
        <v>0</v>
      </c>
      <c r="AO404" s="1">
        <v>52041673</v>
      </c>
      <c r="AP404" s="1">
        <v>29481691</v>
      </c>
      <c r="AQ404" s="1">
        <v>22559982</v>
      </c>
      <c r="AR404" s="1">
        <v>9783758</v>
      </c>
      <c r="AS404" s="1">
        <v>1467564</v>
      </c>
      <c r="AT404" s="1">
        <f t="shared" si="41"/>
        <v>63292995</v>
      </c>
    </row>
    <row r="405" spans="1:46" x14ac:dyDescent="0.2">
      <c r="A405" s="1" t="str">
        <f>"00465"</f>
        <v>00465</v>
      </c>
      <c r="B405" s="1" t="str">
        <f>"سيد محمد هادي"</f>
        <v>سيد محمد هادي</v>
      </c>
      <c r="C405" s="1" t="str">
        <f>"خرازيان"</f>
        <v>خرازيان</v>
      </c>
      <c r="D405" s="1" t="str">
        <f t="shared" si="42"/>
        <v>قراردادي بهره بردار</v>
      </c>
      <c r="E405" s="1" t="str">
        <f t="shared" ref="E405:E422" si="43">"پروژه بهره برداري نيروگاه بوشهر"</f>
        <v>پروژه بهره برداري نيروگاه بوشهر</v>
      </c>
      <c r="F405" s="1">
        <v>14692801</v>
      </c>
      <c r="G405" s="1">
        <v>4699624</v>
      </c>
      <c r="H405" s="1">
        <v>0</v>
      </c>
      <c r="I405" s="1">
        <v>11470153</v>
      </c>
      <c r="J405" s="1">
        <v>0</v>
      </c>
      <c r="K405" s="1">
        <v>4620000</v>
      </c>
      <c r="L405" s="1">
        <v>0</v>
      </c>
      <c r="M405" s="1">
        <v>1000000</v>
      </c>
      <c r="N405" s="1">
        <v>2861449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1606000</v>
      </c>
      <c r="U405" s="1">
        <v>0</v>
      </c>
      <c r="V405" s="1">
        <v>9579794</v>
      </c>
      <c r="W405" s="1">
        <v>1900000</v>
      </c>
      <c r="X405" s="1">
        <v>1807548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2043892</v>
      </c>
      <c r="AF405" s="1">
        <v>1516881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10582979</v>
      </c>
      <c r="AM405" s="1">
        <v>0</v>
      </c>
      <c r="AN405" s="1">
        <v>0</v>
      </c>
      <c r="AO405" s="1">
        <v>68381121</v>
      </c>
      <c r="AP405" s="1">
        <v>11972146</v>
      </c>
      <c r="AQ405" s="1">
        <v>56408975</v>
      </c>
      <c r="AR405" s="1">
        <v>13051648</v>
      </c>
      <c r="AS405" s="1">
        <v>1957747</v>
      </c>
      <c r="AT405" s="1">
        <f t="shared" si="41"/>
        <v>83390516</v>
      </c>
    </row>
    <row r="406" spans="1:46" x14ac:dyDescent="0.2">
      <c r="A406" s="1" t="str">
        <f>"00466"</f>
        <v>00466</v>
      </c>
      <c r="B406" s="1" t="str">
        <f>"عباس"</f>
        <v>عباس</v>
      </c>
      <c r="C406" s="1" t="str">
        <f>"خوش صوت"</f>
        <v>خوش صوت</v>
      </c>
      <c r="D406" s="1" t="str">
        <f t="shared" si="42"/>
        <v>قراردادي بهره بردار</v>
      </c>
      <c r="E406" s="1" t="str">
        <f t="shared" si="43"/>
        <v>پروژه بهره برداري نيروگاه بوشهر</v>
      </c>
      <c r="F406" s="1">
        <v>14351057</v>
      </c>
      <c r="G406" s="1">
        <v>6941361</v>
      </c>
      <c r="H406" s="1">
        <v>0</v>
      </c>
      <c r="I406" s="1">
        <v>11463669</v>
      </c>
      <c r="J406" s="1">
        <v>0</v>
      </c>
      <c r="K406" s="1">
        <v>3465000</v>
      </c>
      <c r="L406" s="1">
        <v>0</v>
      </c>
      <c r="M406" s="1">
        <v>1000000</v>
      </c>
      <c r="N406" s="1">
        <v>2741838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8361002</v>
      </c>
      <c r="W406" s="1">
        <v>1900000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1958456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5837163</v>
      </c>
      <c r="AM406" s="1">
        <v>0</v>
      </c>
      <c r="AN406" s="1">
        <v>0</v>
      </c>
      <c r="AO406" s="1">
        <v>58019546</v>
      </c>
      <c r="AP406" s="1">
        <v>31957337</v>
      </c>
      <c r="AQ406" s="1">
        <v>26062209</v>
      </c>
      <c r="AR406" s="1">
        <v>11603909</v>
      </c>
      <c r="AS406" s="1">
        <v>1740586</v>
      </c>
      <c r="AT406" s="1">
        <f t="shared" si="41"/>
        <v>71364041</v>
      </c>
    </row>
    <row r="407" spans="1:46" x14ac:dyDescent="0.2">
      <c r="A407" s="1" t="str">
        <f>"00467"</f>
        <v>00467</v>
      </c>
      <c r="B407" s="1" t="str">
        <f>"سعيد"</f>
        <v>سعيد</v>
      </c>
      <c r="C407" s="1" t="str">
        <f>"داروئي"</f>
        <v>داروئي</v>
      </c>
      <c r="D407" s="1" t="str">
        <f t="shared" si="42"/>
        <v>قراردادي بهره بردار</v>
      </c>
      <c r="E407" s="1" t="str">
        <f t="shared" si="43"/>
        <v>پروژه بهره برداري نيروگاه بوشهر</v>
      </c>
      <c r="F407" s="1">
        <v>16791460</v>
      </c>
      <c r="G407" s="1">
        <v>388895</v>
      </c>
      <c r="H407" s="1">
        <v>0</v>
      </c>
      <c r="I407" s="1">
        <v>14372609</v>
      </c>
      <c r="J407" s="1">
        <v>0</v>
      </c>
      <c r="K407" s="1">
        <v>4620000</v>
      </c>
      <c r="L407" s="1">
        <v>0</v>
      </c>
      <c r="M407" s="1">
        <v>1000000</v>
      </c>
      <c r="N407" s="1">
        <v>3354458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10305482</v>
      </c>
      <c r="W407" s="1">
        <v>1900000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2396042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7891877</v>
      </c>
      <c r="AM407" s="1">
        <v>0</v>
      </c>
      <c r="AN407" s="1">
        <v>0</v>
      </c>
      <c r="AO407" s="1">
        <v>63020823</v>
      </c>
      <c r="AP407" s="1">
        <v>29616877</v>
      </c>
      <c r="AQ407" s="1">
        <v>33403946</v>
      </c>
      <c r="AR407" s="1">
        <v>12604165</v>
      </c>
      <c r="AS407" s="1">
        <v>1890625</v>
      </c>
      <c r="AT407" s="1">
        <f t="shared" si="41"/>
        <v>77515613</v>
      </c>
    </row>
    <row r="408" spans="1:46" x14ac:dyDescent="0.2">
      <c r="A408" s="1" t="str">
        <f>"00469"</f>
        <v>00469</v>
      </c>
      <c r="B408" s="1" t="str">
        <f>"سعيد"</f>
        <v>سعيد</v>
      </c>
      <c r="C408" s="1" t="str">
        <f>"رستمي خليل اللهي"</f>
        <v>رستمي خليل اللهي</v>
      </c>
      <c r="D408" s="1" t="str">
        <f t="shared" si="42"/>
        <v>قراردادي بهره بردار</v>
      </c>
      <c r="E408" s="1" t="str">
        <f t="shared" si="43"/>
        <v>پروژه بهره برداري نيروگاه بوشهر</v>
      </c>
      <c r="F408" s="1">
        <v>14123228</v>
      </c>
      <c r="G408" s="1">
        <v>5898610</v>
      </c>
      <c r="H408" s="1">
        <v>0</v>
      </c>
      <c r="I408" s="1">
        <v>11097485</v>
      </c>
      <c r="J408" s="1">
        <v>0</v>
      </c>
      <c r="K408" s="1">
        <v>3465000</v>
      </c>
      <c r="L408" s="1">
        <v>0</v>
      </c>
      <c r="M408" s="1">
        <v>1000000</v>
      </c>
      <c r="N408" s="1">
        <v>2662098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1606000</v>
      </c>
      <c r="U408" s="1">
        <v>0</v>
      </c>
      <c r="V408" s="1">
        <v>9194690</v>
      </c>
      <c r="W408" s="1">
        <v>1900000</v>
      </c>
      <c r="X408" s="1">
        <v>2050146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1901499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10192603</v>
      </c>
      <c r="AM408" s="1">
        <v>0</v>
      </c>
      <c r="AN408" s="1">
        <v>0</v>
      </c>
      <c r="AO408" s="1">
        <v>65091359</v>
      </c>
      <c r="AP408" s="1">
        <v>27173605</v>
      </c>
      <c r="AQ408" s="1">
        <v>37917754</v>
      </c>
      <c r="AR408" s="1">
        <v>12697072</v>
      </c>
      <c r="AS408" s="1">
        <v>1904561</v>
      </c>
      <c r="AT408" s="1">
        <f t="shared" si="41"/>
        <v>79692992</v>
      </c>
    </row>
    <row r="409" spans="1:46" x14ac:dyDescent="0.2">
      <c r="A409" s="1" t="str">
        <f>"00470"</f>
        <v>00470</v>
      </c>
      <c r="B409" s="1" t="str">
        <f>"غلامحسين"</f>
        <v>غلامحسين</v>
      </c>
      <c r="C409" s="1" t="str">
        <f>"رضازاده"</f>
        <v>رضازاده</v>
      </c>
      <c r="D409" s="1" t="str">
        <f t="shared" si="42"/>
        <v>قراردادي بهره بردار</v>
      </c>
      <c r="E409" s="1" t="str">
        <f t="shared" si="43"/>
        <v>پروژه بهره برداري نيروگاه بوشهر</v>
      </c>
      <c r="F409" s="1">
        <v>14808907</v>
      </c>
      <c r="G409" s="1">
        <v>11291310</v>
      </c>
      <c r="H409" s="1">
        <v>0</v>
      </c>
      <c r="I409" s="1">
        <v>12212507</v>
      </c>
      <c r="J409" s="1">
        <v>0</v>
      </c>
      <c r="K409" s="1">
        <v>3465000</v>
      </c>
      <c r="L409" s="1">
        <v>0</v>
      </c>
      <c r="M409" s="1">
        <v>1000000</v>
      </c>
      <c r="N409" s="1">
        <v>2902086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1606000</v>
      </c>
      <c r="U409" s="1">
        <v>0</v>
      </c>
      <c r="V409" s="1">
        <v>9973772</v>
      </c>
      <c r="W409" s="1">
        <v>1900000</v>
      </c>
      <c r="X409" s="1">
        <v>2149680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2072918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11367807</v>
      </c>
      <c r="AM409" s="1">
        <v>0</v>
      </c>
      <c r="AN409" s="1">
        <v>0</v>
      </c>
      <c r="AO409" s="1">
        <v>74749987</v>
      </c>
      <c r="AP409" s="1">
        <v>30563682</v>
      </c>
      <c r="AQ409" s="1">
        <v>44186305</v>
      </c>
      <c r="AR409" s="1">
        <v>14628797</v>
      </c>
      <c r="AS409" s="1">
        <v>2194320</v>
      </c>
      <c r="AT409" s="1">
        <f t="shared" si="41"/>
        <v>91573104</v>
      </c>
    </row>
    <row r="410" spans="1:46" x14ac:dyDescent="0.2">
      <c r="A410" s="1" t="str">
        <f>"00471"</f>
        <v>00471</v>
      </c>
      <c r="B410" s="1" t="str">
        <f>"سالار"</f>
        <v>سالار</v>
      </c>
      <c r="C410" s="1" t="str">
        <f>"رضائي شورباخورلو"</f>
        <v>رضائي شورباخورلو</v>
      </c>
      <c r="D410" s="1" t="str">
        <f t="shared" si="42"/>
        <v>قراردادي بهره بردار</v>
      </c>
      <c r="E410" s="1" t="str">
        <f t="shared" si="43"/>
        <v>پروژه بهره برداري نيروگاه بوشهر</v>
      </c>
      <c r="F410" s="1">
        <v>14265621</v>
      </c>
      <c r="G410" s="1">
        <v>6971526</v>
      </c>
      <c r="H410" s="1">
        <v>0</v>
      </c>
      <c r="I410" s="1">
        <v>12634166</v>
      </c>
      <c r="J410" s="1">
        <v>0</v>
      </c>
      <c r="K410" s="1">
        <v>4620000</v>
      </c>
      <c r="L410" s="1">
        <v>0</v>
      </c>
      <c r="M410" s="1">
        <v>1000000</v>
      </c>
      <c r="N410" s="1">
        <v>2711936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15383535</v>
      </c>
      <c r="W410" s="1">
        <v>1900000</v>
      </c>
      <c r="X410" s="1">
        <v>2070816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1937097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11183222</v>
      </c>
      <c r="AM410" s="1">
        <v>0</v>
      </c>
      <c r="AN410" s="1">
        <v>0</v>
      </c>
      <c r="AO410" s="1">
        <v>74677919</v>
      </c>
      <c r="AP410" s="1">
        <v>33657552</v>
      </c>
      <c r="AQ410" s="1">
        <v>41020367</v>
      </c>
      <c r="AR410" s="1">
        <v>14935584</v>
      </c>
      <c r="AS410" s="1">
        <v>2240338</v>
      </c>
      <c r="AT410" s="1">
        <f t="shared" si="41"/>
        <v>91853841</v>
      </c>
    </row>
    <row r="411" spans="1:46" x14ac:dyDescent="0.2">
      <c r="A411" s="1" t="str">
        <f>"00472"</f>
        <v>00472</v>
      </c>
      <c r="B411" s="1" t="str">
        <f>"حسن"</f>
        <v>حسن</v>
      </c>
      <c r="C411" s="1" t="str">
        <f>"رهبان"</f>
        <v>رهبان</v>
      </c>
      <c r="D411" s="1" t="str">
        <f t="shared" si="42"/>
        <v>قراردادي بهره بردار</v>
      </c>
      <c r="E411" s="1" t="str">
        <f t="shared" si="43"/>
        <v>پروژه بهره برداري نيروگاه بوشهر</v>
      </c>
      <c r="F411" s="1">
        <v>12924933</v>
      </c>
      <c r="G411" s="1">
        <v>12047402</v>
      </c>
      <c r="H411" s="1">
        <v>0</v>
      </c>
      <c r="I411" s="1">
        <v>10140858</v>
      </c>
      <c r="J411" s="1">
        <v>0</v>
      </c>
      <c r="K411" s="1">
        <v>4620000</v>
      </c>
      <c r="L411" s="1">
        <v>0</v>
      </c>
      <c r="M411" s="1">
        <v>1000000</v>
      </c>
      <c r="N411" s="1">
        <v>2242695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1606000</v>
      </c>
      <c r="U411" s="1">
        <v>0</v>
      </c>
      <c r="V411" s="1">
        <v>24674821</v>
      </c>
      <c r="W411" s="1">
        <v>1900000</v>
      </c>
      <c r="X411" s="1">
        <v>1876200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1601925</v>
      </c>
      <c r="AF411" s="1">
        <v>1516881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9781327</v>
      </c>
      <c r="AM411" s="1">
        <v>0</v>
      </c>
      <c r="AN411" s="1">
        <v>0</v>
      </c>
      <c r="AO411" s="1">
        <v>85933042</v>
      </c>
      <c r="AP411" s="1">
        <v>30743140</v>
      </c>
      <c r="AQ411" s="1">
        <v>55189902</v>
      </c>
      <c r="AR411" s="1">
        <v>16562031</v>
      </c>
      <c r="AS411" s="1">
        <v>2484305</v>
      </c>
      <c r="AT411" s="1">
        <f t="shared" si="41"/>
        <v>104979378</v>
      </c>
    </row>
    <row r="412" spans="1:46" x14ac:dyDescent="0.2">
      <c r="A412" s="1" t="str">
        <f>"00473"</f>
        <v>00473</v>
      </c>
      <c r="B412" s="1" t="str">
        <f>"مجيد"</f>
        <v>مجيد</v>
      </c>
      <c r="C412" s="1" t="str">
        <f>"رياحين"</f>
        <v>رياحين</v>
      </c>
      <c r="D412" s="1" t="str">
        <f t="shared" si="42"/>
        <v>قراردادي بهره بردار</v>
      </c>
      <c r="E412" s="1" t="str">
        <f t="shared" si="43"/>
        <v>پروژه بهره برداري نيروگاه بوشهر</v>
      </c>
      <c r="F412" s="1">
        <v>14508785</v>
      </c>
      <c r="G412" s="1">
        <v>20727509</v>
      </c>
      <c r="H412" s="1">
        <v>0</v>
      </c>
      <c r="I412" s="1">
        <v>12107130</v>
      </c>
      <c r="J412" s="1">
        <v>0</v>
      </c>
      <c r="K412" s="1">
        <v>4620000</v>
      </c>
      <c r="L412" s="1">
        <v>0</v>
      </c>
      <c r="M412" s="1">
        <v>1000000</v>
      </c>
      <c r="N412" s="1">
        <v>2797043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1606000</v>
      </c>
      <c r="U412" s="1">
        <v>0</v>
      </c>
      <c r="V412" s="1">
        <v>13879815</v>
      </c>
      <c r="W412" s="1">
        <v>1900000</v>
      </c>
      <c r="X412" s="1">
        <v>2106114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1997888</v>
      </c>
      <c r="AF412" s="1">
        <v>1516881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12305106</v>
      </c>
      <c r="AM412" s="1">
        <v>0</v>
      </c>
      <c r="AN412" s="1">
        <v>0</v>
      </c>
      <c r="AO412" s="1">
        <v>91072271</v>
      </c>
      <c r="AP412" s="1">
        <v>33810727</v>
      </c>
      <c r="AQ412" s="1">
        <v>57261544</v>
      </c>
      <c r="AR412" s="1">
        <v>17589878</v>
      </c>
      <c r="AS412" s="1">
        <v>2638482</v>
      </c>
      <c r="AT412" s="1">
        <f t="shared" si="41"/>
        <v>111300631</v>
      </c>
    </row>
    <row r="413" spans="1:46" x14ac:dyDescent="0.2">
      <c r="A413" s="1" t="str">
        <f>"00474"</f>
        <v>00474</v>
      </c>
      <c r="B413" s="1" t="str">
        <f>"سيدمجتبي"</f>
        <v>سيدمجتبي</v>
      </c>
      <c r="C413" s="1" t="str">
        <f>"سادات حسيني گروه"</f>
        <v>سادات حسيني گروه</v>
      </c>
      <c r="D413" s="1" t="str">
        <f t="shared" si="42"/>
        <v>قراردادي بهره بردار</v>
      </c>
      <c r="E413" s="1" t="str">
        <f t="shared" si="43"/>
        <v>پروژه بهره برداري نيروگاه بوشهر</v>
      </c>
      <c r="F413" s="1">
        <v>14386108</v>
      </c>
      <c r="G413" s="1">
        <v>4303256</v>
      </c>
      <c r="H413" s="1">
        <v>0</v>
      </c>
      <c r="I413" s="1">
        <v>11523482</v>
      </c>
      <c r="J413" s="1">
        <v>0</v>
      </c>
      <c r="K413" s="1">
        <v>4620000</v>
      </c>
      <c r="L413" s="1">
        <v>0</v>
      </c>
      <c r="M413" s="1">
        <v>1000000</v>
      </c>
      <c r="N413" s="1">
        <v>2754106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1606000</v>
      </c>
      <c r="U413" s="1">
        <v>0</v>
      </c>
      <c r="V413" s="1">
        <v>9502816</v>
      </c>
      <c r="W413" s="1">
        <v>1900000</v>
      </c>
      <c r="X413" s="1">
        <v>2088306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1967219</v>
      </c>
      <c r="AF413" s="1">
        <v>1516881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10685677</v>
      </c>
      <c r="AM413" s="1">
        <v>0</v>
      </c>
      <c r="AN413" s="1">
        <v>0</v>
      </c>
      <c r="AO413" s="1">
        <v>67853851</v>
      </c>
      <c r="AP413" s="1">
        <v>12145716</v>
      </c>
      <c r="AQ413" s="1">
        <v>55708135</v>
      </c>
      <c r="AR413" s="1">
        <v>12946194</v>
      </c>
      <c r="AS413" s="1">
        <v>1941929</v>
      </c>
      <c r="AT413" s="1">
        <f t="shared" si="41"/>
        <v>82741974</v>
      </c>
    </row>
    <row r="414" spans="1:46" x14ac:dyDescent="0.2">
      <c r="A414" s="1" t="str">
        <f>"00475"</f>
        <v>00475</v>
      </c>
      <c r="B414" s="1" t="str">
        <f>"عليرضا"</f>
        <v>عليرضا</v>
      </c>
      <c r="C414" s="1" t="str">
        <f>"سترگ"</f>
        <v>سترگ</v>
      </c>
      <c r="D414" s="1" t="str">
        <f t="shared" si="42"/>
        <v>قراردادي بهره بردار</v>
      </c>
      <c r="E414" s="1" t="str">
        <f t="shared" si="43"/>
        <v>پروژه بهره برداري نيروگاه بوشهر</v>
      </c>
      <c r="F414" s="1">
        <v>18132148</v>
      </c>
      <c r="G414" s="1">
        <v>8141113</v>
      </c>
      <c r="H414" s="1">
        <v>0</v>
      </c>
      <c r="I414" s="1">
        <v>14071502</v>
      </c>
      <c r="J414" s="1">
        <v>0</v>
      </c>
      <c r="K414" s="1">
        <v>5500000</v>
      </c>
      <c r="L414" s="1">
        <v>0</v>
      </c>
      <c r="M414" s="1">
        <v>1000000</v>
      </c>
      <c r="N414" s="1">
        <v>2987960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1606000</v>
      </c>
      <c r="U414" s="1">
        <v>0</v>
      </c>
      <c r="V414" s="1">
        <v>20489907</v>
      </c>
      <c r="W414" s="1">
        <v>1900000</v>
      </c>
      <c r="X414" s="1">
        <v>2632086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2134257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10049640</v>
      </c>
      <c r="AM414" s="1">
        <v>0</v>
      </c>
      <c r="AN414" s="1">
        <v>0</v>
      </c>
      <c r="AO414" s="1">
        <v>88644613</v>
      </c>
      <c r="AP414" s="1">
        <v>16864254</v>
      </c>
      <c r="AQ414" s="1">
        <v>71780359</v>
      </c>
      <c r="AR414" s="1">
        <v>17407723</v>
      </c>
      <c r="AS414" s="1">
        <v>2611158</v>
      </c>
      <c r="AT414" s="1">
        <f t="shared" si="41"/>
        <v>108663494</v>
      </c>
    </row>
    <row r="415" spans="1:46" x14ac:dyDescent="0.2">
      <c r="A415" s="1" t="str">
        <f>"00476"</f>
        <v>00476</v>
      </c>
      <c r="B415" s="1" t="str">
        <f>"ابراهيم"</f>
        <v>ابراهيم</v>
      </c>
      <c r="C415" s="1" t="str">
        <f>"سملي"</f>
        <v>سملي</v>
      </c>
      <c r="D415" s="1" t="str">
        <f t="shared" si="42"/>
        <v>قراردادي بهره بردار</v>
      </c>
      <c r="E415" s="1" t="str">
        <f t="shared" si="43"/>
        <v>پروژه بهره برداري نيروگاه بوشهر</v>
      </c>
      <c r="F415" s="1">
        <v>14469353</v>
      </c>
      <c r="G415" s="1">
        <v>4304903</v>
      </c>
      <c r="H415" s="1">
        <v>0</v>
      </c>
      <c r="I415" s="1">
        <v>11367805</v>
      </c>
      <c r="J415" s="1">
        <v>0</v>
      </c>
      <c r="K415" s="1">
        <v>4620000</v>
      </c>
      <c r="L415" s="1">
        <v>0</v>
      </c>
      <c r="M415" s="1">
        <v>1000000</v>
      </c>
      <c r="N415" s="1">
        <v>2783242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1606000</v>
      </c>
      <c r="U415" s="1">
        <v>0</v>
      </c>
      <c r="V415" s="1">
        <v>9506453</v>
      </c>
      <c r="W415" s="1">
        <v>1900000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1988030</v>
      </c>
      <c r="AF415" s="1">
        <v>1516881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10723971</v>
      </c>
      <c r="AM415" s="1">
        <v>0</v>
      </c>
      <c r="AN415" s="1">
        <v>0</v>
      </c>
      <c r="AO415" s="1">
        <v>65786638</v>
      </c>
      <c r="AP415" s="1">
        <v>11095480</v>
      </c>
      <c r="AQ415" s="1">
        <v>54691158</v>
      </c>
      <c r="AR415" s="1">
        <v>12532751</v>
      </c>
      <c r="AS415" s="1">
        <v>1879913</v>
      </c>
      <c r="AT415" s="1">
        <f t="shared" si="41"/>
        <v>80199302</v>
      </c>
    </row>
    <row r="416" spans="1:46" x14ac:dyDescent="0.2">
      <c r="A416" s="1" t="str">
        <f>"00477"</f>
        <v>00477</v>
      </c>
      <c r="B416" s="1" t="str">
        <f>"احسان"</f>
        <v>احسان</v>
      </c>
      <c r="C416" s="1" t="str">
        <f>"سيفي علمي"</f>
        <v>سيفي علمي</v>
      </c>
      <c r="D416" s="1" t="str">
        <f t="shared" si="42"/>
        <v>قراردادي بهره بردار</v>
      </c>
      <c r="E416" s="1" t="str">
        <f t="shared" si="43"/>
        <v>پروژه بهره برداري نيروگاه بوشهر</v>
      </c>
      <c r="F416" s="1">
        <v>13908543</v>
      </c>
      <c r="G416" s="1">
        <v>7780270</v>
      </c>
      <c r="H416" s="1">
        <v>0</v>
      </c>
      <c r="I416" s="1">
        <v>10756103</v>
      </c>
      <c r="J416" s="1">
        <v>0</v>
      </c>
      <c r="K416" s="1">
        <v>3465000</v>
      </c>
      <c r="L416" s="1">
        <v>0</v>
      </c>
      <c r="M416" s="1">
        <v>1000000</v>
      </c>
      <c r="N416" s="1">
        <v>2586958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13450248</v>
      </c>
      <c r="W416" s="1">
        <v>1900000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1847827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5388383</v>
      </c>
      <c r="AM416" s="1">
        <v>0</v>
      </c>
      <c r="AN416" s="1">
        <v>0</v>
      </c>
      <c r="AO416" s="1">
        <v>62083332</v>
      </c>
      <c r="AP416" s="1">
        <v>25121855</v>
      </c>
      <c r="AQ416" s="1">
        <v>36961477</v>
      </c>
      <c r="AR416" s="1">
        <v>12416666</v>
      </c>
      <c r="AS416" s="1">
        <v>1862500</v>
      </c>
      <c r="AT416" s="1">
        <f t="shared" si="41"/>
        <v>76362498</v>
      </c>
    </row>
    <row r="417" spans="1:46" x14ac:dyDescent="0.2">
      <c r="A417" s="1" t="str">
        <f>"00478"</f>
        <v>00478</v>
      </c>
      <c r="B417" s="1" t="str">
        <f>"حامد"</f>
        <v>حامد</v>
      </c>
      <c r="C417" s="1" t="str">
        <f>"شاد"</f>
        <v>شاد</v>
      </c>
      <c r="D417" s="1" t="str">
        <f t="shared" si="42"/>
        <v>قراردادي بهره بردار</v>
      </c>
      <c r="E417" s="1" t="str">
        <f t="shared" si="43"/>
        <v>پروژه بهره برداري نيروگاه بوشهر</v>
      </c>
      <c r="F417" s="1">
        <v>14508785</v>
      </c>
      <c r="G417" s="1">
        <v>4894335</v>
      </c>
      <c r="H417" s="1">
        <v>0</v>
      </c>
      <c r="I417" s="1">
        <v>12263875</v>
      </c>
      <c r="J417" s="1">
        <v>0</v>
      </c>
      <c r="K417" s="1">
        <v>4620000</v>
      </c>
      <c r="L417" s="1">
        <v>0</v>
      </c>
      <c r="M417" s="1">
        <v>1000000</v>
      </c>
      <c r="N417" s="1">
        <v>2797043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1606000</v>
      </c>
      <c r="U417" s="1">
        <v>0</v>
      </c>
      <c r="V417" s="1">
        <v>14745935</v>
      </c>
      <c r="W417" s="1">
        <v>1900000</v>
      </c>
      <c r="X417" s="1">
        <v>2106114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1997888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11486235</v>
      </c>
      <c r="AM417" s="1">
        <v>0</v>
      </c>
      <c r="AN417" s="1">
        <v>0</v>
      </c>
      <c r="AO417" s="1">
        <v>73926210</v>
      </c>
      <c r="AP417" s="1">
        <v>12305899</v>
      </c>
      <c r="AQ417" s="1">
        <v>61620311</v>
      </c>
      <c r="AR417" s="1">
        <v>14464042</v>
      </c>
      <c r="AS417" s="1">
        <v>2169606</v>
      </c>
      <c r="AT417" s="1">
        <f t="shared" si="41"/>
        <v>90559858</v>
      </c>
    </row>
    <row r="418" spans="1:46" x14ac:dyDescent="0.2">
      <c r="A418" s="1" t="str">
        <f>"00479"</f>
        <v>00479</v>
      </c>
      <c r="B418" s="1" t="str">
        <f>"صابر"</f>
        <v>صابر</v>
      </c>
      <c r="C418" s="1" t="str">
        <f>"شباني"</f>
        <v>شباني</v>
      </c>
      <c r="D418" s="1" t="str">
        <f t="shared" si="42"/>
        <v>قراردادي بهره بردار</v>
      </c>
      <c r="E418" s="1" t="str">
        <f t="shared" si="43"/>
        <v>پروژه بهره برداري نيروگاه بوشهر</v>
      </c>
      <c r="F418" s="1">
        <v>14158279</v>
      </c>
      <c r="G418" s="1">
        <v>7970757</v>
      </c>
      <c r="H418" s="1">
        <v>0</v>
      </c>
      <c r="I418" s="1">
        <v>11538036</v>
      </c>
      <c r="J418" s="1">
        <v>0</v>
      </c>
      <c r="K418" s="1">
        <v>0</v>
      </c>
      <c r="L418" s="1">
        <v>0</v>
      </c>
      <c r="M418" s="1">
        <v>1000000</v>
      </c>
      <c r="N418" s="1">
        <v>2674366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1606000</v>
      </c>
      <c r="U418" s="1">
        <v>0</v>
      </c>
      <c r="V418" s="1">
        <v>9600928</v>
      </c>
      <c r="W418" s="1">
        <v>1900000</v>
      </c>
      <c r="X418" s="1">
        <v>2055234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1910261</v>
      </c>
      <c r="AF418" s="1">
        <v>1516881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11462225</v>
      </c>
      <c r="AM418" s="1">
        <v>0</v>
      </c>
      <c r="AN418" s="1">
        <v>0</v>
      </c>
      <c r="AO418" s="1">
        <v>67392967</v>
      </c>
      <c r="AP418" s="1">
        <v>15790008</v>
      </c>
      <c r="AQ418" s="1">
        <v>51602959</v>
      </c>
      <c r="AR418" s="1">
        <v>12854017</v>
      </c>
      <c r="AS418" s="1">
        <v>1928103</v>
      </c>
      <c r="AT418" s="1">
        <f t="shared" si="41"/>
        <v>82175087</v>
      </c>
    </row>
    <row r="419" spans="1:46" x14ac:dyDescent="0.2">
      <c r="A419" s="1" t="str">
        <f>"00480"</f>
        <v>00480</v>
      </c>
      <c r="B419" s="1" t="str">
        <f>"عليرضا"</f>
        <v>عليرضا</v>
      </c>
      <c r="C419" s="1" t="str">
        <f>"شريفي راد"</f>
        <v>شريفي راد</v>
      </c>
      <c r="D419" s="1" t="str">
        <f t="shared" si="42"/>
        <v>قراردادي بهره بردار</v>
      </c>
      <c r="E419" s="1" t="str">
        <f t="shared" si="43"/>
        <v>پروژه بهره برداري نيروگاه بوشهر</v>
      </c>
      <c r="F419" s="1">
        <v>18922979</v>
      </c>
      <c r="G419" s="1">
        <v>0</v>
      </c>
      <c r="H419" s="1">
        <v>0</v>
      </c>
      <c r="I419" s="1">
        <v>14757041</v>
      </c>
      <c r="J419" s="1">
        <v>0</v>
      </c>
      <c r="K419" s="1">
        <v>5500000</v>
      </c>
      <c r="L419" s="1">
        <v>0</v>
      </c>
      <c r="M419" s="1">
        <v>1000000</v>
      </c>
      <c r="N419" s="1">
        <v>3264751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1606000</v>
      </c>
      <c r="U419" s="1">
        <v>0</v>
      </c>
      <c r="V419" s="1">
        <v>15698577</v>
      </c>
      <c r="W419" s="1">
        <v>1900000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2331965</v>
      </c>
      <c r="AF419" s="1">
        <v>3033762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5899027</v>
      </c>
      <c r="AM419" s="1">
        <v>0</v>
      </c>
      <c r="AN419" s="1">
        <v>0</v>
      </c>
      <c r="AO419" s="1">
        <v>73914102</v>
      </c>
      <c r="AP419" s="1">
        <v>10343304</v>
      </c>
      <c r="AQ419" s="1">
        <v>63570798</v>
      </c>
      <c r="AR419" s="1">
        <v>13854868</v>
      </c>
      <c r="AS419" s="1">
        <v>2078230</v>
      </c>
      <c r="AT419" s="1">
        <f t="shared" si="41"/>
        <v>89847200</v>
      </c>
    </row>
    <row r="420" spans="1:46" x14ac:dyDescent="0.2">
      <c r="A420" s="1" t="str">
        <f>"00481"</f>
        <v>00481</v>
      </c>
      <c r="B420" s="1" t="str">
        <f>"صادق"</f>
        <v>صادق</v>
      </c>
      <c r="C420" s="1" t="str">
        <f>"شهابي"</f>
        <v>شهابي</v>
      </c>
      <c r="D420" s="1" t="str">
        <f t="shared" si="42"/>
        <v>قراردادي بهره بردار</v>
      </c>
      <c r="E420" s="1" t="str">
        <f t="shared" si="43"/>
        <v>پروژه بهره برداري نيروگاه بوشهر</v>
      </c>
      <c r="F420" s="1">
        <v>14259049</v>
      </c>
      <c r="G420" s="1">
        <v>4569753</v>
      </c>
      <c r="H420" s="1">
        <v>0</v>
      </c>
      <c r="I420" s="1">
        <v>10987296</v>
      </c>
      <c r="J420" s="1">
        <v>0</v>
      </c>
      <c r="K420" s="1">
        <v>4620000</v>
      </c>
      <c r="L420" s="1">
        <v>0</v>
      </c>
      <c r="M420" s="1">
        <v>1000000</v>
      </c>
      <c r="N420" s="1">
        <v>2709636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1606000</v>
      </c>
      <c r="U420" s="1">
        <v>0</v>
      </c>
      <c r="V420" s="1">
        <v>9315062</v>
      </c>
      <c r="W420" s="1">
        <v>1900000</v>
      </c>
      <c r="X420" s="1">
        <v>2069862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1935454</v>
      </c>
      <c r="AF420" s="1">
        <v>1516881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10608833</v>
      </c>
      <c r="AM420" s="1">
        <v>0</v>
      </c>
      <c r="AN420" s="1">
        <v>0</v>
      </c>
      <c r="AO420" s="1">
        <v>67097826</v>
      </c>
      <c r="AP420" s="1">
        <v>9947768</v>
      </c>
      <c r="AQ420" s="1">
        <v>57150058</v>
      </c>
      <c r="AR420" s="1">
        <v>12794989</v>
      </c>
      <c r="AS420" s="1">
        <v>1919248</v>
      </c>
      <c r="AT420" s="1">
        <f t="shared" si="41"/>
        <v>81812063</v>
      </c>
    </row>
    <row r="421" spans="1:46" x14ac:dyDescent="0.2">
      <c r="A421" s="1" t="str">
        <f>"00482"</f>
        <v>00482</v>
      </c>
      <c r="B421" s="1" t="str">
        <f>"مهدي"</f>
        <v>مهدي</v>
      </c>
      <c r="C421" s="1" t="str">
        <f>"صداقت"</f>
        <v>صداقت</v>
      </c>
      <c r="D421" s="1" t="str">
        <f t="shared" ref="D421:D449" si="44">"قراردادي بهره بردار"</f>
        <v>قراردادي بهره بردار</v>
      </c>
      <c r="E421" s="1" t="str">
        <f t="shared" si="43"/>
        <v>پروژه بهره برداري نيروگاه بوشهر</v>
      </c>
      <c r="F421" s="1">
        <v>18462939</v>
      </c>
      <c r="G421" s="1">
        <v>8461267</v>
      </c>
      <c r="H421" s="1">
        <v>0</v>
      </c>
      <c r="I421" s="1">
        <v>13887074</v>
      </c>
      <c r="J421" s="1">
        <v>0</v>
      </c>
      <c r="K421" s="1">
        <v>5500000</v>
      </c>
      <c r="L421" s="1">
        <v>0</v>
      </c>
      <c r="M421" s="1">
        <v>1000000</v>
      </c>
      <c r="N421" s="1">
        <v>3103737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1606000</v>
      </c>
      <c r="U421" s="1">
        <v>0</v>
      </c>
      <c r="V421" s="1">
        <v>17881054</v>
      </c>
      <c r="W421" s="1">
        <v>1900000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2216955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4402364</v>
      </c>
      <c r="AM421" s="1">
        <v>0</v>
      </c>
      <c r="AN421" s="1">
        <v>0</v>
      </c>
      <c r="AO421" s="1">
        <v>78421390</v>
      </c>
      <c r="AP421" s="1">
        <v>29861132</v>
      </c>
      <c r="AQ421" s="1">
        <v>48560258</v>
      </c>
      <c r="AR421" s="1">
        <v>15363078</v>
      </c>
      <c r="AS421" s="1">
        <v>2304462</v>
      </c>
      <c r="AT421" s="1">
        <f t="shared" si="41"/>
        <v>96088930</v>
      </c>
    </row>
    <row r="422" spans="1:46" x14ac:dyDescent="0.2">
      <c r="A422" s="1" t="str">
        <f>"00483"</f>
        <v>00483</v>
      </c>
      <c r="B422" s="1" t="str">
        <f>"رضا"</f>
        <v>رضا</v>
      </c>
      <c r="C422" s="1" t="str">
        <f>"عابدي"</f>
        <v>عابدي</v>
      </c>
      <c r="D422" s="1" t="str">
        <f t="shared" si="44"/>
        <v>قراردادي بهره بردار</v>
      </c>
      <c r="E422" s="1" t="str">
        <f t="shared" si="43"/>
        <v>پروژه بهره برداري نيروگاه بوشهر</v>
      </c>
      <c r="F422" s="1">
        <v>18519896</v>
      </c>
      <c r="G422" s="1">
        <v>8400471</v>
      </c>
      <c r="H422" s="1">
        <v>0</v>
      </c>
      <c r="I422" s="1">
        <v>15312902</v>
      </c>
      <c r="J422" s="1">
        <v>0</v>
      </c>
      <c r="K422" s="1">
        <v>5500000</v>
      </c>
      <c r="L422" s="1">
        <v>0</v>
      </c>
      <c r="M422" s="1">
        <v>1000000</v>
      </c>
      <c r="N422" s="1">
        <v>3123672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13912975</v>
      </c>
      <c r="W422" s="1">
        <v>1900000</v>
      </c>
      <c r="X422" s="1">
        <v>2688372</v>
      </c>
      <c r="Y422" s="1">
        <v>0</v>
      </c>
      <c r="Z422" s="1">
        <v>0</v>
      </c>
      <c r="AA422" s="1">
        <v>0</v>
      </c>
      <c r="AB422" s="1">
        <v>0</v>
      </c>
      <c r="AC422" s="1">
        <v>3877480</v>
      </c>
      <c r="AD422" s="1">
        <v>0</v>
      </c>
      <c r="AE422" s="1">
        <v>2231194</v>
      </c>
      <c r="AF422" s="1">
        <v>1516881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17426053</v>
      </c>
      <c r="AM422" s="1">
        <v>0</v>
      </c>
      <c r="AN422" s="1">
        <v>0</v>
      </c>
      <c r="AO422" s="1">
        <v>95409896</v>
      </c>
      <c r="AP422" s="1">
        <v>47111351</v>
      </c>
      <c r="AQ422" s="1">
        <v>48298545</v>
      </c>
      <c r="AR422" s="1">
        <v>18778603</v>
      </c>
      <c r="AS422" s="1">
        <v>2816790</v>
      </c>
      <c r="AT422" s="1">
        <f t="shared" si="41"/>
        <v>117005289</v>
      </c>
    </row>
    <row r="423" spans="1:46" x14ac:dyDescent="0.2">
      <c r="A423" s="1" t="str">
        <f>"00484"</f>
        <v>00484</v>
      </c>
      <c r="B423" s="1" t="str">
        <f>"وحيد"</f>
        <v>وحيد</v>
      </c>
      <c r="C423" s="1" t="str">
        <f>"عدالت"</f>
        <v>عدالت</v>
      </c>
      <c r="D423" s="1" t="str">
        <f t="shared" si="44"/>
        <v>قراردادي بهره بردار</v>
      </c>
      <c r="E423" s="1" t="str">
        <f>"پروژه تعميرات نيروگاه بوشهر"</f>
        <v>پروژه تعميرات نيروگاه بوشهر</v>
      </c>
      <c r="F423" s="1">
        <v>14180185</v>
      </c>
      <c r="G423" s="1">
        <v>-3769728</v>
      </c>
      <c r="H423" s="1">
        <v>0</v>
      </c>
      <c r="I423" s="1">
        <v>11843252</v>
      </c>
      <c r="J423" s="1">
        <v>0</v>
      </c>
      <c r="K423" s="1">
        <v>3465000</v>
      </c>
      <c r="L423" s="1">
        <v>0</v>
      </c>
      <c r="M423" s="1">
        <v>1000000</v>
      </c>
      <c r="N423" s="1">
        <v>2682033</v>
      </c>
      <c r="O423" s="1">
        <v>0</v>
      </c>
      <c r="P423" s="1">
        <v>0</v>
      </c>
      <c r="Q423" s="1">
        <v>0</v>
      </c>
      <c r="R423" s="1">
        <v>10000000</v>
      </c>
      <c r="S423" s="1">
        <v>0</v>
      </c>
      <c r="T423" s="1">
        <v>0</v>
      </c>
      <c r="U423" s="1">
        <v>0</v>
      </c>
      <c r="V423" s="1">
        <v>7148424</v>
      </c>
      <c r="W423" s="1">
        <v>1900000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1915738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-11036488</v>
      </c>
      <c r="AM423" s="1">
        <v>0</v>
      </c>
      <c r="AN423" s="1">
        <v>0</v>
      </c>
      <c r="AO423" s="1">
        <v>39328416</v>
      </c>
      <c r="AP423" s="1">
        <v>21153893</v>
      </c>
      <c r="AQ423" s="1">
        <v>18174523</v>
      </c>
      <c r="AR423" s="1">
        <v>5865683</v>
      </c>
      <c r="AS423" s="1">
        <v>879855</v>
      </c>
      <c r="AT423" s="1">
        <f t="shared" si="41"/>
        <v>46073954</v>
      </c>
    </row>
    <row r="424" spans="1:46" x14ac:dyDescent="0.2">
      <c r="A424" s="1" t="str">
        <f>"00485"</f>
        <v>00485</v>
      </c>
      <c r="B424" s="1" t="str">
        <f>"مرتضي"</f>
        <v>مرتضي</v>
      </c>
      <c r="C424" s="1" t="str">
        <f>"غلامي"</f>
        <v>غلامي</v>
      </c>
      <c r="D424" s="1" t="str">
        <f t="shared" si="44"/>
        <v>قراردادي بهره بردار</v>
      </c>
      <c r="E424" s="1" t="str">
        <f t="shared" ref="E424:E449" si="45">"پروژه بهره برداري نيروگاه بوشهر"</f>
        <v>پروژه بهره برداري نيروگاه بوشهر</v>
      </c>
      <c r="F424" s="1">
        <v>14607365</v>
      </c>
      <c r="G424" s="1">
        <v>17234514</v>
      </c>
      <c r="H424" s="1">
        <v>0</v>
      </c>
      <c r="I424" s="1">
        <v>12037983</v>
      </c>
      <c r="J424" s="1">
        <v>0</v>
      </c>
      <c r="K424" s="1">
        <v>3465000</v>
      </c>
      <c r="L424" s="1">
        <v>0</v>
      </c>
      <c r="M424" s="1">
        <v>1000000</v>
      </c>
      <c r="N424" s="1">
        <v>2831546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1606000</v>
      </c>
      <c r="U424" s="1">
        <v>0</v>
      </c>
      <c r="V424" s="1">
        <v>9928361</v>
      </c>
      <c r="W424" s="1">
        <v>1900000</v>
      </c>
      <c r="X424" s="1">
        <v>2120424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2022533</v>
      </c>
      <c r="AF424" s="1">
        <v>4550643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11667359</v>
      </c>
      <c r="AM424" s="1">
        <v>0</v>
      </c>
      <c r="AN424" s="1">
        <v>0</v>
      </c>
      <c r="AO424" s="1">
        <v>84971728</v>
      </c>
      <c r="AP424" s="1">
        <v>33927271</v>
      </c>
      <c r="AQ424" s="1">
        <v>51044457</v>
      </c>
      <c r="AR424" s="1">
        <v>15763017</v>
      </c>
      <c r="AS424" s="1">
        <v>2364453</v>
      </c>
      <c r="AT424" s="1">
        <f t="shared" si="41"/>
        <v>103099198</v>
      </c>
    </row>
    <row r="425" spans="1:46" x14ac:dyDescent="0.2">
      <c r="A425" s="1" t="str">
        <f>"00486"</f>
        <v>00486</v>
      </c>
      <c r="B425" s="1" t="str">
        <f>"نويد"</f>
        <v>نويد</v>
      </c>
      <c r="C425" s="1" t="str">
        <f>"فلاح"</f>
        <v>فلاح</v>
      </c>
      <c r="D425" s="1" t="str">
        <f t="shared" si="44"/>
        <v>قراردادي بهره بردار</v>
      </c>
      <c r="E425" s="1" t="str">
        <f t="shared" si="45"/>
        <v>پروژه بهره برداري نيروگاه بوشهر</v>
      </c>
      <c r="F425" s="1">
        <v>14521929</v>
      </c>
      <c r="G425" s="1">
        <v>14655677</v>
      </c>
      <c r="H425" s="1">
        <v>0</v>
      </c>
      <c r="I425" s="1">
        <v>12154201</v>
      </c>
      <c r="J425" s="1">
        <v>0</v>
      </c>
      <c r="K425" s="1">
        <v>3465000</v>
      </c>
      <c r="L425" s="1">
        <v>0</v>
      </c>
      <c r="M425" s="1">
        <v>1000000</v>
      </c>
      <c r="N425" s="1">
        <v>2801644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1606000</v>
      </c>
      <c r="U425" s="1">
        <v>0</v>
      </c>
      <c r="V425" s="1">
        <v>13903051</v>
      </c>
      <c r="W425" s="1">
        <v>1900000</v>
      </c>
      <c r="X425" s="1">
        <v>2108022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2001174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12310189</v>
      </c>
      <c r="AM425" s="1">
        <v>0</v>
      </c>
      <c r="AN425" s="1">
        <v>0</v>
      </c>
      <c r="AO425" s="1">
        <v>82426887</v>
      </c>
      <c r="AP425" s="1">
        <v>36351517</v>
      </c>
      <c r="AQ425" s="1">
        <v>46075370</v>
      </c>
      <c r="AR425" s="1">
        <v>16164177</v>
      </c>
      <c r="AS425" s="1">
        <v>2424627</v>
      </c>
      <c r="AT425" s="1">
        <f t="shared" si="41"/>
        <v>101015691</v>
      </c>
    </row>
    <row r="426" spans="1:46" x14ac:dyDescent="0.2">
      <c r="A426" s="1" t="str">
        <f>"00487"</f>
        <v>00487</v>
      </c>
      <c r="B426" s="1" t="str">
        <f>"علي"</f>
        <v>علي</v>
      </c>
      <c r="C426" s="1" t="str">
        <f>"فولادوند"</f>
        <v>فولادوند</v>
      </c>
      <c r="D426" s="1" t="str">
        <f t="shared" si="44"/>
        <v>قراردادي بهره بردار</v>
      </c>
      <c r="E426" s="1" t="str">
        <f t="shared" si="45"/>
        <v>پروژه بهره برداري نيروگاه بوشهر</v>
      </c>
      <c r="F426" s="1">
        <v>16147404</v>
      </c>
      <c r="G426" s="1">
        <v>20131545</v>
      </c>
      <c r="H426" s="1">
        <v>0</v>
      </c>
      <c r="I426" s="1">
        <v>14633269</v>
      </c>
      <c r="J426" s="1">
        <v>0</v>
      </c>
      <c r="K426" s="1">
        <v>4620000</v>
      </c>
      <c r="L426" s="1">
        <v>0</v>
      </c>
      <c r="M426" s="1">
        <v>1000000</v>
      </c>
      <c r="N426" s="1">
        <v>3129039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1606000</v>
      </c>
      <c r="U426" s="1">
        <v>0</v>
      </c>
      <c r="V426" s="1">
        <v>15625401</v>
      </c>
      <c r="W426" s="1">
        <v>1900000</v>
      </c>
      <c r="X426" s="1">
        <v>2343978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2235028</v>
      </c>
      <c r="AF426" s="1">
        <v>1516881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13069123</v>
      </c>
      <c r="AM426" s="1">
        <v>0</v>
      </c>
      <c r="AN426" s="1">
        <v>0</v>
      </c>
      <c r="AO426" s="1">
        <v>97957668</v>
      </c>
      <c r="AP426" s="1">
        <v>13622920</v>
      </c>
      <c r="AQ426" s="1">
        <v>84334748</v>
      </c>
      <c r="AR426" s="1">
        <v>18966957</v>
      </c>
      <c r="AS426" s="1">
        <v>2845044</v>
      </c>
      <c r="AT426" s="1">
        <f t="shared" si="41"/>
        <v>119769669</v>
      </c>
    </row>
    <row r="427" spans="1:46" x14ac:dyDescent="0.2">
      <c r="A427" s="1" t="str">
        <f>"00488"</f>
        <v>00488</v>
      </c>
      <c r="B427" s="1" t="str">
        <f>"حميدرضا"</f>
        <v>حميدرضا</v>
      </c>
      <c r="C427" s="1" t="str">
        <f>"جفره اي"</f>
        <v>جفره اي</v>
      </c>
      <c r="D427" s="1" t="str">
        <f t="shared" si="44"/>
        <v>قراردادي بهره بردار</v>
      </c>
      <c r="E427" s="1" t="str">
        <f t="shared" si="45"/>
        <v>پروژه بهره برداري نيروگاه بوشهر</v>
      </c>
      <c r="F427" s="1">
        <v>14029029</v>
      </c>
      <c r="G427" s="1">
        <v>6620715</v>
      </c>
      <c r="H427" s="1">
        <v>0</v>
      </c>
      <c r="I427" s="1">
        <v>11384754</v>
      </c>
      <c r="J427" s="1">
        <v>0</v>
      </c>
      <c r="K427" s="1">
        <v>4620000</v>
      </c>
      <c r="L427" s="1">
        <v>0</v>
      </c>
      <c r="M427" s="1">
        <v>1000000</v>
      </c>
      <c r="N427" s="1">
        <v>2629129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1606000</v>
      </c>
      <c r="U427" s="1">
        <v>0</v>
      </c>
      <c r="V427" s="1">
        <v>14080429</v>
      </c>
      <c r="W427" s="1">
        <v>1900000</v>
      </c>
      <c r="X427" s="1">
        <v>2036472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1877949</v>
      </c>
      <c r="AF427" s="1">
        <v>1516881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11189882</v>
      </c>
      <c r="AM427" s="1">
        <v>0</v>
      </c>
      <c r="AN427" s="1">
        <v>0</v>
      </c>
      <c r="AO427" s="1">
        <v>74491240</v>
      </c>
      <c r="AP427" s="1">
        <v>11091131</v>
      </c>
      <c r="AQ427" s="1">
        <v>63400109</v>
      </c>
      <c r="AR427" s="1">
        <v>14273672</v>
      </c>
      <c r="AS427" s="1">
        <v>2141051</v>
      </c>
      <c r="AT427" s="1">
        <f t="shared" si="41"/>
        <v>90905963</v>
      </c>
    </row>
    <row r="428" spans="1:46" x14ac:dyDescent="0.2">
      <c r="A428" s="1" t="str">
        <f>"00489"</f>
        <v>00489</v>
      </c>
      <c r="B428" s="1" t="str">
        <f>"ايوب"</f>
        <v>ايوب</v>
      </c>
      <c r="C428" s="1" t="str">
        <f>"قاسمي"</f>
        <v>قاسمي</v>
      </c>
      <c r="D428" s="1" t="str">
        <f t="shared" si="44"/>
        <v>قراردادي بهره بردار</v>
      </c>
      <c r="E428" s="1" t="str">
        <f t="shared" si="45"/>
        <v>پروژه بهره برداري نيروگاه بوشهر</v>
      </c>
      <c r="F428" s="1">
        <v>14167041</v>
      </c>
      <c r="G428" s="1">
        <v>10106107</v>
      </c>
      <c r="H428" s="1">
        <v>0</v>
      </c>
      <c r="I428" s="1">
        <v>11299030</v>
      </c>
      <c r="J428" s="1">
        <v>0</v>
      </c>
      <c r="K428" s="1">
        <v>4620000</v>
      </c>
      <c r="L428" s="1">
        <v>0</v>
      </c>
      <c r="M428" s="1">
        <v>1000000</v>
      </c>
      <c r="N428" s="1">
        <v>2677433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9564499</v>
      </c>
      <c r="W428" s="1">
        <v>1900000</v>
      </c>
      <c r="X428" s="1">
        <v>2056506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1912452</v>
      </c>
      <c r="AF428" s="1">
        <v>1516881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11528821</v>
      </c>
      <c r="AM428" s="1">
        <v>0</v>
      </c>
      <c r="AN428" s="1">
        <v>0</v>
      </c>
      <c r="AO428" s="1">
        <v>72348770</v>
      </c>
      <c r="AP428" s="1">
        <v>15851032</v>
      </c>
      <c r="AQ428" s="1">
        <v>56497738</v>
      </c>
      <c r="AR428" s="1">
        <v>14166378</v>
      </c>
      <c r="AS428" s="1">
        <v>2124957</v>
      </c>
      <c r="AT428" s="1">
        <f t="shared" si="41"/>
        <v>88640105</v>
      </c>
    </row>
    <row r="429" spans="1:46" x14ac:dyDescent="0.2">
      <c r="A429" s="1" t="str">
        <f>"00490"</f>
        <v>00490</v>
      </c>
      <c r="B429" s="1" t="str">
        <f>"محمدرضا"</f>
        <v>محمدرضا</v>
      </c>
      <c r="C429" s="1" t="str">
        <f>"قاضي زاده اسکويي"</f>
        <v>قاضي زاده اسکويي</v>
      </c>
      <c r="D429" s="1" t="str">
        <f t="shared" si="44"/>
        <v>قراردادي بهره بردار</v>
      </c>
      <c r="E429" s="1" t="str">
        <f t="shared" si="45"/>
        <v>پروژه بهره برداري نيروگاه بوشهر</v>
      </c>
      <c r="F429" s="1">
        <v>16362089</v>
      </c>
      <c r="G429" s="1">
        <v>15824059</v>
      </c>
      <c r="H429" s="1">
        <v>0</v>
      </c>
      <c r="I429" s="1">
        <v>14875277</v>
      </c>
      <c r="J429" s="1">
        <v>0</v>
      </c>
      <c r="K429" s="1">
        <v>4620000</v>
      </c>
      <c r="L429" s="1">
        <v>0</v>
      </c>
      <c r="M429" s="1">
        <v>1000000</v>
      </c>
      <c r="N429" s="1">
        <v>3204179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15894457</v>
      </c>
      <c r="W429" s="1">
        <v>1900000</v>
      </c>
      <c r="X429" s="1">
        <v>2375142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2288699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13331040</v>
      </c>
      <c r="AM429" s="1">
        <v>0</v>
      </c>
      <c r="AN429" s="1">
        <v>0</v>
      </c>
      <c r="AO429" s="1">
        <v>91674942</v>
      </c>
      <c r="AP429" s="1">
        <v>16441511</v>
      </c>
      <c r="AQ429" s="1">
        <v>75233431</v>
      </c>
      <c r="AR429" s="1">
        <v>18334988</v>
      </c>
      <c r="AS429" s="1">
        <v>2750248</v>
      </c>
      <c r="AT429" s="1">
        <f t="shared" si="41"/>
        <v>112760178</v>
      </c>
    </row>
    <row r="430" spans="1:46" x14ac:dyDescent="0.2">
      <c r="A430" s="1" t="str">
        <f>"00491"</f>
        <v>00491</v>
      </c>
      <c r="B430" s="1" t="str">
        <f>"حميد"</f>
        <v>حميد</v>
      </c>
      <c r="C430" s="1" t="str">
        <f>"قانع"</f>
        <v>قانع</v>
      </c>
      <c r="D430" s="1" t="str">
        <f t="shared" si="44"/>
        <v>قراردادي بهره بردار</v>
      </c>
      <c r="E430" s="1" t="str">
        <f t="shared" si="45"/>
        <v>پروژه بهره برداري نيروگاه بوشهر</v>
      </c>
      <c r="F430" s="1">
        <v>16491338</v>
      </c>
      <c r="G430" s="1">
        <v>8548710</v>
      </c>
      <c r="H430" s="1">
        <v>0</v>
      </c>
      <c r="I430" s="1">
        <v>13250015</v>
      </c>
      <c r="J430" s="1">
        <v>0</v>
      </c>
      <c r="K430" s="1">
        <v>4620000</v>
      </c>
      <c r="L430" s="1">
        <v>0</v>
      </c>
      <c r="M430" s="1">
        <v>1000000</v>
      </c>
      <c r="N430" s="1">
        <v>3007894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18477077</v>
      </c>
      <c r="W430" s="1">
        <v>1900000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2148496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7095613</v>
      </c>
      <c r="AM430" s="1">
        <v>0</v>
      </c>
      <c r="AN430" s="1">
        <v>0</v>
      </c>
      <c r="AO430" s="1">
        <v>76539143</v>
      </c>
      <c r="AP430" s="1">
        <v>21638828</v>
      </c>
      <c r="AQ430" s="1">
        <v>54900315</v>
      </c>
      <c r="AR430" s="1">
        <v>15307828</v>
      </c>
      <c r="AS430" s="1">
        <v>2296175</v>
      </c>
      <c r="AT430" s="1">
        <f t="shared" si="41"/>
        <v>94143146</v>
      </c>
    </row>
    <row r="431" spans="1:46" x14ac:dyDescent="0.2">
      <c r="A431" s="1" t="str">
        <f>"00492"</f>
        <v>00492</v>
      </c>
      <c r="B431" s="1" t="str">
        <f>"حامد"</f>
        <v>حامد</v>
      </c>
      <c r="C431" s="1" t="str">
        <f>"كريم زاده"</f>
        <v>كريم زاده</v>
      </c>
      <c r="D431" s="1" t="str">
        <f t="shared" si="44"/>
        <v>قراردادي بهره بردار</v>
      </c>
      <c r="E431" s="1" t="str">
        <f t="shared" si="45"/>
        <v>پروژه بهره برداري نيروگاه بوشهر</v>
      </c>
      <c r="F431" s="1">
        <v>19012796</v>
      </c>
      <c r="G431" s="1">
        <v>7638970</v>
      </c>
      <c r="H431" s="1">
        <v>0</v>
      </c>
      <c r="I431" s="1">
        <v>16494812</v>
      </c>
      <c r="J431" s="1">
        <v>0</v>
      </c>
      <c r="K431" s="1">
        <v>4125000</v>
      </c>
      <c r="L431" s="1">
        <v>0</v>
      </c>
      <c r="M431" s="1">
        <v>1000000</v>
      </c>
      <c r="N431" s="1">
        <v>3296187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14459163</v>
      </c>
      <c r="W431" s="1">
        <v>1900000</v>
      </c>
      <c r="X431" s="1">
        <v>2728204</v>
      </c>
      <c r="Y431" s="1">
        <v>0</v>
      </c>
      <c r="Z431" s="1">
        <v>0</v>
      </c>
      <c r="AA431" s="1">
        <v>0</v>
      </c>
      <c r="AB431" s="1">
        <v>0</v>
      </c>
      <c r="AC431" s="1">
        <v>3877480</v>
      </c>
      <c r="AD431" s="1">
        <v>0</v>
      </c>
      <c r="AE431" s="1">
        <v>2354419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17830231</v>
      </c>
      <c r="AM431" s="1">
        <v>0</v>
      </c>
      <c r="AN431" s="1">
        <v>0</v>
      </c>
      <c r="AO431" s="1">
        <v>94717262</v>
      </c>
      <c r="AP431" s="1">
        <v>15384729</v>
      </c>
      <c r="AQ431" s="1">
        <v>79332533</v>
      </c>
      <c r="AR431" s="1">
        <v>18943452</v>
      </c>
      <c r="AS431" s="1">
        <v>2841518</v>
      </c>
      <c r="AT431" s="1">
        <f t="shared" si="41"/>
        <v>116502232</v>
      </c>
    </row>
    <row r="432" spans="1:46" x14ac:dyDescent="0.2">
      <c r="A432" s="1" t="str">
        <f>"00493"</f>
        <v>00493</v>
      </c>
      <c r="B432" s="1" t="str">
        <f>"هادي"</f>
        <v>هادي</v>
      </c>
      <c r="C432" s="1" t="str">
        <f>"كسرايي"</f>
        <v>كسرايي</v>
      </c>
      <c r="D432" s="1" t="str">
        <f t="shared" si="44"/>
        <v>قراردادي بهره بردار</v>
      </c>
      <c r="E432" s="1" t="str">
        <f t="shared" si="45"/>
        <v>پروژه بهره برداري نيروگاه بوشهر</v>
      </c>
      <c r="F432" s="1">
        <v>14510976</v>
      </c>
      <c r="G432" s="1">
        <v>6899687</v>
      </c>
      <c r="H432" s="1">
        <v>0</v>
      </c>
      <c r="I432" s="1">
        <v>11602392</v>
      </c>
      <c r="J432" s="1">
        <v>0</v>
      </c>
      <c r="K432" s="1">
        <v>4620000</v>
      </c>
      <c r="L432" s="1">
        <v>0</v>
      </c>
      <c r="M432" s="1">
        <v>1000000</v>
      </c>
      <c r="N432" s="1">
        <v>2797810</v>
      </c>
      <c r="O432" s="1">
        <v>0</v>
      </c>
      <c r="P432" s="1">
        <v>0</v>
      </c>
      <c r="Q432" s="1">
        <v>0</v>
      </c>
      <c r="R432" s="1">
        <v>23265496</v>
      </c>
      <c r="S432" s="1">
        <v>0</v>
      </c>
      <c r="T432" s="1">
        <v>0</v>
      </c>
      <c r="U432" s="1">
        <v>0</v>
      </c>
      <c r="V432" s="1">
        <v>16598188</v>
      </c>
      <c r="W432" s="1">
        <v>1900000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1998436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6813543</v>
      </c>
      <c r="AM432" s="1">
        <v>0</v>
      </c>
      <c r="AN432" s="1">
        <v>0</v>
      </c>
      <c r="AO432" s="1">
        <v>92006528</v>
      </c>
      <c r="AP432" s="1">
        <v>30054918</v>
      </c>
      <c r="AQ432" s="1">
        <v>61951610</v>
      </c>
      <c r="AR432" s="1">
        <v>13748206</v>
      </c>
      <c r="AS432" s="1">
        <v>2062231</v>
      </c>
      <c r="AT432" s="1">
        <f t="shared" si="41"/>
        <v>107816965</v>
      </c>
    </row>
    <row r="433" spans="1:46" x14ac:dyDescent="0.2">
      <c r="A433" s="1" t="str">
        <f>"00494"</f>
        <v>00494</v>
      </c>
      <c r="B433" s="1" t="str">
        <f>"علي"</f>
        <v>علي</v>
      </c>
      <c r="C433" s="1" t="str">
        <f>"كريمي"</f>
        <v>كريمي</v>
      </c>
      <c r="D433" s="1" t="str">
        <f t="shared" si="44"/>
        <v>قراردادي بهره بردار</v>
      </c>
      <c r="E433" s="1" t="str">
        <f t="shared" si="45"/>
        <v>پروژه بهره برداري نيروگاه بوشهر</v>
      </c>
      <c r="F433" s="1">
        <v>20535309</v>
      </c>
      <c r="G433" s="1">
        <v>8002711</v>
      </c>
      <c r="H433" s="1">
        <v>0</v>
      </c>
      <c r="I433" s="1">
        <v>17018287</v>
      </c>
      <c r="J433" s="1">
        <v>0</v>
      </c>
      <c r="K433" s="1">
        <v>5500000</v>
      </c>
      <c r="L433" s="1">
        <v>0</v>
      </c>
      <c r="M433" s="1">
        <v>1000000</v>
      </c>
      <c r="N433" s="1">
        <v>3449533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15147656</v>
      </c>
      <c r="W433" s="1">
        <v>1900000</v>
      </c>
      <c r="X433" s="1">
        <v>2980932</v>
      </c>
      <c r="Y433" s="1">
        <v>0</v>
      </c>
      <c r="Z433" s="1">
        <v>0</v>
      </c>
      <c r="AA433" s="1">
        <v>0</v>
      </c>
      <c r="AB433" s="1">
        <v>0</v>
      </c>
      <c r="AC433" s="1">
        <v>3877480</v>
      </c>
      <c r="AD433" s="1">
        <v>0</v>
      </c>
      <c r="AE433" s="1">
        <v>2463952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18514814</v>
      </c>
      <c r="AM433" s="1">
        <v>0</v>
      </c>
      <c r="AN433" s="1">
        <v>0</v>
      </c>
      <c r="AO433" s="1">
        <v>100390674</v>
      </c>
      <c r="AP433" s="1">
        <v>22897468</v>
      </c>
      <c r="AQ433" s="1">
        <v>77493206</v>
      </c>
      <c r="AR433" s="1">
        <v>20078135</v>
      </c>
      <c r="AS433" s="1">
        <v>3011720</v>
      </c>
      <c r="AT433" s="1">
        <f t="shared" si="41"/>
        <v>123480529</v>
      </c>
    </row>
    <row r="434" spans="1:46" x14ac:dyDescent="0.2">
      <c r="A434" s="1" t="str">
        <f>"00495"</f>
        <v>00495</v>
      </c>
      <c r="B434" s="1" t="str">
        <f>"اميد"</f>
        <v>اميد</v>
      </c>
      <c r="C434" s="1" t="str">
        <f>"لغويان زاده"</f>
        <v>لغويان زاده</v>
      </c>
      <c r="D434" s="1" t="str">
        <f t="shared" si="44"/>
        <v>قراردادي بهره بردار</v>
      </c>
      <c r="E434" s="1" t="str">
        <f t="shared" si="45"/>
        <v>پروژه بهره برداري نيروگاه بوشهر</v>
      </c>
      <c r="F434" s="1">
        <v>16333611</v>
      </c>
      <c r="G434" s="1">
        <v>17507526</v>
      </c>
      <c r="H434" s="1">
        <v>0</v>
      </c>
      <c r="I434" s="1">
        <v>12181801</v>
      </c>
      <c r="J434" s="1">
        <v>0</v>
      </c>
      <c r="K434" s="1">
        <v>5500000</v>
      </c>
      <c r="L434" s="1">
        <v>0</v>
      </c>
      <c r="M434" s="1">
        <v>1000000</v>
      </c>
      <c r="N434" s="1">
        <v>2530987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1606000</v>
      </c>
      <c r="U434" s="1">
        <v>0</v>
      </c>
      <c r="V434" s="1">
        <v>3697565</v>
      </c>
      <c r="W434" s="1">
        <v>1900000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1807848</v>
      </c>
      <c r="AF434" s="1">
        <v>3033762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4121411</v>
      </c>
      <c r="AM434" s="1">
        <v>0</v>
      </c>
      <c r="AN434" s="1">
        <v>0</v>
      </c>
      <c r="AO434" s="1">
        <v>71220511</v>
      </c>
      <c r="AP434" s="1">
        <v>12335990</v>
      </c>
      <c r="AQ434" s="1">
        <v>58884521</v>
      </c>
      <c r="AR434" s="1">
        <v>13316150</v>
      </c>
      <c r="AS434" s="1">
        <v>1997422</v>
      </c>
      <c r="AT434" s="1">
        <f t="shared" si="41"/>
        <v>86534083</v>
      </c>
    </row>
    <row r="435" spans="1:46" x14ac:dyDescent="0.2">
      <c r="A435" s="1" t="str">
        <f>"00496"</f>
        <v>00496</v>
      </c>
      <c r="B435" s="1" t="str">
        <f>"محمد"</f>
        <v>محمد</v>
      </c>
      <c r="C435" s="1" t="str">
        <f>"مجري ساز پور"</f>
        <v>مجري ساز پور</v>
      </c>
      <c r="D435" s="1" t="str">
        <f t="shared" si="44"/>
        <v>قراردادي بهره بردار</v>
      </c>
      <c r="E435" s="1" t="str">
        <f t="shared" si="45"/>
        <v>پروژه بهره برداري نيروگاه بوشهر</v>
      </c>
      <c r="F435" s="1">
        <v>14701564</v>
      </c>
      <c r="G435" s="1">
        <v>13660418</v>
      </c>
      <c r="H435" s="1">
        <v>0</v>
      </c>
      <c r="I435" s="1">
        <v>12485204</v>
      </c>
      <c r="J435" s="1">
        <v>0</v>
      </c>
      <c r="K435" s="1">
        <v>4620000</v>
      </c>
      <c r="L435" s="1">
        <v>0</v>
      </c>
      <c r="M435" s="1">
        <v>1000000</v>
      </c>
      <c r="N435" s="1">
        <v>2864516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1606000</v>
      </c>
      <c r="U435" s="1">
        <v>0</v>
      </c>
      <c r="V435" s="1">
        <v>14136985</v>
      </c>
      <c r="W435" s="1">
        <v>1900000</v>
      </c>
      <c r="X435" s="1">
        <v>2134098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2046083</v>
      </c>
      <c r="AF435" s="1">
        <v>1516881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12428572</v>
      </c>
      <c r="AM435" s="1">
        <v>0</v>
      </c>
      <c r="AN435" s="1">
        <v>0</v>
      </c>
      <c r="AO435" s="1">
        <v>85100321</v>
      </c>
      <c r="AP435" s="1">
        <v>14878070</v>
      </c>
      <c r="AQ435" s="1">
        <v>70222251</v>
      </c>
      <c r="AR435" s="1">
        <v>16395488</v>
      </c>
      <c r="AS435" s="1">
        <v>2459323</v>
      </c>
      <c r="AT435" s="1">
        <f t="shared" si="41"/>
        <v>103955132</v>
      </c>
    </row>
    <row r="436" spans="1:46" x14ac:dyDescent="0.2">
      <c r="A436" s="1" t="str">
        <f>"00497"</f>
        <v>00497</v>
      </c>
      <c r="B436" s="1" t="str">
        <f>"احمد"</f>
        <v>احمد</v>
      </c>
      <c r="C436" s="1" t="str">
        <f>"محمدي"</f>
        <v>محمدي</v>
      </c>
      <c r="D436" s="1" t="str">
        <f t="shared" si="44"/>
        <v>قراردادي بهره بردار</v>
      </c>
      <c r="E436" s="1" t="str">
        <f t="shared" si="45"/>
        <v>پروژه بهره برداري نيروگاه بوشهر</v>
      </c>
      <c r="F436" s="1">
        <v>19383019</v>
      </c>
      <c r="G436" s="1">
        <v>7561490</v>
      </c>
      <c r="H436" s="1">
        <v>0</v>
      </c>
      <c r="I436" s="1">
        <v>15564249</v>
      </c>
      <c r="J436" s="1">
        <v>0</v>
      </c>
      <c r="K436" s="1">
        <v>0</v>
      </c>
      <c r="L436" s="1">
        <v>0</v>
      </c>
      <c r="M436" s="1">
        <v>1000000</v>
      </c>
      <c r="N436" s="1">
        <v>3425765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1606000</v>
      </c>
      <c r="U436" s="1">
        <v>0</v>
      </c>
      <c r="V436" s="1">
        <v>16255418</v>
      </c>
      <c r="W436" s="1">
        <v>1900000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2446975</v>
      </c>
      <c r="AF436" s="1">
        <v>1516881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5958175</v>
      </c>
      <c r="AM436" s="1">
        <v>0</v>
      </c>
      <c r="AN436" s="1">
        <v>0</v>
      </c>
      <c r="AO436" s="1">
        <v>76617972</v>
      </c>
      <c r="AP436" s="1">
        <v>36012543</v>
      </c>
      <c r="AQ436" s="1">
        <v>40605429</v>
      </c>
      <c r="AR436" s="1">
        <v>14699018</v>
      </c>
      <c r="AS436" s="1">
        <v>2204853</v>
      </c>
      <c r="AT436" s="1">
        <f t="shared" si="41"/>
        <v>93521843</v>
      </c>
    </row>
    <row r="437" spans="1:46" x14ac:dyDescent="0.2">
      <c r="A437" s="1" t="str">
        <f>"00498"</f>
        <v>00498</v>
      </c>
      <c r="B437" s="1" t="str">
        <f>"عبدالرحيم"</f>
        <v>عبدالرحيم</v>
      </c>
      <c r="C437" s="1" t="str">
        <f>"محمديان"</f>
        <v>محمديان</v>
      </c>
      <c r="D437" s="1" t="str">
        <f t="shared" si="44"/>
        <v>قراردادي بهره بردار</v>
      </c>
      <c r="E437" s="1" t="str">
        <f t="shared" si="45"/>
        <v>پروژه بهره برداري نيروگاه بوشهر</v>
      </c>
      <c r="F437" s="1">
        <v>14830813</v>
      </c>
      <c r="G437" s="1">
        <v>15882442</v>
      </c>
      <c r="H437" s="1">
        <v>0</v>
      </c>
      <c r="I437" s="1">
        <v>12613056</v>
      </c>
      <c r="J437" s="1">
        <v>0</v>
      </c>
      <c r="K437" s="1">
        <v>4620000</v>
      </c>
      <c r="L437" s="1">
        <v>0</v>
      </c>
      <c r="M437" s="1">
        <v>1000000</v>
      </c>
      <c r="N437" s="1">
        <v>2909753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1606000</v>
      </c>
      <c r="U437" s="1">
        <v>0</v>
      </c>
      <c r="V437" s="1">
        <v>14273827</v>
      </c>
      <c r="W437" s="1">
        <v>1900000</v>
      </c>
      <c r="X437" s="1">
        <v>2152860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2078395</v>
      </c>
      <c r="AF437" s="1">
        <v>1516881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12524918</v>
      </c>
      <c r="AM437" s="1">
        <v>0</v>
      </c>
      <c r="AN437" s="1">
        <v>0</v>
      </c>
      <c r="AO437" s="1">
        <v>87908945</v>
      </c>
      <c r="AP437" s="1">
        <v>36138973</v>
      </c>
      <c r="AQ437" s="1">
        <v>51769972</v>
      </c>
      <c r="AR437" s="1">
        <v>16957213</v>
      </c>
      <c r="AS437" s="1">
        <v>2543582</v>
      </c>
      <c r="AT437" s="1">
        <f t="shared" si="41"/>
        <v>107409740</v>
      </c>
    </row>
    <row r="438" spans="1:46" x14ac:dyDescent="0.2">
      <c r="A438" s="1" t="str">
        <f>"00499"</f>
        <v>00499</v>
      </c>
      <c r="B438" s="1" t="str">
        <f>"مهدي"</f>
        <v>مهدي</v>
      </c>
      <c r="C438" s="1" t="str">
        <f>"مرشدي"</f>
        <v>مرشدي</v>
      </c>
      <c r="D438" s="1" t="str">
        <f t="shared" si="44"/>
        <v>قراردادي بهره بردار</v>
      </c>
      <c r="E438" s="1" t="str">
        <f t="shared" si="45"/>
        <v>پروژه بهره برداري نيروگاه بوشهر</v>
      </c>
      <c r="F438" s="1">
        <v>14287528</v>
      </c>
      <c r="G438" s="1">
        <v>8525444</v>
      </c>
      <c r="H438" s="1">
        <v>0</v>
      </c>
      <c r="I438" s="1">
        <v>12238197</v>
      </c>
      <c r="J438" s="1">
        <v>0</v>
      </c>
      <c r="K438" s="1">
        <v>4620000</v>
      </c>
      <c r="L438" s="1">
        <v>0</v>
      </c>
      <c r="M438" s="1">
        <v>1000000</v>
      </c>
      <c r="N438" s="1">
        <v>2719603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1606000</v>
      </c>
      <c r="U438" s="1">
        <v>0</v>
      </c>
      <c r="V438" s="1">
        <v>9822579</v>
      </c>
      <c r="W438" s="1">
        <v>1900000</v>
      </c>
      <c r="X438" s="1">
        <v>2073996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1942574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11518963</v>
      </c>
      <c r="AM438" s="1">
        <v>0</v>
      </c>
      <c r="AN438" s="1">
        <v>0</v>
      </c>
      <c r="AO438" s="1">
        <v>72254884</v>
      </c>
      <c r="AP438" s="1">
        <v>13269351</v>
      </c>
      <c r="AQ438" s="1">
        <v>58985533</v>
      </c>
      <c r="AR438" s="1">
        <v>14129777</v>
      </c>
      <c r="AS438" s="1">
        <v>2119467</v>
      </c>
      <c r="AT438" s="1">
        <f t="shared" si="41"/>
        <v>88504128</v>
      </c>
    </row>
    <row r="439" spans="1:46" x14ac:dyDescent="0.2">
      <c r="A439" s="1" t="str">
        <f>"00500"</f>
        <v>00500</v>
      </c>
      <c r="B439" s="1" t="str">
        <f>"محمد"</f>
        <v>محمد</v>
      </c>
      <c r="C439" s="1" t="str">
        <f>"معيني"</f>
        <v>معيني</v>
      </c>
      <c r="D439" s="1" t="str">
        <f t="shared" si="44"/>
        <v>قراردادي بهره بردار</v>
      </c>
      <c r="E439" s="1" t="str">
        <f t="shared" si="45"/>
        <v>پروژه بهره برداري نيروگاه بوشهر</v>
      </c>
      <c r="F439" s="1">
        <v>18320545</v>
      </c>
      <c r="G439" s="1">
        <v>8595282</v>
      </c>
      <c r="H439" s="1">
        <v>0</v>
      </c>
      <c r="I439" s="1">
        <v>13531797</v>
      </c>
      <c r="J439" s="1">
        <v>0</v>
      </c>
      <c r="K439" s="1">
        <v>5500000</v>
      </c>
      <c r="L439" s="1">
        <v>0</v>
      </c>
      <c r="M439" s="1">
        <v>1000000</v>
      </c>
      <c r="N439" s="1">
        <v>3053899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18239115</v>
      </c>
      <c r="W439" s="1">
        <v>1900000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2181356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5576999</v>
      </c>
      <c r="AM439" s="1">
        <v>0</v>
      </c>
      <c r="AN439" s="1">
        <v>0</v>
      </c>
      <c r="AO439" s="1">
        <v>77898993</v>
      </c>
      <c r="AP439" s="1">
        <v>16698630</v>
      </c>
      <c r="AQ439" s="1">
        <v>61200363</v>
      </c>
      <c r="AR439" s="1">
        <v>15579799</v>
      </c>
      <c r="AS439" s="1">
        <v>2336970</v>
      </c>
      <c r="AT439" s="1">
        <f t="shared" si="41"/>
        <v>95815762</v>
      </c>
    </row>
    <row r="440" spans="1:46" x14ac:dyDescent="0.2">
      <c r="A440" s="1" t="str">
        <f>"00501"</f>
        <v>00501</v>
      </c>
      <c r="B440" s="1" t="str">
        <f>"احمد"</f>
        <v>احمد</v>
      </c>
      <c r="C440" s="1" t="str">
        <f>"ملکي"</f>
        <v>ملکي</v>
      </c>
      <c r="D440" s="1" t="str">
        <f t="shared" si="44"/>
        <v>قراردادي بهره بردار</v>
      </c>
      <c r="E440" s="1" t="str">
        <f t="shared" si="45"/>
        <v>پروژه بهره برداري نيروگاه بوشهر</v>
      </c>
      <c r="F440" s="1">
        <v>18408172</v>
      </c>
      <c r="G440" s="1">
        <v>17002017</v>
      </c>
      <c r="H440" s="1">
        <v>0</v>
      </c>
      <c r="I440" s="1">
        <v>13863282</v>
      </c>
      <c r="J440" s="1">
        <v>0</v>
      </c>
      <c r="K440" s="1">
        <v>4125000</v>
      </c>
      <c r="L440" s="1">
        <v>0</v>
      </c>
      <c r="M440" s="1">
        <v>1000000</v>
      </c>
      <c r="N440" s="1">
        <v>3084568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10012079</v>
      </c>
      <c r="W440" s="1">
        <v>1900000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2203263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5971495</v>
      </c>
      <c r="AM440" s="1">
        <v>0</v>
      </c>
      <c r="AN440" s="1">
        <v>0</v>
      </c>
      <c r="AO440" s="1">
        <v>77569876</v>
      </c>
      <c r="AP440" s="1">
        <v>12088352</v>
      </c>
      <c r="AQ440" s="1">
        <v>65481524</v>
      </c>
      <c r="AR440" s="1">
        <v>15513975</v>
      </c>
      <c r="AS440" s="1">
        <v>2327096</v>
      </c>
      <c r="AT440" s="1">
        <f t="shared" si="41"/>
        <v>95410947</v>
      </c>
    </row>
    <row r="441" spans="1:46" x14ac:dyDescent="0.2">
      <c r="A441" s="1" t="str">
        <f>"00502"</f>
        <v>00502</v>
      </c>
      <c r="B441" s="1" t="str">
        <f>"رامين"</f>
        <v>رامين</v>
      </c>
      <c r="C441" s="1" t="str">
        <f>"منصوري"</f>
        <v>منصوري</v>
      </c>
      <c r="D441" s="1" t="str">
        <f t="shared" si="44"/>
        <v>قراردادي بهره بردار</v>
      </c>
      <c r="E441" s="1" t="str">
        <f t="shared" si="45"/>
        <v>پروژه بهره برداري نيروگاه بوشهر</v>
      </c>
      <c r="F441" s="1">
        <v>14657751</v>
      </c>
      <c r="G441" s="1">
        <v>9684174</v>
      </c>
      <c r="H441" s="1">
        <v>0</v>
      </c>
      <c r="I441" s="1">
        <v>11724659</v>
      </c>
      <c r="J441" s="1">
        <v>0</v>
      </c>
      <c r="K441" s="1">
        <v>3465000</v>
      </c>
      <c r="L441" s="1">
        <v>0</v>
      </c>
      <c r="M441" s="1">
        <v>1000000</v>
      </c>
      <c r="N441" s="1">
        <v>2849181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15612190</v>
      </c>
      <c r="W441" s="1">
        <v>1900000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2035129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5905161</v>
      </c>
      <c r="AM441" s="1">
        <v>0</v>
      </c>
      <c r="AN441" s="1">
        <v>0</v>
      </c>
      <c r="AO441" s="1">
        <v>68833245</v>
      </c>
      <c r="AP441" s="1">
        <v>30098894</v>
      </c>
      <c r="AQ441" s="1">
        <v>38734351</v>
      </c>
      <c r="AR441" s="1">
        <v>13766649</v>
      </c>
      <c r="AS441" s="1">
        <v>2064997</v>
      </c>
      <c r="AT441" s="1">
        <f t="shared" si="41"/>
        <v>84664891</v>
      </c>
    </row>
    <row r="442" spans="1:46" x14ac:dyDescent="0.2">
      <c r="A442" s="1" t="str">
        <f>"00503"</f>
        <v>00503</v>
      </c>
      <c r="B442" s="1" t="str">
        <f>"سيد ابوالحسن"</f>
        <v>سيد ابوالحسن</v>
      </c>
      <c r="C442" s="1" t="str">
        <f>"موسوي برازجاني"</f>
        <v>موسوي برازجاني</v>
      </c>
      <c r="D442" s="1" t="str">
        <f t="shared" si="44"/>
        <v>قراردادي بهره بردار</v>
      </c>
      <c r="E442" s="1" t="str">
        <f t="shared" si="45"/>
        <v>پروژه بهره برداري نيروگاه بوشهر</v>
      </c>
      <c r="F442" s="1">
        <v>14418968</v>
      </c>
      <c r="G442" s="1">
        <v>8194942</v>
      </c>
      <c r="H442" s="1">
        <v>0</v>
      </c>
      <c r="I442" s="1">
        <v>11172238</v>
      </c>
      <c r="J442" s="1">
        <v>0</v>
      </c>
      <c r="K442" s="1">
        <v>4620000</v>
      </c>
      <c r="L442" s="1">
        <v>0</v>
      </c>
      <c r="M442" s="1">
        <v>1000000</v>
      </c>
      <c r="N442" s="1">
        <v>2765607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1606000</v>
      </c>
      <c r="U442" s="1">
        <v>0</v>
      </c>
      <c r="V442" s="1">
        <v>9441792</v>
      </c>
      <c r="W442" s="1">
        <v>1900000</v>
      </c>
      <c r="X442" s="1">
        <v>2093076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1975434</v>
      </c>
      <c r="AF442" s="1">
        <v>4550643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10719022</v>
      </c>
      <c r="AM442" s="1">
        <v>0</v>
      </c>
      <c r="AN442" s="1">
        <v>0</v>
      </c>
      <c r="AO442" s="1">
        <v>74457722</v>
      </c>
      <c r="AP442" s="1">
        <v>9599737</v>
      </c>
      <c r="AQ442" s="1">
        <v>64857985</v>
      </c>
      <c r="AR442" s="1">
        <v>13660216</v>
      </c>
      <c r="AS442" s="1">
        <v>2049032</v>
      </c>
      <c r="AT442" s="1">
        <f t="shared" si="41"/>
        <v>90166970</v>
      </c>
    </row>
    <row r="443" spans="1:46" x14ac:dyDescent="0.2">
      <c r="A443" s="1" t="str">
        <f>"00504"</f>
        <v>00504</v>
      </c>
      <c r="B443" s="1" t="str">
        <f>"مجتبي"</f>
        <v>مجتبي</v>
      </c>
      <c r="C443" s="1" t="str">
        <f>"ميري"</f>
        <v>ميري</v>
      </c>
      <c r="D443" s="1" t="str">
        <f t="shared" si="44"/>
        <v>قراردادي بهره بردار</v>
      </c>
      <c r="E443" s="1" t="str">
        <f t="shared" si="45"/>
        <v>پروژه بهره برداري نيروگاه بوشهر</v>
      </c>
      <c r="F443" s="1">
        <v>14370773</v>
      </c>
      <c r="G443" s="1">
        <v>16430018</v>
      </c>
      <c r="H443" s="1">
        <v>0</v>
      </c>
      <c r="I443" s="1">
        <v>12662355</v>
      </c>
      <c r="J443" s="1">
        <v>0</v>
      </c>
      <c r="K443" s="1">
        <v>4620000</v>
      </c>
      <c r="L443" s="1">
        <v>0</v>
      </c>
      <c r="M443" s="1">
        <v>1000000</v>
      </c>
      <c r="N443" s="1">
        <v>2748739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1606000</v>
      </c>
      <c r="U443" s="1">
        <v>0</v>
      </c>
      <c r="V443" s="1">
        <v>10125254</v>
      </c>
      <c r="W443" s="1">
        <v>1900000</v>
      </c>
      <c r="X443" s="1">
        <v>2086080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1963385</v>
      </c>
      <c r="AF443" s="1">
        <v>1516881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12277591</v>
      </c>
      <c r="AM443" s="1">
        <v>0</v>
      </c>
      <c r="AN443" s="1">
        <v>0</v>
      </c>
      <c r="AO443" s="1">
        <v>83307076</v>
      </c>
      <c r="AP443" s="1">
        <v>37291223</v>
      </c>
      <c r="AQ443" s="1">
        <v>46015853</v>
      </c>
      <c r="AR443" s="1">
        <v>16036839</v>
      </c>
      <c r="AS443" s="1">
        <v>2405526</v>
      </c>
      <c r="AT443" s="1">
        <f t="shared" si="41"/>
        <v>101749441</v>
      </c>
    </row>
    <row r="444" spans="1:46" x14ac:dyDescent="0.2">
      <c r="A444" s="1" t="str">
        <f>"00505"</f>
        <v>00505</v>
      </c>
      <c r="B444" s="1" t="str">
        <f>"جمال"</f>
        <v>جمال</v>
      </c>
      <c r="C444" s="1" t="str">
        <f>"نصيري"</f>
        <v>نصيري</v>
      </c>
      <c r="D444" s="1" t="str">
        <f t="shared" si="44"/>
        <v>قراردادي بهره بردار</v>
      </c>
      <c r="E444" s="1" t="str">
        <f t="shared" si="45"/>
        <v>پروژه بهره برداري نيروگاه بوشهر</v>
      </c>
      <c r="F444" s="1">
        <v>15845092</v>
      </c>
      <c r="G444" s="1">
        <v>15721351</v>
      </c>
      <c r="H444" s="1">
        <v>0</v>
      </c>
      <c r="I444" s="1">
        <v>12533613</v>
      </c>
      <c r="J444" s="1">
        <v>0</v>
      </c>
      <c r="K444" s="1">
        <v>4620000</v>
      </c>
      <c r="L444" s="1">
        <v>0</v>
      </c>
      <c r="M444" s="1">
        <v>1000000</v>
      </c>
      <c r="N444" s="1">
        <v>3023230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1606000</v>
      </c>
      <c r="U444" s="1">
        <v>0</v>
      </c>
      <c r="V444" s="1">
        <v>10415167</v>
      </c>
      <c r="W444" s="1">
        <v>1900000</v>
      </c>
      <c r="X444" s="1">
        <v>2300094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2159450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11721950</v>
      </c>
      <c r="AM444" s="1">
        <v>0</v>
      </c>
      <c r="AN444" s="1">
        <v>0</v>
      </c>
      <c r="AO444" s="1">
        <v>82845947</v>
      </c>
      <c r="AP444" s="1">
        <v>13817927</v>
      </c>
      <c r="AQ444" s="1">
        <v>69028020</v>
      </c>
      <c r="AR444" s="1">
        <v>16247989</v>
      </c>
      <c r="AS444" s="1">
        <v>2437198</v>
      </c>
      <c r="AT444" s="1">
        <f t="shared" si="41"/>
        <v>101531134</v>
      </c>
    </row>
    <row r="445" spans="1:46" x14ac:dyDescent="0.2">
      <c r="A445" s="1" t="str">
        <f>"00506"</f>
        <v>00506</v>
      </c>
      <c r="B445" s="1" t="str">
        <f>"سيد اسحق"</f>
        <v>سيد اسحق</v>
      </c>
      <c r="C445" s="1" t="str">
        <f>"نعمتي"</f>
        <v>نعمتي</v>
      </c>
      <c r="D445" s="1" t="str">
        <f t="shared" si="44"/>
        <v>قراردادي بهره بردار</v>
      </c>
      <c r="E445" s="1" t="str">
        <f t="shared" si="45"/>
        <v>پروژه بهره برداري نيروگاه بوشهر</v>
      </c>
      <c r="F445" s="1">
        <v>14280956</v>
      </c>
      <c r="G445" s="1">
        <v>11231775</v>
      </c>
      <c r="H445" s="1">
        <v>0</v>
      </c>
      <c r="I445" s="1">
        <v>11638132</v>
      </c>
      <c r="J445" s="1">
        <v>0</v>
      </c>
      <c r="K445" s="1">
        <v>4620000</v>
      </c>
      <c r="L445" s="1">
        <v>0</v>
      </c>
      <c r="M445" s="1">
        <v>1000000</v>
      </c>
      <c r="N445" s="1">
        <v>2717303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1606000</v>
      </c>
      <c r="U445" s="1">
        <v>0</v>
      </c>
      <c r="V445" s="1">
        <v>17798761</v>
      </c>
      <c r="W445" s="1">
        <v>1900000</v>
      </c>
      <c r="X445" s="1">
        <v>2073042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1940931</v>
      </c>
      <c r="AF445" s="1">
        <v>8747347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10575881</v>
      </c>
      <c r="AM445" s="1">
        <v>0</v>
      </c>
      <c r="AN445" s="1">
        <v>0</v>
      </c>
      <c r="AO445" s="1">
        <v>90130128</v>
      </c>
      <c r="AP445" s="1">
        <v>33618689</v>
      </c>
      <c r="AQ445" s="1">
        <v>56511439</v>
      </c>
      <c r="AR445" s="1">
        <v>15955356</v>
      </c>
      <c r="AS445" s="1">
        <v>2393303</v>
      </c>
      <c r="AT445" s="1">
        <f t="shared" si="41"/>
        <v>108478787</v>
      </c>
    </row>
    <row r="446" spans="1:46" x14ac:dyDescent="0.2">
      <c r="A446" s="1" t="str">
        <f>"00508"</f>
        <v>00508</v>
      </c>
      <c r="B446" s="1" t="str">
        <f>"عبدالکريم"</f>
        <v>عبدالکريم</v>
      </c>
      <c r="C446" s="1" t="str">
        <f>"نيکنام"</f>
        <v>نيکنام</v>
      </c>
      <c r="D446" s="1" t="str">
        <f t="shared" si="44"/>
        <v>قراردادي بهره بردار</v>
      </c>
      <c r="E446" s="1" t="str">
        <f t="shared" si="45"/>
        <v>پروژه بهره برداري نيروگاه بوشهر</v>
      </c>
      <c r="F446" s="1">
        <v>14024648</v>
      </c>
      <c r="G446" s="1">
        <v>2871883</v>
      </c>
      <c r="H446" s="1">
        <v>0</v>
      </c>
      <c r="I446" s="1">
        <v>11563310</v>
      </c>
      <c r="J446" s="1">
        <v>0</v>
      </c>
      <c r="K446" s="1">
        <v>3465000</v>
      </c>
      <c r="L446" s="1">
        <v>0</v>
      </c>
      <c r="M446" s="1">
        <v>1000000</v>
      </c>
      <c r="N446" s="1">
        <v>2627595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1606000</v>
      </c>
      <c r="U446" s="1">
        <v>0</v>
      </c>
      <c r="V446" s="1">
        <v>9512904</v>
      </c>
      <c r="W446" s="1">
        <v>1900000</v>
      </c>
      <c r="X446" s="1">
        <v>2035836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1876854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11268044</v>
      </c>
      <c r="AM446" s="1">
        <v>0</v>
      </c>
      <c r="AN446" s="1">
        <v>0</v>
      </c>
      <c r="AO446" s="1">
        <v>63752074</v>
      </c>
      <c r="AP446" s="1">
        <v>29890180</v>
      </c>
      <c r="AQ446" s="1">
        <v>33861894</v>
      </c>
      <c r="AR446" s="1">
        <v>12429215</v>
      </c>
      <c r="AS446" s="1">
        <v>1864382</v>
      </c>
      <c r="AT446" s="1">
        <f t="shared" si="41"/>
        <v>78045671</v>
      </c>
    </row>
    <row r="447" spans="1:46" x14ac:dyDescent="0.2">
      <c r="A447" s="1" t="str">
        <f>"00509"</f>
        <v>00509</v>
      </c>
      <c r="B447" s="1" t="str">
        <f>"سيد موسي"</f>
        <v>سيد موسي</v>
      </c>
      <c r="C447" s="1" t="str">
        <f>"هاشمي"</f>
        <v>هاشمي</v>
      </c>
      <c r="D447" s="1" t="str">
        <f t="shared" si="44"/>
        <v>قراردادي بهره بردار</v>
      </c>
      <c r="E447" s="1" t="str">
        <f t="shared" si="45"/>
        <v>پروژه بهره برداري نيروگاه بوشهر</v>
      </c>
      <c r="F447" s="1">
        <v>15065215</v>
      </c>
      <c r="G447" s="1">
        <v>6507459</v>
      </c>
      <c r="H447" s="1">
        <v>0</v>
      </c>
      <c r="I447" s="1">
        <v>12793937</v>
      </c>
      <c r="J447" s="1">
        <v>0</v>
      </c>
      <c r="K447" s="1">
        <v>4620000</v>
      </c>
      <c r="L447" s="1">
        <v>0</v>
      </c>
      <c r="M447" s="1">
        <v>1000000</v>
      </c>
      <c r="N447" s="1">
        <v>2750272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1606000</v>
      </c>
      <c r="U447" s="1">
        <v>0</v>
      </c>
      <c r="V447" s="1">
        <v>10143758</v>
      </c>
      <c r="W447" s="1">
        <v>1900000</v>
      </c>
      <c r="X447" s="1">
        <v>2186886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1964480</v>
      </c>
      <c r="AF447" s="1">
        <v>3033762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11529391</v>
      </c>
      <c r="AM447" s="1">
        <v>0</v>
      </c>
      <c r="AN447" s="1">
        <v>0</v>
      </c>
      <c r="AO447" s="1">
        <v>75101160</v>
      </c>
      <c r="AP447" s="1">
        <v>16159459</v>
      </c>
      <c r="AQ447" s="1">
        <v>58941701</v>
      </c>
      <c r="AR447" s="1">
        <v>14092280</v>
      </c>
      <c r="AS447" s="1">
        <v>2113842</v>
      </c>
      <c r="AT447" s="1">
        <f t="shared" si="41"/>
        <v>91307282</v>
      </c>
    </row>
    <row r="448" spans="1:46" x14ac:dyDescent="0.2">
      <c r="A448" s="1" t="str">
        <f>"00512"</f>
        <v>00512</v>
      </c>
      <c r="B448" s="1" t="str">
        <f>"مريم"</f>
        <v>مريم</v>
      </c>
      <c r="C448" s="1" t="str">
        <f>"سليماني"</f>
        <v>سليماني</v>
      </c>
      <c r="D448" s="1" t="str">
        <f t="shared" si="44"/>
        <v>قراردادي بهره بردار</v>
      </c>
      <c r="E448" s="1" t="str">
        <f t="shared" si="45"/>
        <v>پروژه بهره برداري نيروگاه بوشهر</v>
      </c>
      <c r="F448" s="1">
        <v>15998439</v>
      </c>
      <c r="G448" s="1">
        <v>12384637</v>
      </c>
      <c r="H448" s="1">
        <v>0</v>
      </c>
      <c r="I448" s="1">
        <v>13119893</v>
      </c>
      <c r="J448" s="1">
        <v>1100000</v>
      </c>
      <c r="K448" s="1">
        <v>4125000</v>
      </c>
      <c r="L448" s="1">
        <v>0</v>
      </c>
      <c r="M448" s="1">
        <v>1000000</v>
      </c>
      <c r="N448" s="1">
        <v>2413677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3710528</v>
      </c>
      <c r="W448" s="1">
        <v>1900000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1724055</v>
      </c>
      <c r="AF448" s="1">
        <v>1516881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3849220</v>
      </c>
      <c r="AM448" s="1">
        <v>0</v>
      </c>
      <c r="AN448" s="1">
        <v>0</v>
      </c>
      <c r="AO448" s="1">
        <v>62842330</v>
      </c>
      <c r="AP448" s="1">
        <v>7512436</v>
      </c>
      <c r="AQ448" s="1">
        <v>55329894</v>
      </c>
      <c r="AR448" s="1">
        <v>12045090</v>
      </c>
      <c r="AS448" s="1">
        <v>1806763</v>
      </c>
      <c r="AT448" s="1">
        <f t="shared" si="41"/>
        <v>76694183</v>
      </c>
    </row>
    <row r="449" spans="1:46" x14ac:dyDescent="0.2">
      <c r="A449" s="1" t="str">
        <f>"00513"</f>
        <v>00513</v>
      </c>
      <c r="B449" s="1" t="str">
        <f>"مريم"</f>
        <v>مريم</v>
      </c>
      <c r="C449" s="1" t="str">
        <f>"دهقاني"</f>
        <v>دهقاني</v>
      </c>
      <c r="D449" s="1" t="str">
        <f t="shared" si="44"/>
        <v>قراردادي بهره بردار</v>
      </c>
      <c r="E449" s="1" t="str">
        <f t="shared" si="45"/>
        <v>پروژه بهره برداري نيروگاه بوشهر</v>
      </c>
      <c r="F449" s="1">
        <v>15834139</v>
      </c>
      <c r="G449" s="1">
        <v>3426711</v>
      </c>
      <c r="H449" s="1">
        <v>0</v>
      </c>
      <c r="I449" s="1">
        <v>13126392</v>
      </c>
      <c r="J449" s="1">
        <v>0</v>
      </c>
      <c r="K449" s="1">
        <v>4125000</v>
      </c>
      <c r="L449" s="1">
        <v>0</v>
      </c>
      <c r="M449" s="1">
        <v>1000000</v>
      </c>
      <c r="N449" s="1">
        <v>2356172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3678893</v>
      </c>
      <c r="W449" s="1">
        <v>1900000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1682980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3789251</v>
      </c>
      <c r="AM449" s="1">
        <v>0</v>
      </c>
      <c r="AN449" s="1">
        <v>0</v>
      </c>
      <c r="AO449" s="1">
        <v>50919538</v>
      </c>
      <c r="AP449" s="1">
        <v>19038151</v>
      </c>
      <c r="AQ449" s="1">
        <v>31881387</v>
      </c>
      <c r="AR449" s="1">
        <v>10183908</v>
      </c>
      <c r="AS449" s="1">
        <v>1527586</v>
      </c>
      <c r="AT449" s="1">
        <f t="shared" si="41"/>
        <v>62631032</v>
      </c>
    </row>
    <row r="450" spans="1:46" x14ac:dyDescent="0.2">
      <c r="A450" s="1" t="str">
        <f>"00514"</f>
        <v>00514</v>
      </c>
      <c r="B450" s="1" t="str">
        <f>"بديع الزمان"</f>
        <v>بديع الزمان</v>
      </c>
      <c r="C450" s="1" t="str">
        <f>"رفيعي"</f>
        <v>رفيعي</v>
      </c>
      <c r="D450" s="1" t="str">
        <f>"قراردادي کارگري"</f>
        <v>قراردادي کارگري</v>
      </c>
      <c r="E450" s="1" t="str">
        <f t="shared" ref="E450:E455" si="46">"پروژه تعميرات نيروگاه بوشهر"</f>
        <v>پروژه تعميرات نيروگاه بوشهر</v>
      </c>
      <c r="F450" s="1">
        <v>12180291</v>
      </c>
      <c r="G450" s="1">
        <v>13582854</v>
      </c>
      <c r="H450" s="1">
        <v>0</v>
      </c>
      <c r="I450" s="1">
        <v>10840458</v>
      </c>
      <c r="J450" s="1">
        <v>0</v>
      </c>
      <c r="K450" s="1">
        <v>0</v>
      </c>
      <c r="L450" s="1">
        <v>7628143</v>
      </c>
      <c r="M450" s="1">
        <v>1000000</v>
      </c>
      <c r="N450" s="1">
        <v>6496155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12696162</v>
      </c>
      <c r="W450" s="1">
        <v>1900000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813647</v>
      </c>
      <c r="AD450" s="1">
        <v>0</v>
      </c>
      <c r="AE450" s="1">
        <v>0</v>
      </c>
      <c r="AF450" s="1">
        <v>1516881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68654591</v>
      </c>
      <c r="AP450" s="1">
        <v>15148417</v>
      </c>
      <c r="AQ450" s="1">
        <v>53506174</v>
      </c>
      <c r="AR450" s="1">
        <v>13427542</v>
      </c>
      <c r="AS450" s="1">
        <v>2014131</v>
      </c>
      <c r="AT450" s="1">
        <f t="shared" si="41"/>
        <v>84096264</v>
      </c>
    </row>
    <row r="451" spans="1:46" x14ac:dyDescent="0.2">
      <c r="A451" s="1" t="str">
        <f>"00515"</f>
        <v>00515</v>
      </c>
      <c r="B451" s="1" t="str">
        <f>"كورش"</f>
        <v>كورش</v>
      </c>
      <c r="C451" s="1" t="str">
        <f>"اميني"</f>
        <v>اميني</v>
      </c>
      <c r="D451" s="1" t="str">
        <f>"قراردادي کارگري"</f>
        <v>قراردادي کارگري</v>
      </c>
      <c r="E451" s="1" t="str">
        <f t="shared" si="46"/>
        <v>پروژه تعميرات نيروگاه بوشهر</v>
      </c>
      <c r="F451" s="1">
        <v>12742196</v>
      </c>
      <c r="G451" s="1">
        <v>33754489</v>
      </c>
      <c r="H451" s="1">
        <v>0</v>
      </c>
      <c r="I451" s="1">
        <v>11085710</v>
      </c>
      <c r="J451" s="1">
        <v>0</v>
      </c>
      <c r="K451" s="1">
        <v>0</v>
      </c>
      <c r="L451" s="1">
        <v>7462913</v>
      </c>
      <c r="M451" s="1">
        <v>1000000</v>
      </c>
      <c r="N451" s="1">
        <v>6795839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13013175</v>
      </c>
      <c r="W451" s="1">
        <v>1900000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894660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0</v>
      </c>
      <c r="AO451" s="1">
        <v>88648982</v>
      </c>
      <c r="AP451" s="1">
        <v>16364344</v>
      </c>
      <c r="AQ451" s="1">
        <v>72284638</v>
      </c>
      <c r="AR451" s="1">
        <v>17729796</v>
      </c>
      <c r="AS451" s="1">
        <v>2659469</v>
      </c>
      <c r="AT451" s="1">
        <f t="shared" ref="AT451:AT514" si="47">AO451+AR451+AS451</f>
        <v>109038247</v>
      </c>
    </row>
    <row r="452" spans="1:46" x14ac:dyDescent="0.2">
      <c r="A452" s="1" t="str">
        <f>"00516"</f>
        <v>00516</v>
      </c>
      <c r="B452" s="1" t="str">
        <f>"رضا"</f>
        <v>رضا</v>
      </c>
      <c r="C452" s="1" t="str">
        <f>"اشك منش"</f>
        <v>اشك منش</v>
      </c>
      <c r="D452" s="1" t="str">
        <f t="shared" ref="D452:D461" si="48">"قراردادي بهره بردار"</f>
        <v>قراردادي بهره بردار</v>
      </c>
      <c r="E452" s="1" t="str">
        <f t="shared" si="46"/>
        <v>پروژه تعميرات نيروگاه بوشهر</v>
      </c>
      <c r="F452" s="1">
        <v>24349260</v>
      </c>
      <c r="G452" s="1">
        <v>6897964</v>
      </c>
      <c r="H452" s="1">
        <v>0</v>
      </c>
      <c r="I452" s="1">
        <v>30364524</v>
      </c>
      <c r="J452" s="1">
        <v>0</v>
      </c>
      <c r="K452" s="1">
        <v>5500000</v>
      </c>
      <c r="L452" s="1">
        <v>0</v>
      </c>
      <c r="M452" s="1">
        <v>1000000</v>
      </c>
      <c r="N452" s="1">
        <v>3418864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6835944</v>
      </c>
      <c r="W452" s="1">
        <v>1900000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3877480</v>
      </c>
      <c r="AD452" s="1">
        <v>0</v>
      </c>
      <c r="AE452" s="1">
        <v>2442046</v>
      </c>
      <c r="AF452" s="1">
        <v>1516881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3907273</v>
      </c>
      <c r="AM452" s="1">
        <v>0</v>
      </c>
      <c r="AN452" s="1">
        <v>0</v>
      </c>
      <c r="AO452" s="1">
        <v>92010236</v>
      </c>
      <c r="AP452" s="1">
        <v>22135556</v>
      </c>
      <c r="AQ452" s="1">
        <v>69874680</v>
      </c>
      <c r="AR452" s="1">
        <v>18098671</v>
      </c>
      <c r="AS452" s="1">
        <v>2714801</v>
      </c>
      <c r="AT452" s="1">
        <f t="shared" si="47"/>
        <v>112823708</v>
      </c>
    </row>
    <row r="453" spans="1:46" x14ac:dyDescent="0.2">
      <c r="A453" s="1" t="str">
        <f>"00517"</f>
        <v>00517</v>
      </c>
      <c r="B453" s="1" t="str">
        <f>"سجاد"</f>
        <v>سجاد</v>
      </c>
      <c r="C453" s="1" t="str">
        <f>"جعفري زاده"</f>
        <v>جعفري زاده</v>
      </c>
      <c r="D453" s="1" t="str">
        <f t="shared" si="48"/>
        <v>قراردادي بهره بردار</v>
      </c>
      <c r="E453" s="1" t="str">
        <f t="shared" si="46"/>
        <v>پروژه تعميرات نيروگاه بوشهر</v>
      </c>
      <c r="F453" s="1">
        <v>19937257</v>
      </c>
      <c r="G453" s="1">
        <v>1611964</v>
      </c>
      <c r="H453" s="1">
        <v>0</v>
      </c>
      <c r="I453" s="1">
        <v>15122091</v>
      </c>
      <c r="J453" s="1">
        <v>0</v>
      </c>
      <c r="K453" s="1">
        <v>5500000</v>
      </c>
      <c r="L453" s="1">
        <v>0</v>
      </c>
      <c r="M453" s="1">
        <v>1000000</v>
      </c>
      <c r="N453" s="1">
        <v>3240215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10576206</v>
      </c>
      <c r="W453" s="1">
        <v>1900000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2314439</v>
      </c>
      <c r="AF453" s="1">
        <v>1516881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5919357</v>
      </c>
      <c r="AM453" s="1">
        <v>0</v>
      </c>
      <c r="AN453" s="1">
        <v>0</v>
      </c>
      <c r="AO453" s="1">
        <v>68638410</v>
      </c>
      <c r="AP453" s="1">
        <v>36415016</v>
      </c>
      <c r="AQ453" s="1">
        <v>32223394</v>
      </c>
      <c r="AR453" s="1">
        <v>13424306</v>
      </c>
      <c r="AS453" s="1">
        <v>2013646</v>
      </c>
      <c r="AT453" s="1">
        <f t="shared" si="47"/>
        <v>84076362</v>
      </c>
    </row>
    <row r="454" spans="1:46" x14ac:dyDescent="0.2">
      <c r="A454" s="1" t="str">
        <f>"00519"</f>
        <v>00519</v>
      </c>
      <c r="B454" s="1" t="str">
        <f>"رامين"</f>
        <v>رامين</v>
      </c>
      <c r="C454" s="1" t="str">
        <f>"وزان"</f>
        <v>وزان</v>
      </c>
      <c r="D454" s="1" t="str">
        <f t="shared" si="48"/>
        <v>قراردادي بهره بردار</v>
      </c>
      <c r="E454" s="1" t="str">
        <f t="shared" si="46"/>
        <v>پروژه تعميرات نيروگاه بوشهر</v>
      </c>
      <c r="F454" s="1">
        <v>20896769</v>
      </c>
      <c r="G454" s="1">
        <v>2408677</v>
      </c>
      <c r="H454" s="1">
        <v>0</v>
      </c>
      <c r="I454" s="1">
        <v>18152591</v>
      </c>
      <c r="J454" s="1">
        <v>0</v>
      </c>
      <c r="K454" s="1">
        <v>5500000</v>
      </c>
      <c r="L454" s="1">
        <v>0</v>
      </c>
      <c r="M454" s="1">
        <v>1000000</v>
      </c>
      <c r="N454" s="1">
        <v>3576044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16550008</v>
      </c>
      <c r="W454" s="1">
        <v>1900000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2554317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6539052</v>
      </c>
      <c r="AM454" s="1">
        <v>0</v>
      </c>
      <c r="AN454" s="1">
        <v>0</v>
      </c>
      <c r="AO454" s="1">
        <v>79077458</v>
      </c>
      <c r="AP454" s="1">
        <v>9965048</v>
      </c>
      <c r="AQ454" s="1">
        <v>69112410</v>
      </c>
      <c r="AR454" s="1">
        <v>15815492</v>
      </c>
      <c r="AS454" s="1">
        <v>2372324</v>
      </c>
      <c r="AT454" s="1">
        <f t="shared" si="47"/>
        <v>97265274</v>
      </c>
    </row>
    <row r="455" spans="1:46" x14ac:dyDescent="0.2">
      <c r="A455" s="1" t="str">
        <f>"00520"</f>
        <v>00520</v>
      </c>
      <c r="B455" s="1" t="str">
        <f>"امير"</f>
        <v>امير</v>
      </c>
      <c r="C455" s="1" t="str">
        <f>"مجدميان"</f>
        <v>مجدميان</v>
      </c>
      <c r="D455" s="1" t="str">
        <f t="shared" si="48"/>
        <v>قراردادي بهره بردار</v>
      </c>
      <c r="E455" s="1" t="str">
        <f t="shared" si="46"/>
        <v>پروژه تعميرات نيروگاه بوشهر</v>
      </c>
      <c r="F455" s="1">
        <v>18655717</v>
      </c>
      <c r="G455" s="1">
        <v>8552053</v>
      </c>
      <c r="H455" s="1">
        <v>0</v>
      </c>
      <c r="I455" s="1">
        <v>14494717</v>
      </c>
      <c r="J455" s="1">
        <v>0</v>
      </c>
      <c r="K455" s="1">
        <v>4620000</v>
      </c>
      <c r="L455" s="1">
        <v>0</v>
      </c>
      <c r="M455" s="1">
        <v>1000000</v>
      </c>
      <c r="N455" s="1">
        <v>3650417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14690280</v>
      </c>
      <c r="W455" s="1">
        <v>1900000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2607441</v>
      </c>
      <c r="AF455" s="1">
        <v>1516881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6498832</v>
      </c>
      <c r="AM455" s="1">
        <v>0</v>
      </c>
      <c r="AN455" s="1">
        <v>0</v>
      </c>
      <c r="AO455" s="1">
        <v>78186338</v>
      </c>
      <c r="AP455" s="1">
        <v>16263065</v>
      </c>
      <c r="AQ455" s="1">
        <v>61923273</v>
      </c>
      <c r="AR455" s="1">
        <v>15333891</v>
      </c>
      <c r="AS455" s="1">
        <v>2300084</v>
      </c>
      <c r="AT455" s="1">
        <f t="shared" si="47"/>
        <v>95820313</v>
      </c>
    </row>
    <row r="456" spans="1:46" x14ac:dyDescent="0.2">
      <c r="A456" s="1" t="str">
        <f>"00521"</f>
        <v>00521</v>
      </c>
      <c r="B456" s="1" t="str">
        <f>"حسين"</f>
        <v>حسين</v>
      </c>
      <c r="C456" s="1" t="str">
        <f>"آرمند"</f>
        <v>آرمند</v>
      </c>
      <c r="D456" s="1" t="str">
        <f t="shared" si="48"/>
        <v>قراردادي بهره بردار</v>
      </c>
      <c r="E456" s="1" t="str">
        <f t="shared" ref="E456:E461" si="49">"پروژه بهره برداري نيروگاه بوشهر"</f>
        <v>پروژه بهره برداري نيروگاه بوشهر</v>
      </c>
      <c r="F456" s="1">
        <v>15803469</v>
      </c>
      <c r="G456" s="1">
        <v>14932931</v>
      </c>
      <c r="H456" s="1">
        <v>0</v>
      </c>
      <c r="I456" s="1">
        <v>13197881</v>
      </c>
      <c r="J456" s="1">
        <v>0</v>
      </c>
      <c r="K456" s="1">
        <v>4620000</v>
      </c>
      <c r="L456" s="1">
        <v>0</v>
      </c>
      <c r="M456" s="1">
        <v>1000000</v>
      </c>
      <c r="N456" s="1">
        <v>3008662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1606000</v>
      </c>
      <c r="U456" s="1">
        <v>0</v>
      </c>
      <c r="V456" s="1">
        <v>13154372</v>
      </c>
      <c r="W456" s="1">
        <v>1900000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2149044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6948357</v>
      </c>
      <c r="AM456" s="1">
        <v>0</v>
      </c>
      <c r="AN456" s="1">
        <v>0</v>
      </c>
      <c r="AO456" s="1">
        <v>78320716</v>
      </c>
      <c r="AP456" s="1">
        <v>14225263</v>
      </c>
      <c r="AQ456" s="1">
        <v>64095453</v>
      </c>
      <c r="AR456" s="1">
        <v>15342943</v>
      </c>
      <c r="AS456" s="1">
        <v>2301441</v>
      </c>
      <c r="AT456" s="1">
        <f t="shared" si="47"/>
        <v>95965100</v>
      </c>
    </row>
    <row r="457" spans="1:46" x14ac:dyDescent="0.2">
      <c r="A457" s="1" t="str">
        <f>"00522"</f>
        <v>00522</v>
      </c>
      <c r="B457" s="1" t="str">
        <f>"حميد"</f>
        <v>حميد</v>
      </c>
      <c r="C457" s="1" t="str">
        <f>"آقا بابايي"</f>
        <v>آقا بابايي</v>
      </c>
      <c r="D457" s="1" t="str">
        <f t="shared" si="48"/>
        <v>قراردادي بهره بردار</v>
      </c>
      <c r="E457" s="1" t="str">
        <f t="shared" si="49"/>
        <v>پروژه بهره برداري نيروگاه بوشهر</v>
      </c>
      <c r="F457" s="1">
        <v>37760521</v>
      </c>
      <c r="G457" s="1">
        <v>54553350</v>
      </c>
      <c r="H457" s="1">
        <v>0</v>
      </c>
      <c r="I457" s="1">
        <v>47215802</v>
      </c>
      <c r="J457" s="1">
        <v>0</v>
      </c>
      <c r="K457" s="1">
        <v>5500000</v>
      </c>
      <c r="L457" s="1">
        <v>0</v>
      </c>
      <c r="M457" s="1">
        <v>1000000</v>
      </c>
      <c r="N457" s="1">
        <v>5524314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10335547</v>
      </c>
      <c r="W457" s="1">
        <v>1900000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3384580</v>
      </c>
      <c r="AD457" s="1">
        <v>0</v>
      </c>
      <c r="AE457" s="1">
        <v>3945938</v>
      </c>
      <c r="AF457" s="1">
        <v>3033762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5524314</v>
      </c>
      <c r="AM457" s="1">
        <v>0</v>
      </c>
      <c r="AN457" s="1">
        <v>0</v>
      </c>
      <c r="AO457" s="1">
        <v>179678128</v>
      </c>
      <c r="AP457" s="1">
        <v>42755451</v>
      </c>
      <c r="AQ457" s="1">
        <v>136922677</v>
      </c>
      <c r="AR457" s="1">
        <v>21944212</v>
      </c>
      <c r="AS457" s="1">
        <v>3291632</v>
      </c>
      <c r="AT457" s="1">
        <f t="shared" si="47"/>
        <v>204913972</v>
      </c>
    </row>
    <row r="458" spans="1:46" x14ac:dyDescent="0.2">
      <c r="A458" s="1" t="str">
        <f>"00523"</f>
        <v>00523</v>
      </c>
      <c r="B458" s="1" t="str">
        <f>"محسن"</f>
        <v>محسن</v>
      </c>
      <c r="C458" s="1" t="str">
        <f>"ابراهيمي"</f>
        <v>ابراهيمي</v>
      </c>
      <c r="D458" s="1" t="str">
        <f t="shared" si="48"/>
        <v>قراردادي بهره بردار</v>
      </c>
      <c r="E458" s="1" t="str">
        <f t="shared" si="49"/>
        <v>پروژه بهره برداري نيروگاه بوشهر</v>
      </c>
      <c r="F458" s="1">
        <v>18283304</v>
      </c>
      <c r="G458" s="1">
        <v>864993</v>
      </c>
      <c r="H458" s="1">
        <v>0</v>
      </c>
      <c r="I458" s="1">
        <v>13493288</v>
      </c>
      <c r="J458" s="1">
        <v>0</v>
      </c>
      <c r="K458" s="1">
        <v>5500000</v>
      </c>
      <c r="L458" s="1">
        <v>0</v>
      </c>
      <c r="M458" s="1">
        <v>1000000</v>
      </c>
      <c r="N458" s="1">
        <v>3040864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1606000</v>
      </c>
      <c r="U458" s="1">
        <v>0</v>
      </c>
      <c r="V458" s="1">
        <v>18801556</v>
      </c>
      <c r="W458" s="1">
        <v>1900000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2172046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5499888</v>
      </c>
      <c r="AM458" s="1">
        <v>0</v>
      </c>
      <c r="AN458" s="1">
        <v>0</v>
      </c>
      <c r="AO458" s="1">
        <v>72161939</v>
      </c>
      <c r="AP458" s="1">
        <v>18879778</v>
      </c>
      <c r="AQ458" s="1">
        <v>53282161</v>
      </c>
      <c r="AR458" s="1">
        <v>14111188</v>
      </c>
      <c r="AS458" s="1">
        <v>2116678</v>
      </c>
      <c r="AT458" s="1">
        <f t="shared" si="47"/>
        <v>88389805</v>
      </c>
    </row>
    <row r="459" spans="1:46" x14ac:dyDescent="0.2">
      <c r="A459" s="1" t="str">
        <f>"00524"</f>
        <v>00524</v>
      </c>
      <c r="B459" s="1" t="str">
        <f>"مهدي"</f>
        <v>مهدي</v>
      </c>
      <c r="C459" s="1" t="str">
        <f>"اسکندري"</f>
        <v>اسکندري</v>
      </c>
      <c r="D459" s="1" t="str">
        <f t="shared" si="48"/>
        <v>قراردادي بهره بردار</v>
      </c>
      <c r="E459" s="1" t="str">
        <f t="shared" si="49"/>
        <v>پروژه بهره برداري نيروگاه بوشهر</v>
      </c>
      <c r="F459" s="1">
        <v>18543993</v>
      </c>
      <c r="G459" s="1">
        <v>17282620</v>
      </c>
      <c r="H459" s="1">
        <v>0</v>
      </c>
      <c r="I459" s="1">
        <v>15103231</v>
      </c>
      <c r="J459" s="1">
        <v>0</v>
      </c>
      <c r="K459" s="1">
        <v>5500000</v>
      </c>
      <c r="L459" s="1">
        <v>0</v>
      </c>
      <c r="M459" s="1">
        <v>1000000</v>
      </c>
      <c r="N459" s="1">
        <v>3132106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13878164</v>
      </c>
      <c r="W459" s="1">
        <v>1900000</v>
      </c>
      <c r="X459" s="1">
        <v>2691870</v>
      </c>
      <c r="Y459" s="1">
        <v>0</v>
      </c>
      <c r="Z459" s="1">
        <v>0</v>
      </c>
      <c r="AA459" s="1">
        <v>0</v>
      </c>
      <c r="AB459" s="1">
        <v>0</v>
      </c>
      <c r="AC459" s="1">
        <v>3877480</v>
      </c>
      <c r="AD459" s="1">
        <v>0</v>
      </c>
      <c r="AE459" s="1">
        <v>2237218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17445812</v>
      </c>
      <c r="AM459" s="1">
        <v>0</v>
      </c>
      <c r="AN459" s="1">
        <v>0</v>
      </c>
      <c r="AO459" s="1">
        <v>102592494</v>
      </c>
      <c r="AP459" s="1">
        <v>18680912</v>
      </c>
      <c r="AQ459" s="1">
        <v>83911582</v>
      </c>
      <c r="AR459" s="1">
        <v>20518499</v>
      </c>
      <c r="AS459" s="1">
        <v>3077775</v>
      </c>
      <c r="AT459" s="1">
        <f t="shared" si="47"/>
        <v>126188768</v>
      </c>
    </row>
    <row r="460" spans="1:46" x14ac:dyDescent="0.2">
      <c r="A460" s="1" t="str">
        <f>"00525"</f>
        <v>00525</v>
      </c>
      <c r="B460" s="1" t="str">
        <f>"روح اله"</f>
        <v>روح اله</v>
      </c>
      <c r="C460" s="1" t="str">
        <f>"اسيري"</f>
        <v>اسيري</v>
      </c>
      <c r="D460" s="1" t="str">
        <f t="shared" si="48"/>
        <v>قراردادي بهره بردار</v>
      </c>
      <c r="E460" s="1" t="str">
        <f t="shared" si="49"/>
        <v>پروژه بهره برداري نيروگاه بوشهر</v>
      </c>
      <c r="F460" s="1">
        <v>15284281</v>
      </c>
      <c r="G460" s="1">
        <v>5447742</v>
      </c>
      <c r="H460" s="1">
        <v>0</v>
      </c>
      <c r="I460" s="1">
        <v>13911874</v>
      </c>
      <c r="J460" s="1">
        <v>0</v>
      </c>
      <c r="K460" s="1">
        <v>4620000</v>
      </c>
      <c r="L460" s="1">
        <v>0</v>
      </c>
      <c r="M460" s="1">
        <v>1000000</v>
      </c>
      <c r="N460" s="1">
        <v>2826946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1606000</v>
      </c>
      <c r="U460" s="1">
        <v>0</v>
      </c>
      <c r="V460" s="1">
        <v>9624133</v>
      </c>
      <c r="W460" s="1">
        <v>1900000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2019247</v>
      </c>
      <c r="AF460" s="1">
        <v>1516881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7801709</v>
      </c>
      <c r="AM460" s="1">
        <v>0</v>
      </c>
      <c r="AN460" s="1">
        <v>0</v>
      </c>
      <c r="AO460" s="1">
        <v>67558813</v>
      </c>
      <c r="AP460" s="1">
        <v>11418970</v>
      </c>
      <c r="AQ460" s="1">
        <v>56139843</v>
      </c>
      <c r="AR460" s="1">
        <v>12887186</v>
      </c>
      <c r="AS460" s="1">
        <v>1933078</v>
      </c>
      <c r="AT460" s="1">
        <f t="shared" si="47"/>
        <v>82379077</v>
      </c>
    </row>
    <row r="461" spans="1:46" x14ac:dyDescent="0.2">
      <c r="A461" s="1" t="str">
        <f>"00526"</f>
        <v>00526</v>
      </c>
      <c r="B461" s="1" t="str">
        <f>"سارا"</f>
        <v>سارا</v>
      </c>
      <c r="C461" s="1" t="str">
        <f>"اميدي"</f>
        <v>اميدي</v>
      </c>
      <c r="D461" s="1" t="str">
        <f t="shared" si="48"/>
        <v>قراردادي بهره بردار</v>
      </c>
      <c r="E461" s="1" t="str">
        <f t="shared" si="49"/>
        <v>پروژه بهره برداري نيروگاه بوشهر</v>
      </c>
      <c r="F461" s="1">
        <v>13864729</v>
      </c>
      <c r="G461" s="1">
        <v>0</v>
      </c>
      <c r="H461" s="1">
        <v>0</v>
      </c>
      <c r="I461" s="1">
        <v>10268235</v>
      </c>
      <c r="J461" s="1">
        <v>0</v>
      </c>
      <c r="K461" s="1">
        <v>3465000</v>
      </c>
      <c r="L461" s="1">
        <v>0</v>
      </c>
      <c r="M461" s="1">
        <v>1000000</v>
      </c>
      <c r="N461" s="1">
        <v>2571624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3295949</v>
      </c>
      <c r="W461" s="1">
        <v>1900000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1836874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4418027</v>
      </c>
      <c r="AM461" s="1">
        <v>0</v>
      </c>
      <c r="AN461" s="1">
        <v>0</v>
      </c>
      <c r="AO461" s="1">
        <v>42620438</v>
      </c>
      <c r="AP461" s="1">
        <v>19759688</v>
      </c>
      <c r="AQ461" s="1">
        <v>22860750</v>
      </c>
      <c r="AR461" s="1">
        <v>8524088</v>
      </c>
      <c r="AS461" s="1">
        <v>1278613</v>
      </c>
      <c r="AT461" s="1">
        <f t="shared" si="47"/>
        <v>52423139</v>
      </c>
    </row>
    <row r="462" spans="1:46" x14ac:dyDescent="0.2">
      <c r="A462" s="1" t="str">
        <f>"00527"</f>
        <v>00527</v>
      </c>
      <c r="B462" s="1" t="str">
        <f>"اسحاق"</f>
        <v>اسحاق</v>
      </c>
      <c r="C462" s="1" t="str">
        <f>"غلامي"</f>
        <v>غلامي</v>
      </c>
      <c r="D462" s="1" t="str">
        <f>"قراردادي کارگري"</f>
        <v>قراردادي کارگري</v>
      </c>
      <c r="E462" s="1" t="str">
        <f>"پروژه تعميرات نيروگاه بوشهر"</f>
        <v>پروژه تعميرات نيروگاه بوشهر</v>
      </c>
      <c r="F462" s="1">
        <v>6431064</v>
      </c>
      <c r="G462" s="1">
        <v>6406216</v>
      </c>
      <c r="H462" s="1">
        <v>0</v>
      </c>
      <c r="I462" s="1">
        <v>5209161</v>
      </c>
      <c r="J462" s="1">
        <v>0</v>
      </c>
      <c r="K462" s="1">
        <v>0</v>
      </c>
      <c r="L462" s="1">
        <v>7628143</v>
      </c>
      <c r="M462" s="1">
        <v>1000000</v>
      </c>
      <c r="N462" s="1">
        <v>3384770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2564980</v>
      </c>
      <c r="W462" s="1">
        <v>1900000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1516881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36041215</v>
      </c>
      <c r="AP462" s="1">
        <v>8969354</v>
      </c>
      <c r="AQ462" s="1">
        <v>27071861</v>
      </c>
      <c r="AR462" s="1">
        <v>6904867</v>
      </c>
      <c r="AS462" s="1">
        <v>1035730</v>
      </c>
      <c r="AT462" s="1">
        <f t="shared" si="47"/>
        <v>43981812</v>
      </c>
    </row>
    <row r="463" spans="1:46" x14ac:dyDescent="0.2">
      <c r="A463" s="1" t="str">
        <f>"00528"</f>
        <v>00528</v>
      </c>
      <c r="B463" s="1" t="str">
        <f>"ميلاد"</f>
        <v>ميلاد</v>
      </c>
      <c r="C463" s="1" t="str">
        <f>"بيژندي"</f>
        <v>بيژندي</v>
      </c>
      <c r="D463" s="1" t="str">
        <f t="shared" ref="D463:D494" si="50">"قراردادي بهره بردار"</f>
        <v>قراردادي بهره بردار</v>
      </c>
      <c r="E463" s="1" t="str">
        <f t="shared" ref="E463:E493" si="51">"پروژه بهره برداري نيروگاه بوشهر"</f>
        <v>پروژه بهره برداري نيروگاه بوشهر</v>
      </c>
      <c r="F463" s="1">
        <v>13972072</v>
      </c>
      <c r="G463" s="1">
        <v>4573025</v>
      </c>
      <c r="H463" s="1">
        <v>0</v>
      </c>
      <c r="I463" s="1">
        <v>10559915</v>
      </c>
      <c r="J463" s="1">
        <v>0</v>
      </c>
      <c r="K463" s="1">
        <v>0</v>
      </c>
      <c r="L463" s="1">
        <v>0</v>
      </c>
      <c r="M463" s="1">
        <v>1000000</v>
      </c>
      <c r="N463" s="1">
        <v>2609194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13777874</v>
      </c>
      <c r="W463" s="1">
        <v>1900000</v>
      </c>
      <c r="X463" s="1">
        <v>2028204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1863710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11222478</v>
      </c>
      <c r="AM463" s="1">
        <v>0</v>
      </c>
      <c r="AN463" s="1">
        <v>0</v>
      </c>
      <c r="AO463" s="1">
        <v>63506472</v>
      </c>
      <c r="AP463" s="1">
        <v>11783038</v>
      </c>
      <c r="AQ463" s="1">
        <v>51723434</v>
      </c>
      <c r="AR463" s="1">
        <v>12701294</v>
      </c>
      <c r="AS463" s="1">
        <v>1905194</v>
      </c>
      <c r="AT463" s="1">
        <f t="shared" si="47"/>
        <v>78112960</v>
      </c>
    </row>
    <row r="464" spans="1:46" x14ac:dyDescent="0.2">
      <c r="A464" s="1" t="str">
        <f>"00531"</f>
        <v>00531</v>
      </c>
      <c r="B464" s="1" t="str">
        <f>"مسعود"</f>
        <v>مسعود</v>
      </c>
      <c r="C464" s="1" t="str">
        <f>"حسين آبادي"</f>
        <v>حسين آبادي</v>
      </c>
      <c r="D464" s="1" t="str">
        <f t="shared" si="50"/>
        <v>قراردادي بهره بردار</v>
      </c>
      <c r="E464" s="1" t="str">
        <f t="shared" si="51"/>
        <v>پروژه بهره برداري نيروگاه بوشهر</v>
      </c>
      <c r="F464" s="1">
        <v>15691745</v>
      </c>
      <c r="G464" s="1">
        <v>16300290</v>
      </c>
      <c r="H464" s="1">
        <v>0</v>
      </c>
      <c r="I464" s="1">
        <v>14091081</v>
      </c>
      <c r="J464" s="1">
        <v>0</v>
      </c>
      <c r="K464" s="1">
        <v>4620000</v>
      </c>
      <c r="L464" s="1">
        <v>0</v>
      </c>
      <c r="M464" s="1">
        <v>1000000</v>
      </c>
      <c r="N464" s="1">
        <v>2969558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1606000</v>
      </c>
      <c r="U464" s="1">
        <v>0</v>
      </c>
      <c r="V464" s="1">
        <v>15045283</v>
      </c>
      <c r="W464" s="1">
        <v>1900000</v>
      </c>
      <c r="X464" s="1">
        <v>2277834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2121113</v>
      </c>
      <c r="AF464" s="1">
        <v>1516881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12513219</v>
      </c>
      <c r="AM464" s="1">
        <v>0</v>
      </c>
      <c r="AN464" s="1">
        <v>0</v>
      </c>
      <c r="AO464" s="1">
        <v>91653004</v>
      </c>
      <c r="AP464" s="1">
        <v>32262665</v>
      </c>
      <c r="AQ464" s="1">
        <v>59390339</v>
      </c>
      <c r="AR464" s="1">
        <v>17706025</v>
      </c>
      <c r="AS464" s="1">
        <v>2655904</v>
      </c>
      <c r="AT464" s="1">
        <f t="shared" si="47"/>
        <v>112014933</v>
      </c>
    </row>
    <row r="465" spans="1:46" x14ac:dyDescent="0.2">
      <c r="A465" s="1" t="str">
        <f>"00533"</f>
        <v>00533</v>
      </c>
      <c r="B465" s="1" t="str">
        <f>"نيما"</f>
        <v>نيما</v>
      </c>
      <c r="C465" s="1" t="str">
        <f>"درست کار"</f>
        <v>درست کار</v>
      </c>
      <c r="D465" s="1" t="str">
        <f t="shared" si="50"/>
        <v>قراردادي بهره بردار</v>
      </c>
      <c r="E465" s="1" t="str">
        <f t="shared" si="51"/>
        <v>پروژه بهره برداري نيروگاه بوشهر</v>
      </c>
      <c r="F465" s="1">
        <v>19343587</v>
      </c>
      <c r="G465" s="1">
        <v>10217081</v>
      </c>
      <c r="H465" s="1">
        <v>0</v>
      </c>
      <c r="I465" s="1">
        <v>17320805</v>
      </c>
      <c r="J465" s="1">
        <v>0</v>
      </c>
      <c r="K465" s="1">
        <v>5500000</v>
      </c>
      <c r="L465" s="1">
        <v>0</v>
      </c>
      <c r="M465" s="1">
        <v>1000000</v>
      </c>
      <c r="N465" s="1">
        <v>3411963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1606000</v>
      </c>
      <c r="U465" s="1">
        <v>0</v>
      </c>
      <c r="V465" s="1">
        <v>20154960</v>
      </c>
      <c r="W465" s="1">
        <v>1900000</v>
      </c>
      <c r="X465" s="1">
        <v>2807940</v>
      </c>
      <c r="Y465" s="1">
        <v>0</v>
      </c>
      <c r="Z465" s="1">
        <v>0</v>
      </c>
      <c r="AA465" s="1">
        <v>0</v>
      </c>
      <c r="AB465" s="1">
        <v>0</v>
      </c>
      <c r="AC465" s="1">
        <v>3877480</v>
      </c>
      <c r="AD465" s="1">
        <v>0</v>
      </c>
      <c r="AE465" s="1">
        <v>2437117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18625048</v>
      </c>
      <c r="AM465" s="1">
        <v>0</v>
      </c>
      <c r="AN465" s="1">
        <v>0</v>
      </c>
      <c r="AO465" s="1">
        <v>108201981</v>
      </c>
      <c r="AP465" s="1">
        <v>44071031</v>
      </c>
      <c r="AQ465" s="1">
        <v>64130950</v>
      </c>
      <c r="AR465" s="1">
        <v>21319196</v>
      </c>
      <c r="AS465" s="1">
        <v>3197879</v>
      </c>
      <c r="AT465" s="1">
        <f t="shared" si="47"/>
        <v>132719056</v>
      </c>
    </row>
    <row r="466" spans="1:46" x14ac:dyDescent="0.2">
      <c r="A466" s="1" t="str">
        <f>"00534"</f>
        <v>00534</v>
      </c>
      <c r="B466" s="1" t="str">
        <f>"اكرم"</f>
        <v>اكرم</v>
      </c>
      <c r="C466" s="1" t="str">
        <f>"درويشي"</f>
        <v>درويشي</v>
      </c>
      <c r="D466" s="1" t="str">
        <f t="shared" si="50"/>
        <v>قراردادي بهره بردار</v>
      </c>
      <c r="E466" s="1" t="str">
        <f t="shared" si="51"/>
        <v>پروژه بهره برداري نيروگاه بوشهر</v>
      </c>
      <c r="F466" s="1">
        <v>13599659</v>
      </c>
      <c r="G466" s="1">
        <v>0</v>
      </c>
      <c r="H466" s="1">
        <v>0</v>
      </c>
      <c r="I466" s="1">
        <v>9586062</v>
      </c>
      <c r="J466" s="1">
        <v>0</v>
      </c>
      <c r="K466" s="1">
        <v>3465000</v>
      </c>
      <c r="L466" s="1">
        <v>0</v>
      </c>
      <c r="M466" s="1">
        <v>1000000</v>
      </c>
      <c r="N466" s="1">
        <v>2505685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1606000</v>
      </c>
      <c r="U466" s="1">
        <v>0</v>
      </c>
      <c r="V466" s="1">
        <v>3183294</v>
      </c>
      <c r="W466" s="1">
        <v>1900000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1789775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4351759</v>
      </c>
      <c r="AM466" s="1">
        <v>0</v>
      </c>
      <c r="AN466" s="1">
        <v>0</v>
      </c>
      <c r="AO466" s="1">
        <v>42987234</v>
      </c>
      <c r="AP466" s="1">
        <v>13137732</v>
      </c>
      <c r="AQ466" s="1">
        <v>29849502</v>
      </c>
      <c r="AR466" s="1">
        <v>8276247</v>
      </c>
      <c r="AS466" s="1">
        <v>1241437</v>
      </c>
      <c r="AT466" s="1">
        <f t="shared" si="47"/>
        <v>52504918</v>
      </c>
    </row>
    <row r="467" spans="1:46" x14ac:dyDescent="0.2">
      <c r="A467" s="1" t="str">
        <f>"00535"</f>
        <v>00535</v>
      </c>
      <c r="B467" s="1" t="str">
        <f>"اسماء"</f>
        <v>اسماء</v>
      </c>
      <c r="C467" s="1" t="str">
        <f>"دولتي"</f>
        <v>دولتي</v>
      </c>
      <c r="D467" s="1" t="str">
        <f t="shared" si="50"/>
        <v>قراردادي بهره بردار</v>
      </c>
      <c r="E467" s="1" t="str">
        <f t="shared" si="51"/>
        <v>پروژه بهره برداري نيروگاه بوشهر</v>
      </c>
      <c r="F467" s="1">
        <v>12640147</v>
      </c>
      <c r="G467" s="1">
        <v>2516173</v>
      </c>
      <c r="H467" s="1">
        <v>0</v>
      </c>
      <c r="I467" s="1">
        <v>8724162</v>
      </c>
      <c r="J467" s="1">
        <v>0</v>
      </c>
      <c r="K467" s="1">
        <v>3465000</v>
      </c>
      <c r="L467" s="1">
        <v>0</v>
      </c>
      <c r="M467" s="1">
        <v>1000000</v>
      </c>
      <c r="N467" s="1">
        <v>2143020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2946923</v>
      </c>
      <c r="W467" s="1">
        <v>1900000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1530728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4431171</v>
      </c>
      <c r="AM467" s="1">
        <v>0</v>
      </c>
      <c r="AN467" s="1">
        <v>0</v>
      </c>
      <c r="AO467" s="1">
        <v>41297324</v>
      </c>
      <c r="AP467" s="1">
        <v>16929363</v>
      </c>
      <c r="AQ467" s="1">
        <v>24367961</v>
      </c>
      <c r="AR467" s="1">
        <v>8259465</v>
      </c>
      <c r="AS467" s="1">
        <v>1238920</v>
      </c>
      <c r="AT467" s="1">
        <f t="shared" si="47"/>
        <v>50795709</v>
      </c>
    </row>
    <row r="468" spans="1:46" x14ac:dyDescent="0.2">
      <c r="A468" s="1" t="str">
        <f>"00536"</f>
        <v>00536</v>
      </c>
      <c r="B468" s="1" t="str">
        <f>"سجاد"</f>
        <v>سجاد</v>
      </c>
      <c r="C468" s="1" t="str">
        <f>"دهقاني فتح ابادي"</f>
        <v>دهقاني فتح ابادي</v>
      </c>
      <c r="D468" s="1" t="str">
        <f t="shared" si="50"/>
        <v>قراردادي بهره بردار</v>
      </c>
      <c r="E468" s="1" t="str">
        <f t="shared" si="51"/>
        <v>پروژه بهره برداري نيروگاه بوشهر</v>
      </c>
      <c r="F468" s="1">
        <v>12129007</v>
      </c>
      <c r="G468" s="1">
        <v>5054714</v>
      </c>
      <c r="H468" s="1">
        <v>0</v>
      </c>
      <c r="I468" s="1">
        <v>9544547</v>
      </c>
      <c r="J468" s="1">
        <v>0</v>
      </c>
      <c r="K468" s="1">
        <v>4620000</v>
      </c>
      <c r="L468" s="1">
        <v>0</v>
      </c>
      <c r="M468" s="1">
        <v>400000</v>
      </c>
      <c r="N468" s="1">
        <v>2268732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1606000</v>
      </c>
      <c r="U468" s="1">
        <v>0</v>
      </c>
      <c r="V468" s="1">
        <v>7879235</v>
      </c>
      <c r="W468" s="1">
        <v>1100000</v>
      </c>
      <c r="X468" s="1">
        <v>1760662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1620523</v>
      </c>
      <c r="AF468" s="1">
        <v>2222538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8694733</v>
      </c>
      <c r="AM468" s="1">
        <v>0</v>
      </c>
      <c r="AN468" s="1">
        <v>0</v>
      </c>
      <c r="AO468" s="1">
        <v>58900691</v>
      </c>
      <c r="AP468" s="1">
        <v>7708379</v>
      </c>
      <c r="AQ468" s="1">
        <v>51192312</v>
      </c>
      <c r="AR468" s="1">
        <v>11014431</v>
      </c>
      <c r="AS468" s="1">
        <v>1652165</v>
      </c>
      <c r="AT468" s="1">
        <f t="shared" si="47"/>
        <v>71567287</v>
      </c>
    </row>
    <row r="469" spans="1:46" x14ac:dyDescent="0.2">
      <c r="A469" s="1" t="str">
        <f>"00537"</f>
        <v>00537</v>
      </c>
      <c r="B469" s="1" t="str">
        <f>"حمزه"</f>
        <v>حمزه</v>
      </c>
      <c r="C469" s="1" t="str">
        <f>"ذبيحي"</f>
        <v>ذبيحي</v>
      </c>
      <c r="D469" s="1" t="str">
        <f t="shared" si="50"/>
        <v>قراردادي بهره بردار</v>
      </c>
      <c r="E469" s="1" t="str">
        <f t="shared" si="51"/>
        <v>پروژه بهره برداري نيروگاه بوشهر</v>
      </c>
      <c r="F469" s="1">
        <v>19389591</v>
      </c>
      <c r="G469" s="1">
        <v>18739915</v>
      </c>
      <c r="H469" s="1">
        <v>0</v>
      </c>
      <c r="I469" s="1">
        <v>17019296</v>
      </c>
      <c r="J469" s="1">
        <v>0</v>
      </c>
      <c r="K469" s="1">
        <v>4125000</v>
      </c>
      <c r="L469" s="1">
        <v>0</v>
      </c>
      <c r="M469" s="1">
        <v>1000000</v>
      </c>
      <c r="N469" s="1">
        <v>3428065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29112444</v>
      </c>
      <c r="W469" s="1">
        <v>1900000</v>
      </c>
      <c r="X469" s="1">
        <v>2840066</v>
      </c>
      <c r="Y469" s="1">
        <v>0</v>
      </c>
      <c r="Z469" s="1">
        <v>0</v>
      </c>
      <c r="AA469" s="1">
        <v>0</v>
      </c>
      <c r="AB469" s="1">
        <v>0</v>
      </c>
      <c r="AC469" s="1">
        <v>3877480</v>
      </c>
      <c r="AD469" s="1">
        <v>0</v>
      </c>
      <c r="AE469" s="1">
        <v>2448618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18663692</v>
      </c>
      <c r="AM469" s="1">
        <v>0</v>
      </c>
      <c r="AN469" s="1">
        <v>0</v>
      </c>
      <c r="AO469" s="1">
        <v>122544167</v>
      </c>
      <c r="AP469" s="1">
        <v>41735818</v>
      </c>
      <c r="AQ469" s="1">
        <v>80808349</v>
      </c>
      <c r="AR469" s="1">
        <v>23536244</v>
      </c>
      <c r="AS469" s="1">
        <v>3530438</v>
      </c>
      <c r="AT469" s="1">
        <f t="shared" si="47"/>
        <v>149610849</v>
      </c>
    </row>
    <row r="470" spans="1:46" x14ac:dyDescent="0.2">
      <c r="A470" s="1" t="str">
        <f>"00538"</f>
        <v>00538</v>
      </c>
      <c r="B470" s="1" t="str">
        <f>"مهرزاد"</f>
        <v>مهرزاد</v>
      </c>
      <c r="C470" s="1" t="str">
        <f>"رزمجوئي"</f>
        <v>رزمجوئي</v>
      </c>
      <c r="D470" s="1" t="str">
        <f t="shared" si="50"/>
        <v>قراردادي بهره بردار</v>
      </c>
      <c r="E470" s="1" t="str">
        <f t="shared" si="51"/>
        <v>پروژه بهره برداري نيروگاه بوشهر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980564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980564</v>
      </c>
      <c r="AP470" s="1">
        <v>980564</v>
      </c>
      <c r="AQ470" s="1">
        <v>0</v>
      </c>
      <c r="AR470" s="1">
        <v>0</v>
      </c>
      <c r="AS470" s="1">
        <v>0</v>
      </c>
      <c r="AT470" s="1">
        <f t="shared" si="47"/>
        <v>980564</v>
      </c>
    </row>
    <row r="471" spans="1:46" x14ac:dyDescent="0.2">
      <c r="A471" s="1" t="str">
        <f>"00539"</f>
        <v>00539</v>
      </c>
      <c r="B471" s="1" t="str">
        <f>"صابر"</f>
        <v>صابر</v>
      </c>
      <c r="C471" s="1" t="str">
        <f>"رفيعي"</f>
        <v>رفيعي</v>
      </c>
      <c r="D471" s="1" t="str">
        <f t="shared" si="50"/>
        <v>قراردادي بهره بردار</v>
      </c>
      <c r="E471" s="1" t="str">
        <f t="shared" si="51"/>
        <v>پروژه بهره برداري نيروگاه بوشهر</v>
      </c>
      <c r="F471" s="1">
        <v>18557137</v>
      </c>
      <c r="G471" s="1">
        <v>8430787</v>
      </c>
      <c r="H471" s="1">
        <v>0</v>
      </c>
      <c r="I471" s="1">
        <v>15441082</v>
      </c>
      <c r="J471" s="1">
        <v>0</v>
      </c>
      <c r="K471" s="1">
        <v>5500000</v>
      </c>
      <c r="L471" s="1">
        <v>0</v>
      </c>
      <c r="M471" s="1">
        <v>1000000</v>
      </c>
      <c r="N471" s="1">
        <v>3136706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13963185</v>
      </c>
      <c r="W471" s="1">
        <v>1900000</v>
      </c>
      <c r="X471" s="1">
        <v>2693778</v>
      </c>
      <c r="Y471" s="1">
        <v>0</v>
      </c>
      <c r="Z471" s="1">
        <v>0</v>
      </c>
      <c r="AA471" s="1">
        <v>0</v>
      </c>
      <c r="AB471" s="1">
        <v>0</v>
      </c>
      <c r="AC471" s="1">
        <v>3877480</v>
      </c>
      <c r="AD471" s="1">
        <v>0</v>
      </c>
      <c r="AE471" s="1">
        <v>2240504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17456590</v>
      </c>
      <c r="AM471" s="1">
        <v>0</v>
      </c>
      <c r="AN471" s="1">
        <v>0</v>
      </c>
      <c r="AO471" s="1">
        <v>94197249</v>
      </c>
      <c r="AP471" s="1">
        <v>33210378</v>
      </c>
      <c r="AQ471" s="1">
        <v>60986871</v>
      </c>
      <c r="AR471" s="1">
        <v>18839450</v>
      </c>
      <c r="AS471" s="1">
        <v>2825917</v>
      </c>
      <c r="AT471" s="1">
        <f t="shared" si="47"/>
        <v>115862616</v>
      </c>
    </row>
    <row r="472" spans="1:46" x14ac:dyDescent="0.2">
      <c r="A472" s="1" t="str">
        <f>"00540"</f>
        <v>00540</v>
      </c>
      <c r="B472" s="1" t="str">
        <f>"قنبر"</f>
        <v>قنبر</v>
      </c>
      <c r="C472" s="1" t="str">
        <f>"رئيسي"</f>
        <v>رئيسي</v>
      </c>
      <c r="D472" s="1" t="str">
        <f t="shared" si="50"/>
        <v>قراردادي بهره بردار</v>
      </c>
      <c r="E472" s="1" t="str">
        <f t="shared" si="51"/>
        <v>پروژه بهره برداري نيروگاه بوشهر</v>
      </c>
      <c r="F472" s="1">
        <v>18526466</v>
      </c>
      <c r="G472" s="1">
        <v>14482875</v>
      </c>
      <c r="H472" s="1">
        <v>0</v>
      </c>
      <c r="I472" s="1">
        <v>18659375</v>
      </c>
      <c r="J472" s="1">
        <v>0</v>
      </c>
      <c r="K472" s="1">
        <v>4620000</v>
      </c>
      <c r="L472" s="1">
        <v>0</v>
      </c>
      <c r="M472" s="1">
        <v>1000000</v>
      </c>
      <c r="N472" s="1">
        <v>4203232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1606000</v>
      </c>
      <c r="U472" s="1">
        <v>0</v>
      </c>
      <c r="V472" s="1">
        <v>13861633</v>
      </c>
      <c r="W472" s="1">
        <v>1900000</v>
      </c>
      <c r="X472" s="1">
        <v>2689326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3002307</v>
      </c>
      <c r="AF472" s="1">
        <v>1516881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16538876</v>
      </c>
      <c r="AM472" s="1">
        <v>0</v>
      </c>
      <c r="AN472" s="1">
        <v>0</v>
      </c>
      <c r="AO472" s="1">
        <v>102606971</v>
      </c>
      <c r="AP472" s="1">
        <v>39309359</v>
      </c>
      <c r="AQ472" s="1">
        <v>63297612</v>
      </c>
      <c r="AR472" s="1">
        <v>19896818</v>
      </c>
      <c r="AS472" s="1">
        <v>2984523</v>
      </c>
      <c r="AT472" s="1">
        <f t="shared" si="47"/>
        <v>125488312</v>
      </c>
    </row>
    <row r="473" spans="1:46" x14ac:dyDescent="0.2">
      <c r="A473" s="1" t="str">
        <f>"00541"</f>
        <v>00541</v>
      </c>
      <c r="B473" s="1" t="str">
        <f>"وحيد"</f>
        <v>وحيد</v>
      </c>
      <c r="C473" s="1" t="str">
        <f>"زارعي"</f>
        <v>زارعي</v>
      </c>
      <c r="D473" s="1" t="str">
        <f t="shared" si="50"/>
        <v>قراردادي بهره بردار</v>
      </c>
      <c r="E473" s="1" t="str">
        <f t="shared" si="51"/>
        <v>پروژه بهره برداري نيروگاه بوشهر</v>
      </c>
      <c r="F473" s="1">
        <v>18543993</v>
      </c>
      <c r="G473" s="1">
        <v>8273050</v>
      </c>
      <c r="H473" s="1">
        <v>0</v>
      </c>
      <c r="I473" s="1">
        <v>13654211</v>
      </c>
      <c r="J473" s="1">
        <v>0</v>
      </c>
      <c r="K473" s="1">
        <v>5500000</v>
      </c>
      <c r="L473" s="1">
        <v>0</v>
      </c>
      <c r="M473" s="1">
        <v>1000000</v>
      </c>
      <c r="N473" s="1">
        <v>3132106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1606000</v>
      </c>
      <c r="U473" s="1">
        <v>0</v>
      </c>
      <c r="V473" s="1">
        <v>15675069</v>
      </c>
      <c r="W473" s="1">
        <v>1900000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2237218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5377868</v>
      </c>
      <c r="AM473" s="1">
        <v>0</v>
      </c>
      <c r="AN473" s="1">
        <v>0</v>
      </c>
      <c r="AO473" s="1">
        <v>76899515</v>
      </c>
      <c r="AP473" s="1">
        <v>13089756</v>
      </c>
      <c r="AQ473" s="1">
        <v>63809759</v>
      </c>
      <c r="AR473" s="1">
        <v>15058703</v>
      </c>
      <c r="AS473" s="1">
        <v>2258805</v>
      </c>
      <c r="AT473" s="1">
        <f t="shared" si="47"/>
        <v>94217023</v>
      </c>
    </row>
    <row r="474" spans="1:46" x14ac:dyDescent="0.2">
      <c r="A474" s="1" t="str">
        <f>"00542"</f>
        <v>00542</v>
      </c>
      <c r="B474" s="1" t="str">
        <f>"سجاد"</f>
        <v>سجاد</v>
      </c>
      <c r="C474" s="1" t="str">
        <f>"سالميان"</f>
        <v>سالميان</v>
      </c>
      <c r="D474" s="1" t="str">
        <f t="shared" si="50"/>
        <v>قراردادي بهره بردار</v>
      </c>
      <c r="E474" s="1" t="str">
        <f t="shared" si="51"/>
        <v>پروژه بهره برداري نيروگاه بوشهر</v>
      </c>
      <c r="F474" s="1">
        <v>18307401</v>
      </c>
      <c r="G474" s="1">
        <v>20358454</v>
      </c>
      <c r="H474" s="1">
        <v>0</v>
      </c>
      <c r="I474" s="1">
        <v>13939655</v>
      </c>
      <c r="J474" s="1">
        <v>0</v>
      </c>
      <c r="K474" s="1">
        <v>5500000</v>
      </c>
      <c r="L474" s="1">
        <v>0</v>
      </c>
      <c r="M474" s="1">
        <v>1000000</v>
      </c>
      <c r="N474" s="1">
        <v>3049298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1606000</v>
      </c>
      <c r="U474" s="1">
        <v>0</v>
      </c>
      <c r="V474" s="1">
        <v>7765757</v>
      </c>
      <c r="W474" s="1">
        <v>1900000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2178070</v>
      </c>
      <c r="AF474" s="1">
        <v>1516881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4502642</v>
      </c>
      <c r="AM474" s="1">
        <v>0</v>
      </c>
      <c r="AN474" s="1">
        <v>0</v>
      </c>
      <c r="AO474" s="1">
        <v>81624158</v>
      </c>
      <c r="AP474" s="1">
        <v>15511416</v>
      </c>
      <c r="AQ474" s="1">
        <v>66112742</v>
      </c>
      <c r="AR474" s="1">
        <v>15700255</v>
      </c>
      <c r="AS474" s="1">
        <v>2355038</v>
      </c>
      <c r="AT474" s="1">
        <f t="shared" si="47"/>
        <v>99679451</v>
      </c>
    </row>
    <row r="475" spans="1:46" x14ac:dyDescent="0.2">
      <c r="A475" s="1" t="str">
        <f>"00545"</f>
        <v>00545</v>
      </c>
      <c r="B475" s="1" t="str">
        <f>"ميثم"</f>
        <v>ميثم</v>
      </c>
      <c r="C475" s="1" t="str">
        <f>"شاپورجاني"</f>
        <v>شاپورجاني</v>
      </c>
      <c r="D475" s="1" t="str">
        <f t="shared" si="50"/>
        <v>قراردادي بهره بردار</v>
      </c>
      <c r="E475" s="1" t="str">
        <f t="shared" si="51"/>
        <v>پروژه بهره برداري نيروگاه بوشهر</v>
      </c>
      <c r="F475" s="1">
        <v>14454019</v>
      </c>
      <c r="G475" s="1">
        <v>8253298</v>
      </c>
      <c r="H475" s="1">
        <v>0</v>
      </c>
      <c r="I475" s="1">
        <v>11422635</v>
      </c>
      <c r="J475" s="1">
        <v>0</v>
      </c>
      <c r="K475" s="1">
        <v>4620000</v>
      </c>
      <c r="L475" s="1">
        <v>0</v>
      </c>
      <c r="M475" s="1">
        <v>1000000</v>
      </c>
      <c r="N475" s="1">
        <v>2777875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1606000</v>
      </c>
      <c r="U475" s="1">
        <v>0</v>
      </c>
      <c r="V475" s="1">
        <v>9509027</v>
      </c>
      <c r="W475" s="1">
        <v>1900000</v>
      </c>
      <c r="X475" s="1">
        <v>2098164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1984196</v>
      </c>
      <c r="AF475" s="1">
        <v>1516881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10704868</v>
      </c>
      <c r="AM475" s="1">
        <v>0</v>
      </c>
      <c r="AN475" s="1">
        <v>0</v>
      </c>
      <c r="AO475" s="1">
        <v>71846963</v>
      </c>
      <c r="AP475" s="1">
        <v>29544504</v>
      </c>
      <c r="AQ475" s="1">
        <v>42302459</v>
      </c>
      <c r="AR475" s="1">
        <v>13744816</v>
      </c>
      <c r="AS475" s="1">
        <v>2061722</v>
      </c>
      <c r="AT475" s="1">
        <f t="shared" si="47"/>
        <v>87653501</v>
      </c>
    </row>
    <row r="476" spans="1:46" x14ac:dyDescent="0.2">
      <c r="A476" s="1" t="str">
        <f>"00546"</f>
        <v>00546</v>
      </c>
      <c r="B476" s="1" t="str">
        <f>"عليرضا"</f>
        <v>عليرضا</v>
      </c>
      <c r="C476" s="1" t="str">
        <f>"شفيعي"</f>
        <v>شفيعي</v>
      </c>
      <c r="D476" s="1" t="str">
        <f t="shared" si="50"/>
        <v>قراردادي بهره بردار</v>
      </c>
      <c r="E476" s="1" t="str">
        <f t="shared" si="51"/>
        <v>پروژه بهره برداري نيروگاه بوشهر</v>
      </c>
      <c r="F476" s="1">
        <v>14473735</v>
      </c>
      <c r="G476" s="1">
        <v>22800544</v>
      </c>
      <c r="H476" s="1">
        <v>0</v>
      </c>
      <c r="I476" s="1">
        <v>11272784</v>
      </c>
      <c r="J476" s="1">
        <v>0</v>
      </c>
      <c r="K476" s="1">
        <v>4620000</v>
      </c>
      <c r="L476" s="1">
        <v>0</v>
      </c>
      <c r="M476" s="1">
        <v>1000000</v>
      </c>
      <c r="N476" s="1">
        <v>2543254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1606000</v>
      </c>
      <c r="U476" s="1">
        <v>0</v>
      </c>
      <c r="V476" s="1">
        <v>6467220</v>
      </c>
      <c r="W476" s="1">
        <v>1900000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1816610</v>
      </c>
      <c r="AF476" s="1">
        <v>3033762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4851560</v>
      </c>
      <c r="AM476" s="1">
        <v>0</v>
      </c>
      <c r="AN476" s="1">
        <v>0</v>
      </c>
      <c r="AO476" s="1">
        <v>76385469</v>
      </c>
      <c r="AP476" s="1">
        <v>14409902</v>
      </c>
      <c r="AQ476" s="1">
        <v>61975567</v>
      </c>
      <c r="AR476" s="1">
        <v>14349141</v>
      </c>
      <c r="AS476" s="1">
        <v>2152371</v>
      </c>
      <c r="AT476" s="1">
        <f t="shared" si="47"/>
        <v>92886981</v>
      </c>
    </row>
    <row r="477" spans="1:46" x14ac:dyDescent="0.2">
      <c r="A477" s="1" t="str">
        <f>"00547"</f>
        <v>00547</v>
      </c>
      <c r="B477" s="1" t="str">
        <f>"حبيب اله"</f>
        <v>حبيب اله</v>
      </c>
      <c r="C477" s="1" t="str">
        <f>"صالحي"</f>
        <v>صالحي</v>
      </c>
      <c r="D477" s="1" t="str">
        <f t="shared" si="50"/>
        <v>قراردادي بهره بردار</v>
      </c>
      <c r="E477" s="1" t="str">
        <f t="shared" si="51"/>
        <v>پروژه بهره برداري نيروگاه بوشهر</v>
      </c>
      <c r="F477" s="1">
        <v>13685095</v>
      </c>
      <c r="G477" s="1">
        <v>12383528</v>
      </c>
      <c r="H477" s="1">
        <v>0</v>
      </c>
      <c r="I477" s="1">
        <v>11573996</v>
      </c>
      <c r="J477" s="1">
        <v>0</v>
      </c>
      <c r="K477" s="1">
        <v>4620000</v>
      </c>
      <c r="L477" s="1">
        <v>0</v>
      </c>
      <c r="M477" s="1">
        <v>1000000</v>
      </c>
      <c r="N477" s="1">
        <v>2508751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1606000</v>
      </c>
      <c r="U477" s="1">
        <v>0</v>
      </c>
      <c r="V477" s="1">
        <v>17297626</v>
      </c>
      <c r="W477" s="1">
        <v>1900000</v>
      </c>
      <c r="X477" s="1">
        <v>1986546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1791965</v>
      </c>
      <c r="AF477" s="1">
        <v>1516881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9752979</v>
      </c>
      <c r="AM477" s="1">
        <v>0</v>
      </c>
      <c r="AN477" s="1">
        <v>0</v>
      </c>
      <c r="AO477" s="1">
        <v>81623367</v>
      </c>
      <c r="AP477" s="1">
        <v>36362456</v>
      </c>
      <c r="AQ477" s="1">
        <v>45260911</v>
      </c>
      <c r="AR477" s="1">
        <v>15700097</v>
      </c>
      <c r="AS477" s="1">
        <v>2355015</v>
      </c>
      <c r="AT477" s="1">
        <f t="shared" si="47"/>
        <v>99678479</v>
      </c>
    </row>
    <row r="478" spans="1:46" x14ac:dyDescent="0.2">
      <c r="A478" s="1" t="str">
        <f>"00548"</f>
        <v>00548</v>
      </c>
      <c r="B478" s="1" t="str">
        <f>"خالد"</f>
        <v>خالد</v>
      </c>
      <c r="C478" s="1" t="str">
        <f>"طاهرپور"</f>
        <v>طاهرپور</v>
      </c>
      <c r="D478" s="1" t="str">
        <f t="shared" si="50"/>
        <v>قراردادي بهره بردار</v>
      </c>
      <c r="E478" s="1" t="str">
        <f t="shared" si="51"/>
        <v>پروژه بهره برداري نيروگاه بوشهر</v>
      </c>
      <c r="F478" s="1">
        <v>19021559</v>
      </c>
      <c r="G478" s="1">
        <v>7567328</v>
      </c>
      <c r="H478" s="1">
        <v>0</v>
      </c>
      <c r="I478" s="1">
        <v>15884015</v>
      </c>
      <c r="J478" s="1">
        <v>0</v>
      </c>
      <c r="K478" s="1">
        <v>5500000</v>
      </c>
      <c r="L478" s="1">
        <v>0</v>
      </c>
      <c r="M478" s="1">
        <v>1000000</v>
      </c>
      <c r="N478" s="1">
        <v>3299254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14323556</v>
      </c>
      <c r="W478" s="1">
        <v>1900000</v>
      </c>
      <c r="X478" s="1">
        <v>2761194</v>
      </c>
      <c r="Y478" s="1">
        <v>0</v>
      </c>
      <c r="Z478" s="1">
        <v>0</v>
      </c>
      <c r="AA478" s="1">
        <v>0</v>
      </c>
      <c r="AB478" s="1">
        <v>0</v>
      </c>
      <c r="AC478" s="1">
        <v>3877480</v>
      </c>
      <c r="AD478" s="1">
        <v>0</v>
      </c>
      <c r="AE478" s="1">
        <v>2356610</v>
      </c>
      <c r="AF478" s="1">
        <v>1516881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17837416</v>
      </c>
      <c r="AM478" s="1">
        <v>0</v>
      </c>
      <c r="AN478" s="1">
        <v>0</v>
      </c>
      <c r="AO478" s="1">
        <v>96845293</v>
      </c>
      <c r="AP478" s="1">
        <v>27009869</v>
      </c>
      <c r="AQ478" s="1">
        <v>69835424</v>
      </c>
      <c r="AR478" s="1">
        <v>19065682</v>
      </c>
      <c r="AS478" s="1">
        <v>2859852</v>
      </c>
      <c r="AT478" s="1">
        <f t="shared" si="47"/>
        <v>118770827</v>
      </c>
    </row>
    <row r="479" spans="1:46" x14ac:dyDescent="0.2">
      <c r="A479" s="1" t="str">
        <f>"00549"</f>
        <v>00549</v>
      </c>
      <c r="B479" s="1" t="str">
        <f>"مسعود"</f>
        <v>مسعود</v>
      </c>
      <c r="C479" s="1" t="str">
        <f>"ظاهري حقيقي"</f>
        <v>ظاهري حقيقي</v>
      </c>
      <c r="D479" s="1" t="str">
        <f t="shared" si="50"/>
        <v>قراردادي بهره بردار</v>
      </c>
      <c r="E479" s="1" t="str">
        <f t="shared" si="51"/>
        <v>پروژه بهره برداري نيروگاه بوشهر</v>
      </c>
      <c r="F479" s="1">
        <v>13547083</v>
      </c>
      <c r="G479" s="1">
        <v>5822405</v>
      </c>
      <c r="H479" s="1">
        <v>0</v>
      </c>
      <c r="I479" s="1">
        <v>10738321</v>
      </c>
      <c r="J479" s="1">
        <v>0</v>
      </c>
      <c r="K479" s="1">
        <v>3465000</v>
      </c>
      <c r="L479" s="1">
        <v>0</v>
      </c>
      <c r="M479" s="1">
        <v>1000000</v>
      </c>
      <c r="N479" s="1">
        <v>2460447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16807958</v>
      </c>
      <c r="W479" s="1">
        <v>1900000</v>
      </c>
      <c r="X479" s="1">
        <v>1940802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1757462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9696591</v>
      </c>
      <c r="AM479" s="1">
        <v>0</v>
      </c>
      <c r="AN479" s="1">
        <v>0</v>
      </c>
      <c r="AO479" s="1">
        <v>69136069</v>
      </c>
      <c r="AP479" s="1">
        <v>29375696</v>
      </c>
      <c r="AQ479" s="1">
        <v>39760373</v>
      </c>
      <c r="AR479" s="1">
        <v>13827214</v>
      </c>
      <c r="AS479" s="1">
        <v>2074082</v>
      </c>
      <c r="AT479" s="1">
        <f t="shared" si="47"/>
        <v>85037365</v>
      </c>
    </row>
    <row r="480" spans="1:46" x14ac:dyDescent="0.2">
      <c r="A480" s="1" t="str">
        <f>"00550"</f>
        <v>00550</v>
      </c>
      <c r="B480" s="1" t="str">
        <f>"جواد"</f>
        <v>جواد</v>
      </c>
      <c r="C480" s="1" t="str">
        <f>"عفيف"</f>
        <v>عفيف</v>
      </c>
      <c r="D480" s="1" t="str">
        <f t="shared" si="50"/>
        <v>قراردادي بهره بردار</v>
      </c>
      <c r="E480" s="1" t="str">
        <f t="shared" si="51"/>
        <v>پروژه بهره برداري نيروگاه بوشهر</v>
      </c>
      <c r="F480" s="1">
        <v>14646797</v>
      </c>
      <c r="G480" s="1">
        <v>6369646</v>
      </c>
      <c r="H480" s="1">
        <v>0</v>
      </c>
      <c r="I480" s="1">
        <v>11169161</v>
      </c>
      <c r="J480" s="1">
        <v>0</v>
      </c>
      <c r="K480" s="1">
        <v>3465000</v>
      </c>
      <c r="L480" s="1">
        <v>0</v>
      </c>
      <c r="M480" s="1">
        <v>1000000</v>
      </c>
      <c r="N480" s="1">
        <v>2603826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6405597</v>
      </c>
      <c r="W480" s="1">
        <v>1900000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1859876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4345187</v>
      </c>
      <c r="AM480" s="1">
        <v>0</v>
      </c>
      <c r="AN480" s="1">
        <v>0</v>
      </c>
      <c r="AO480" s="1">
        <v>53765090</v>
      </c>
      <c r="AP480" s="1">
        <v>10505574</v>
      </c>
      <c r="AQ480" s="1">
        <v>43259516</v>
      </c>
      <c r="AR480" s="1">
        <v>10753018</v>
      </c>
      <c r="AS480" s="1">
        <v>1612953</v>
      </c>
      <c r="AT480" s="1">
        <f t="shared" si="47"/>
        <v>66131061</v>
      </c>
    </row>
    <row r="481" spans="1:46" x14ac:dyDescent="0.2">
      <c r="A481" s="1" t="str">
        <f>"00551"</f>
        <v>00551</v>
      </c>
      <c r="B481" s="1" t="str">
        <f>"سعيد"</f>
        <v>سعيد</v>
      </c>
      <c r="C481" s="1" t="str">
        <f>"فاتحي فر"</f>
        <v>فاتحي فر</v>
      </c>
      <c r="D481" s="1" t="str">
        <f t="shared" si="50"/>
        <v>قراردادي بهره بردار</v>
      </c>
      <c r="E481" s="1" t="str">
        <f t="shared" si="51"/>
        <v>پروژه بهره برداري نيروگاه بوشهر</v>
      </c>
      <c r="F481" s="1">
        <v>14394871</v>
      </c>
      <c r="G481" s="1">
        <v>6820649</v>
      </c>
      <c r="H481" s="1">
        <v>0</v>
      </c>
      <c r="I481" s="1">
        <v>11780103</v>
      </c>
      <c r="J481" s="1">
        <v>0</v>
      </c>
      <c r="K481" s="1">
        <v>4620000</v>
      </c>
      <c r="L481" s="1">
        <v>0</v>
      </c>
      <c r="M481" s="1">
        <v>1000000</v>
      </c>
      <c r="N481" s="1">
        <v>2757173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14505634</v>
      </c>
      <c r="W481" s="1">
        <v>1900000</v>
      </c>
      <c r="X481" s="1">
        <v>2089578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1969409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11450658</v>
      </c>
      <c r="AM481" s="1">
        <v>0</v>
      </c>
      <c r="AN481" s="1">
        <v>0</v>
      </c>
      <c r="AO481" s="1">
        <v>73288075</v>
      </c>
      <c r="AP481" s="1">
        <v>15515627</v>
      </c>
      <c r="AQ481" s="1">
        <v>57772448</v>
      </c>
      <c r="AR481" s="1">
        <v>14657615</v>
      </c>
      <c r="AS481" s="1">
        <v>2198642</v>
      </c>
      <c r="AT481" s="1">
        <f t="shared" si="47"/>
        <v>90144332</v>
      </c>
    </row>
    <row r="482" spans="1:46" x14ac:dyDescent="0.2">
      <c r="A482" s="1" t="str">
        <f>"00552"</f>
        <v>00552</v>
      </c>
      <c r="B482" s="1" t="str">
        <f>"محمد"</f>
        <v>محمد</v>
      </c>
      <c r="C482" s="1" t="str">
        <f>"قاسمي"</f>
        <v>قاسمي</v>
      </c>
      <c r="D482" s="1" t="str">
        <f t="shared" si="50"/>
        <v>قراردادي بهره بردار</v>
      </c>
      <c r="E482" s="1" t="str">
        <f t="shared" si="51"/>
        <v>پروژه بهره برداري نيروگاه بوشهر</v>
      </c>
      <c r="F482" s="1">
        <v>14460591</v>
      </c>
      <c r="G482" s="1">
        <v>14415695</v>
      </c>
      <c r="H482" s="1">
        <v>0</v>
      </c>
      <c r="I482" s="1">
        <v>11608790</v>
      </c>
      <c r="J482" s="1">
        <v>0</v>
      </c>
      <c r="K482" s="1">
        <v>4620000</v>
      </c>
      <c r="L482" s="1">
        <v>0</v>
      </c>
      <c r="M482" s="1">
        <v>1000000</v>
      </c>
      <c r="N482" s="1">
        <v>2780175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1606000</v>
      </c>
      <c r="U482" s="1">
        <v>0</v>
      </c>
      <c r="V482" s="1">
        <v>9708330</v>
      </c>
      <c r="W482" s="1">
        <v>1900000</v>
      </c>
      <c r="X482" s="1">
        <v>2099118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1985839</v>
      </c>
      <c r="AF482" s="1">
        <v>3033762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11838582</v>
      </c>
      <c r="AM482" s="1">
        <v>0</v>
      </c>
      <c r="AN482" s="1">
        <v>0</v>
      </c>
      <c r="AO482" s="1">
        <v>81056882</v>
      </c>
      <c r="AP482" s="1">
        <v>16051341</v>
      </c>
      <c r="AQ482" s="1">
        <v>65005541</v>
      </c>
      <c r="AR482" s="1">
        <v>15283424</v>
      </c>
      <c r="AS482" s="1">
        <v>2292514</v>
      </c>
      <c r="AT482" s="1">
        <f t="shared" si="47"/>
        <v>98632820</v>
      </c>
    </row>
    <row r="483" spans="1:46" x14ac:dyDescent="0.2">
      <c r="A483" s="1" t="str">
        <f>"00553"</f>
        <v>00553</v>
      </c>
      <c r="B483" s="1" t="str">
        <f>"پويا"</f>
        <v>پويا</v>
      </c>
      <c r="C483" s="1" t="str">
        <f>"قباديان"</f>
        <v>قباديان</v>
      </c>
      <c r="D483" s="1" t="str">
        <f t="shared" si="50"/>
        <v>قراردادي بهره بردار</v>
      </c>
      <c r="E483" s="1" t="str">
        <f t="shared" si="51"/>
        <v>پروژه بهره برداري نيروگاه بوشهر</v>
      </c>
      <c r="F483" s="1">
        <v>19223100</v>
      </c>
      <c r="G483" s="1">
        <v>8772848</v>
      </c>
      <c r="H483" s="1">
        <v>0</v>
      </c>
      <c r="I483" s="1">
        <v>16164467</v>
      </c>
      <c r="J483" s="1">
        <v>0</v>
      </c>
      <c r="K483" s="1">
        <v>5500000</v>
      </c>
      <c r="L483" s="1">
        <v>0</v>
      </c>
      <c r="M483" s="1">
        <v>1000000</v>
      </c>
      <c r="N483" s="1">
        <v>3369793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1606000</v>
      </c>
      <c r="U483" s="1">
        <v>0</v>
      </c>
      <c r="V483" s="1">
        <v>14657850</v>
      </c>
      <c r="W483" s="1">
        <v>1900000</v>
      </c>
      <c r="X483" s="1">
        <v>2790450</v>
      </c>
      <c r="Y483" s="1">
        <v>0</v>
      </c>
      <c r="Z483" s="1">
        <v>0</v>
      </c>
      <c r="AA483" s="1">
        <v>0</v>
      </c>
      <c r="AB483" s="1">
        <v>0</v>
      </c>
      <c r="AC483" s="1">
        <v>3877480</v>
      </c>
      <c r="AD483" s="1">
        <v>0</v>
      </c>
      <c r="AE483" s="1">
        <v>2406995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18002680</v>
      </c>
      <c r="AM483" s="1">
        <v>0</v>
      </c>
      <c r="AN483" s="1">
        <v>0</v>
      </c>
      <c r="AO483" s="1">
        <v>99271663</v>
      </c>
      <c r="AP483" s="1">
        <v>40812315</v>
      </c>
      <c r="AQ483" s="1">
        <v>58459348</v>
      </c>
      <c r="AR483" s="1">
        <v>19533133</v>
      </c>
      <c r="AS483" s="1">
        <v>2929970</v>
      </c>
      <c r="AT483" s="1">
        <f t="shared" si="47"/>
        <v>121734766</v>
      </c>
    </row>
    <row r="484" spans="1:46" x14ac:dyDescent="0.2">
      <c r="A484" s="1" t="str">
        <f>"00554"</f>
        <v>00554</v>
      </c>
      <c r="B484" s="1" t="str">
        <f>"امين"</f>
        <v>امين</v>
      </c>
      <c r="C484" s="1" t="str">
        <f>"قجري"</f>
        <v>قجري</v>
      </c>
      <c r="D484" s="1" t="str">
        <f t="shared" si="50"/>
        <v>قراردادي بهره بردار</v>
      </c>
      <c r="E484" s="1" t="str">
        <f t="shared" si="51"/>
        <v>پروژه بهره برداري نيروگاه بوشهر</v>
      </c>
      <c r="F484" s="1">
        <v>14318197</v>
      </c>
      <c r="G484" s="1">
        <v>6066930</v>
      </c>
      <c r="H484" s="1">
        <v>0</v>
      </c>
      <c r="I484" s="1">
        <v>12375259</v>
      </c>
      <c r="J484" s="1">
        <v>0</v>
      </c>
      <c r="K484" s="1">
        <v>4620000</v>
      </c>
      <c r="L484" s="1">
        <v>0</v>
      </c>
      <c r="M484" s="1">
        <v>1000000</v>
      </c>
      <c r="N484" s="1">
        <v>2730337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1606000</v>
      </c>
      <c r="U484" s="1">
        <v>0</v>
      </c>
      <c r="V484" s="1">
        <v>14623039</v>
      </c>
      <c r="W484" s="1">
        <v>1900000</v>
      </c>
      <c r="X484" s="1">
        <v>2078448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1950241</v>
      </c>
      <c r="AF484" s="1">
        <v>1516881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11320971</v>
      </c>
      <c r="AM484" s="1">
        <v>0</v>
      </c>
      <c r="AN484" s="1">
        <v>0</v>
      </c>
      <c r="AO484" s="1">
        <v>76106303</v>
      </c>
      <c r="AP484" s="1">
        <v>11526005</v>
      </c>
      <c r="AQ484" s="1">
        <v>64580298</v>
      </c>
      <c r="AR484" s="1">
        <v>14596684</v>
      </c>
      <c r="AS484" s="1">
        <v>2189503</v>
      </c>
      <c r="AT484" s="1">
        <f t="shared" si="47"/>
        <v>92892490</v>
      </c>
    </row>
    <row r="485" spans="1:46" x14ac:dyDescent="0.2">
      <c r="A485" s="1" t="str">
        <f>"00555"</f>
        <v>00555</v>
      </c>
      <c r="B485" s="1" t="str">
        <f>"علي رضا"</f>
        <v>علي رضا</v>
      </c>
      <c r="C485" s="1" t="str">
        <f>"قناتي"</f>
        <v>قناتي</v>
      </c>
      <c r="D485" s="1" t="str">
        <f t="shared" si="50"/>
        <v>قراردادي بهره بردار</v>
      </c>
      <c r="E485" s="1" t="str">
        <f t="shared" si="51"/>
        <v>پروژه بهره برداري نيروگاه بوشهر</v>
      </c>
      <c r="F485" s="1">
        <v>14346676</v>
      </c>
      <c r="G485" s="1">
        <v>7527165</v>
      </c>
      <c r="H485" s="1">
        <v>0</v>
      </c>
      <c r="I485" s="1">
        <v>11710719</v>
      </c>
      <c r="J485" s="1">
        <v>0</v>
      </c>
      <c r="K485" s="1">
        <v>4620000</v>
      </c>
      <c r="L485" s="1">
        <v>0</v>
      </c>
      <c r="M485" s="1">
        <v>1000000</v>
      </c>
      <c r="N485" s="1">
        <v>2740305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1606000</v>
      </c>
      <c r="U485" s="1">
        <v>0</v>
      </c>
      <c r="V485" s="1">
        <v>17892213</v>
      </c>
      <c r="W485" s="1">
        <v>1900000</v>
      </c>
      <c r="X485" s="1">
        <v>2082582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1957361</v>
      </c>
      <c r="AF485" s="1">
        <v>1516881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10614218</v>
      </c>
      <c r="AM485" s="1">
        <v>0</v>
      </c>
      <c r="AN485" s="1">
        <v>0</v>
      </c>
      <c r="AO485" s="1">
        <v>79514120</v>
      </c>
      <c r="AP485" s="1">
        <v>45004020</v>
      </c>
      <c r="AQ485" s="1">
        <v>34510100</v>
      </c>
      <c r="AR485" s="1">
        <v>15278248</v>
      </c>
      <c r="AS485" s="1">
        <v>2291737</v>
      </c>
      <c r="AT485" s="1">
        <f t="shared" si="47"/>
        <v>97084105</v>
      </c>
    </row>
    <row r="486" spans="1:46" x14ac:dyDescent="0.2">
      <c r="A486" s="1" t="str">
        <f>"00556"</f>
        <v>00556</v>
      </c>
      <c r="B486" s="1" t="str">
        <f>"سعيد"</f>
        <v>سعيد</v>
      </c>
      <c r="C486" s="1" t="str">
        <f>"ماندني"</f>
        <v>ماندني</v>
      </c>
      <c r="D486" s="1" t="str">
        <f t="shared" si="50"/>
        <v>قراردادي بهره بردار</v>
      </c>
      <c r="E486" s="1" t="str">
        <f t="shared" si="51"/>
        <v>پروژه بهره برداري نيروگاه بوشهر</v>
      </c>
      <c r="F486" s="1">
        <v>14701564</v>
      </c>
      <c r="G486" s="1">
        <v>17908536</v>
      </c>
      <c r="H486" s="1">
        <v>0</v>
      </c>
      <c r="I486" s="1">
        <v>12791905</v>
      </c>
      <c r="J486" s="1">
        <v>0</v>
      </c>
      <c r="K486" s="1">
        <v>3465000</v>
      </c>
      <c r="L486" s="1">
        <v>0</v>
      </c>
      <c r="M486" s="1">
        <v>1000000</v>
      </c>
      <c r="N486" s="1">
        <v>2864516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1606000</v>
      </c>
      <c r="U486" s="1">
        <v>0</v>
      </c>
      <c r="V486" s="1">
        <v>14223234</v>
      </c>
      <c r="W486" s="1">
        <v>1900000</v>
      </c>
      <c r="X486" s="1">
        <v>2134098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2046083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12393521</v>
      </c>
      <c r="AM486" s="1">
        <v>0</v>
      </c>
      <c r="AN486" s="1">
        <v>0</v>
      </c>
      <c r="AO486" s="1">
        <v>87034457</v>
      </c>
      <c r="AP486" s="1">
        <v>36096095</v>
      </c>
      <c r="AQ486" s="1">
        <v>50938362</v>
      </c>
      <c r="AR486" s="1">
        <v>17085691</v>
      </c>
      <c r="AS486" s="1">
        <v>2562854</v>
      </c>
      <c r="AT486" s="1">
        <f t="shared" si="47"/>
        <v>106683002</v>
      </c>
    </row>
    <row r="487" spans="1:46" x14ac:dyDescent="0.2">
      <c r="A487" s="1" t="str">
        <f>"00557"</f>
        <v>00557</v>
      </c>
      <c r="B487" s="1" t="str">
        <f>"محمد جواد"</f>
        <v>محمد جواد</v>
      </c>
      <c r="C487" s="1" t="str">
        <f>"مرادي"</f>
        <v>مرادي</v>
      </c>
      <c r="D487" s="1" t="str">
        <f t="shared" si="50"/>
        <v>قراردادي بهره بردار</v>
      </c>
      <c r="E487" s="1" t="str">
        <f t="shared" si="51"/>
        <v>پروژه بهره برداري نيروگاه بوشهر</v>
      </c>
      <c r="F487" s="1">
        <v>19014987</v>
      </c>
      <c r="G487" s="1">
        <v>25120728</v>
      </c>
      <c r="H487" s="1">
        <v>0</v>
      </c>
      <c r="I487" s="1">
        <v>16304991</v>
      </c>
      <c r="J487" s="1">
        <v>0</v>
      </c>
      <c r="K487" s="1">
        <v>0</v>
      </c>
      <c r="L487" s="1">
        <v>0</v>
      </c>
      <c r="M487" s="1">
        <v>1000000</v>
      </c>
      <c r="N487" s="1">
        <v>3296953</v>
      </c>
      <c r="O487" s="1">
        <v>0</v>
      </c>
      <c r="P487" s="1">
        <v>0</v>
      </c>
      <c r="Q487" s="1">
        <v>0</v>
      </c>
      <c r="R487" s="1">
        <v>241573</v>
      </c>
      <c r="S487" s="1">
        <v>0</v>
      </c>
      <c r="T487" s="1">
        <v>1606000</v>
      </c>
      <c r="U487" s="1">
        <v>0</v>
      </c>
      <c r="V487" s="1">
        <v>19591505</v>
      </c>
      <c r="W487" s="1">
        <v>1900000</v>
      </c>
      <c r="X487" s="1">
        <v>2760240</v>
      </c>
      <c r="Y487" s="1">
        <v>0</v>
      </c>
      <c r="Z487" s="1">
        <v>0</v>
      </c>
      <c r="AA487" s="1">
        <v>0</v>
      </c>
      <c r="AB487" s="1">
        <v>0</v>
      </c>
      <c r="AC487" s="1">
        <v>3877480</v>
      </c>
      <c r="AD487" s="1">
        <v>0</v>
      </c>
      <c r="AE487" s="1">
        <v>2354967</v>
      </c>
      <c r="AF487" s="1">
        <v>1516881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18349024</v>
      </c>
      <c r="AM487" s="1">
        <v>0</v>
      </c>
      <c r="AN487" s="1">
        <v>0</v>
      </c>
      <c r="AO487" s="1">
        <v>116935329</v>
      </c>
      <c r="AP487" s="1">
        <v>21518049</v>
      </c>
      <c r="AQ487" s="1">
        <v>95417280</v>
      </c>
      <c r="AR487" s="1">
        <v>21944212</v>
      </c>
      <c r="AS487" s="1">
        <v>3291632</v>
      </c>
      <c r="AT487" s="1">
        <f t="shared" si="47"/>
        <v>142171173</v>
      </c>
    </row>
    <row r="488" spans="1:46" x14ac:dyDescent="0.2">
      <c r="A488" s="1" t="str">
        <f>"00559"</f>
        <v>00559</v>
      </c>
      <c r="B488" s="1" t="str">
        <f>"رضا"</f>
        <v>رضا</v>
      </c>
      <c r="C488" s="1" t="str">
        <f>"مشکور"</f>
        <v>مشکور</v>
      </c>
      <c r="D488" s="1" t="str">
        <f t="shared" si="50"/>
        <v>قراردادي بهره بردار</v>
      </c>
      <c r="E488" s="1" t="str">
        <f t="shared" si="51"/>
        <v>پروژه بهره برداري نيروگاه بوشهر</v>
      </c>
      <c r="F488" s="1">
        <v>13823107</v>
      </c>
      <c r="G488" s="1">
        <v>10753974</v>
      </c>
      <c r="H488" s="1">
        <v>0</v>
      </c>
      <c r="I488" s="1">
        <v>11093693</v>
      </c>
      <c r="J488" s="1">
        <v>0</v>
      </c>
      <c r="K488" s="1">
        <v>4620000</v>
      </c>
      <c r="L488" s="1">
        <v>0</v>
      </c>
      <c r="M488" s="1">
        <v>1000000</v>
      </c>
      <c r="N488" s="1">
        <v>2557056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1606000</v>
      </c>
      <c r="U488" s="1">
        <v>0</v>
      </c>
      <c r="V488" s="1">
        <v>17246820</v>
      </c>
      <c r="W488" s="1">
        <v>1900000</v>
      </c>
      <c r="X488" s="1">
        <v>2006580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1826468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9896994</v>
      </c>
      <c r="AM488" s="1">
        <v>0</v>
      </c>
      <c r="AN488" s="1">
        <v>0</v>
      </c>
      <c r="AO488" s="1">
        <v>78330692</v>
      </c>
      <c r="AP488" s="1">
        <v>30172587</v>
      </c>
      <c r="AQ488" s="1">
        <v>48158105</v>
      </c>
      <c r="AR488" s="1">
        <v>15344938</v>
      </c>
      <c r="AS488" s="1">
        <v>2301741</v>
      </c>
      <c r="AT488" s="1">
        <f t="shared" si="47"/>
        <v>95977371</v>
      </c>
    </row>
    <row r="489" spans="1:46" x14ac:dyDescent="0.2">
      <c r="A489" s="1" t="str">
        <f>"00560"</f>
        <v>00560</v>
      </c>
      <c r="B489" s="1" t="str">
        <f>"وحيد"</f>
        <v>وحيد</v>
      </c>
      <c r="C489" s="1" t="str">
        <f>"منصوري"</f>
        <v>منصوري</v>
      </c>
      <c r="D489" s="1" t="str">
        <f t="shared" si="50"/>
        <v>قراردادي بهره بردار</v>
      </c>
      <c r="E489" s="1" t="str">
        <f t="shared" si="51"/>
        <v>پروژه بهره برداري نيروگاه بوشهر</v>
      </c>
      <c r="F489" s="1">
        <v>13367448</v>
      </c>
      <c r="G489" s="1">
        <v>3984325</v>
      </c>
      <c r="H489" s="1">
        <v>0</v>
      </c>
      <c r="I489" s="1">
        <v>10131668</v>
      </c>
      <c r="J489" s="1">
        <v>0</v>
      </c>
      <c r="K489" s="1">
        <v>3465000</v>
      </c>
      <c r="L489" s="1">
        <v>0</v>
      </c>
      <c r="M489" s="1">
        <v>1000000</v>
      </c>
      <c r="N489" s="1">
        <v>2397575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1606000</v>
      </c>
      <c r="U489" s="1">
        <v>0</v>
      </c>
      <c r="V489" s="1">
        <v>12455201</v>
      </c>
      <c r="W489" s="1">
        <v>1900000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1712554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6988534</v>
      </c>
      <c r="AM489" s="1">
        <v>0</v>
      </c>
      <c r="AN489" s="1">
        <v>0</v>
      </c>
      <c r="AO489" s="1">
        <v>59008305</v>
      </c>
      <c r="AP489" s="1">
        <v>26097294</v>
      </c>
      <c r="AQ489" s="1">
        <v>32911011</v>
      </c>
      <c r="AR489" s="1">
        <v>11480461</v>
      </c>
      <c r="AS489" s="1">
        <v>1722069</v>
      </c>
      <c r="AT489" s="1">
        <f t="shared" si="47"/>
        <v>72210835</v>
      </c>
    </row>
    <row r="490" spans="1:46" x14ac:dyDescent="0.2">
      <c r="A490" s="1" t="str">
        <f>"00561"</f>
        <v>00561</v>
      </c>
      <c r="B490" s="1" t="str">
        <f>"حسن"</f>
        <v>حسن</v>
      </c>
      <c r="C490" s="1" t="str">
        <f>"منصوري"</f>
        <v>منصوري</v>
      </c>
      <c r="D490" s="1" t="str">
        <f t="shared" si="50"/>
        <v>قراردادي بهره بردار</v>
      </c>
      <c r="E490" s="1" t="str">
        <f t="shared" si="51"/>
        <v>پروژه بهره برداري نيروگاه بوشهر</v>
      </c>
      <c r="F490" s="1">
        <v>14767284</v>
      </c>
      <c r="G490" s="1">
        <v>7341584</v>
      </c>
      <c r="H490" s="1">
        <v>0</v>
      </c>
      <c r="I490" s="1">
        <v>12175281</v>
      </c>
      <c r="J490" s="1">
        <v>0</v>
      </c>
      <c r="K490" s="1">
        <v>4620000</v>
      </c>
      <c r="L490" s="1">
        <v>0</v>
      </c>
      <c r="M490" s="1">
        <v>1000000</v>
      </c>
      <c r="N490" s="1">
        <v>2887518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18477617</v>
      </c>
      <c r="W490" s="1">
        <v>1900000</v>
      </c>
      <c r="X490" s="1">
        <v>2143638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2062513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10830218</v>
      </c>
      <c r="AM490" s="1">
        <v>0</v>
      </c>
      <c r="AN490" s="1">
        <v>0</v>
      </c>
      <c r="AO490" s="1">
        <v>78205653</v>
      </c>
      <c r="AP490" s="1">
        <v>12064209</v>
      </c>
      <c r="AQ490" s="1">
        <v>66141444</v>
      </c>
      <c r="AR490" s="1">
        <v>15641131</v>
      </c>
      <c r="AS490" s="1">
        <v>2346170</v>
      </c>
      <c r="AT490" s="1">
        <f t="shared" si="47"/>
        <v>96192954</v>
      </c>
    </row>
    <row r="491" spans="1:46" x14ac:dyDescent="0.2">
      <c r="A491" s="1" t="str">
        <f>"00562"</f>
        <v>00562</v>
      </c>
      <c r="B491" s="1" t="str">
        <f>"محمد امين"</f>
        <v>محمد امين</v>
      </c>
      <c r="C491" s="1" t="str">
        <f>"ميرزائي فراشبندي"</f>
        <v>ميرزائي فراشبندي</v>
      </c>
      <c r="D491" s="1" t="str">
        <f t="shared" si="50"/>
        <v>قراردادي بهره بردار</v>
      </c>
      <c r="E491" s="1" t="str">
        <f t="shared" si="51"/>
        <v>پروژه بهره برداري نيروگاه بوشهر</v>
      </c>
      <c r="F491" s="1">
        <v>18316164</v>
      </c>
      <c r="G491" s="1">
        <v>10474613</v>
      </c>
      <c r="H491" s="1">
        <v>0</v>
      </c>
      <c r="I491" s="1">
        <v>14525269</v>
      </c>
      <c r="J491" s="1">
        <v>0</v>
      </c>
      <c r="K491" s="1">
        <v>5500000</v>
      </c>
      <c r="L491" s="1">
        <v>0</v>
      </c>
      <c r="M491" s="1">
        <v>1000000</v>
      </c>
      <c r="N491" s="1">
        <v>3052365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8855626</v>
      </c>
      <c r="W491" s="1">
        <v>1900000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5520480</v>
      </c>
      <c r="AD491" s="1">
        <v>0</v>
      </c>
      <c r="AE491" s="1">
        <v>2180261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-1743395</v>
      </c>
      <c r="AM491" s="1">
        <v>0</v>
      </c>
      <c r="AN491" s="1">
        <v>0</v>
      </c>
      <c r="AO491" s="1">
        <v>69581383</v>
      </c>
      <c r="AP491" s="1">
        <v>30187419</v>
      </c>
      <c r="AQ491" s="1">
        <v>39393964</v>
      </c>
      <c r="AR491" s="1">
        <v>13916275</v>
      </c>
      <c r="AS491" s="1">
        <v>2087440</v>
      </c>
      <c r="AT491" s="1">
        <f t="shared" si="47"/>
        <v>85585098</v>
      </c>
    </row>
    <row r="492" spans="1:46" x14ac:dyDescent="0.2">
      <c r="A492" s="1" t="str">
        <f>"00563"</f>
        <v>00563</v>
      </c>
      <c r="B492" s="1" t="str">
        <f>"احمدرضا"</f>
        <v>احمدرضا</v>
      </c>
      <c r="C492" s="1" t="str">
        <f>"وطن خواه"</f>
        <v>وطن خواه</v>
      </c>
      <c r="D492" s="1" t="str">
        <f t="shared" si="50"/>
        <v>قراردادي بهره بردار</v>
      </c>
      <c r="E492" s="1" t="str">
        <f t="shared" si="51"/>
        <v>پروژه بهره برداري نيروگاه بوشهر</v>
      </c>
      <c r="F492" s="1">
        <v>14140753</v>
      </c>
      <c r="G492" s="1">
        <v>7887386</v>
      </c>
      <c r="H492" s="1">
        <v>0</v>
      </c>
      <c r="I492" s="1">
        <v>11656696</v>
      </c>
      <c r="J492" s="1">
        <v>0</v>
      </c>
      <c r="K492" s="1">
        <v>4620000</v>
      </c>
      <c r="L492" s="1">
        <v>0</v>
      </c>
      <c r="M492" s="1">
        <v>1000000</v>
      </c>
      <c r="N492" s="1">
        <v>2668232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14258144</v>
      </c>
      <c r="W492" s="1">
        <v>1900000</v>
      </c>
      <c r="X492" s="1">
        <v>2052690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1905880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11258055</v>
      </c>
      <c r="AM492" s="1">
        <v>0</v>
      </c>
      <c r="AN492" s="1">
        <v>0</v>
      </c>
      <c r="AO492" s="1">
        <v>73347836</v>
      </c>
      <c r="AP492" s="1">
        <v>28670668</v>
      </c>
      <c r="AQ492" s="1">
        <v>44677168</v>
      </c>
      <c r="AR492" s="1">
        <v>14669567</v>
      </c>
      <c r="AS492" s="1">
        <v>2200435</v>
      </c>
      <c r="AT492" s="1">
        <f t="shared" si="47"/>
        <v>90217838</v>
      </c>
    </row>
    <row r="493" spans="1:46" x14ac:dyDescent="0.2">
      <c r="A493" s="1" t="str">
        <f>"00564"</f>
        <v>00564</v>
      </c>
      <c r="B493" s="1" t="str">
        <f>"سعيد"</f>
        <v>سعيد</v>
      </c>
      <c r="C493" s="1" t="str">
        <f>"هاشمي"</f>
        <v>هاشمي</v>
      </c>
      <c r="D493" s="1" t="str">
        <f t="shared" si="50"/>
        <v>قراردادي بهره بردار</v>
      </c>
      <c r="E493" s="1" t="str">
        <f t="shared" si="51"/>
        <v>پروژه بهره برداري نيروگاه بوشهر</v>
      </c>
      <c r="F493" s="1">
        <v>14099131</v>
      </c>
      <c r="G493" s="1">
        <v>5169078</v>
      </c>
      <c r="H493" s="1">
        <v>0</v>
      </c>
      <c r="I493" s="1">
        <v>10829287</v>
      </c>
      <c r="J493" s="1">
        <v>0</v>
      </c>
      <c r="K493" s="1">
        <v>4620000</v>
      </c>
      <c r="L493" s="1">
        <v>0</v>
      </c>
      <c r="M493" s="1">
        <v>1000000</v>
      </c>
      <c r="N493" s="1">
        <v>2653664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17217636</v>
      </c>
      <c r="W493" s="1">
        <v>1900000</v>
      </c>
      <c r="X493" s="1">
        <v>2046648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1895474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9653435</v>
      </c>
      <c r="AM493" s="1">
        <v>0</v>
      </c>
      <c r="AN493" s="1">
        <v>0</v>
      </c>
      <c r="AO493" s="1">
        <v>71084353</v>
      </c>
      <c r="AP493" s="1">
        <v>36569103</v>
      </c>
      <c r="AQ493" s="1">
        <v>34515250</v>
      </c>
      <c r="AR493" s="1">
        <v>14216871</v>
      </c>
      <c r="AS493" s="1">
        <v>2132531</v>
      </c>
      <c r="AT493" s="1">
        <f t="shared" si="47"/>
        <v>87433755</v>
      </c>
    </row>
    <row r="494" spans="1:46" x14ac:dyDescent="0.2">
      <c r="A494" s="1" t="str">
        <f>"00565"</f>
        <v>00565</v>
      </c>
      <c r="B494" s="1" t="str">
        <f>"عباس"</f>
        <v>عباس</v>
      </c>
      <c r="C494" s="1" t="str">
        <f>"يزداني"</f>
        <v>يزداني</v>
      </c>
      <c r="D494" s="1" t="str">
        <f t="shared" si="50"/>
        <v>قراردادي بهره بردار</v>
      </c>
      <c r="E494" s="1" t="str">
        <f t="shared" ref="E494:E521" si="52">"پروژه تعميرات نيروگاه بوشهر"</f>
        <v>پروژه تعميرات نيروگاه بوشهر</v>
      </c>
      <c r="F494" s="1">
        <v>13978644</v>
      </c>
      <c r="G494" s="1">
        <v>3249659</v>
      </c>
      <c r="H494" s="1">
        <v>0</v>
      </c>
      <c r="I494" s="1">
        <v>12778400</v>
      </c>
      <c r="J494" s="1">
        <v>0</v>
      </c>
      <c r="K494" s="1">
        <v>4620000</v>
      </c>
      <c r="L494" s="1">
        <v>0</v>
      </c>
      <c r="M494" s="1">
        <v>1000000</v>
      </c>
      <c r="N494" s="1">
        <v>2611494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27854296</v>
      </c>
      <c r="W494" s="1">
        <v>1900000</v>
      </c>
      <c r="X494" s="1">
        <v>2029158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1865353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10745698</v>
      </c>
      <c r="AM494" s="1">
        <v>0</v>
      </c>
      <c r="AN494" s="1">
        <v>0</v>
      </c>
      <c r="AO494" s="1">
        <v>82632702</v>
      </c>
      <c r="AP494" s="1">
        <v>14591082</v>
      </c>
      <c r="AQ494" s="1">
        <v>68041620</v>
      </c>
      <c r="AR494" s="1">
        <v>16526539</v>
      </c>
      <c r="AS494" s="1">
        <v>2478981</v>
      </c>
      <c r="AT494" s="1">
        <f t="shared" si="47"/>
        <v>101638222</v>
      </c>
    </row>
    <row r="495" spans="1:46" x14ac:dyDescent="0.2">
      <c r="A495" s="1" t="str">
        <f>"00566"</f>
        <v>00566</v>
      </c>
      <c r="B495" s="1" t="str">
        <f>"عابد"</f>
        <v>عابد</v>
      </c>
      <c r="C495" s="1" t="str">
        <f>"خنده جام"</f>
        <v>خنده جام</v>
      </c>
      <c r="D495" s="1" t="str">
        <f t="shared" ref="D495:D520" si="53">"قراردادي کارگري"</f>
        <v>قراردادي کارگري</v>
      </c>
      <c r="E495" s="1" t="str">
        <f t="shared" si="52"/>
        <v>پروژه تعميرات نيروگاه بوشهر</v>
      </c>
      <c r="F495" s="1">
        <v>6709330</v>
      </c>
      <c r="G495" s="1">
        <v>2556561</v>
      </c>
      <c r="H495" s="1">
        <v>0</v>
      </c>
      <c r="I495" s="1">
        <v>4696531</v>
      </c>
      <c r="J495" s="1">
        <v>0</v>
      </c>
      <c r="K495" s="1">
        <v>0</v>
      </c>
      <c r="L495" s="1">
        <v>7628143</v>
      </c>
      <c r="M495" s="1">
        <v>1000000</v>
      </c>
      <c r="N495" s="1">
        <v>3531226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5304094</v>
      </c>
      <c r="W495" s="1">
        <v>1900000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1516881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34842766</v>
      </c>
      <c r="AP495" s="1">
        <v>5584413</v>
      </c>
      <c r="AQ495" s="1">
        <v>29258353</v>
      </c>
      <c r="AR495" s="1">
        <v>6665177</v>
      </c>
      <c r="AS495" s="1">
        <v>999777</v>
      </c>
      <c r="AT495" s="1">
        <f t="shared" si="47"/>
        <v>42507720</v>
      </c>
    </row>
    <row r="496" spans="1:46" x14ac:dyDescent="0.2">
      <c r="A496" s="1" t="str">
        <f>"00567"</f>
        <v>00567</v>
      </c>
      <c r="B496" s="1" t="str">
        <f>"مهدي"</f>
        <v>مهدي</v>
      </c>
      <c r="C496" s="1" t="str">
        <f>"شاكري"</f>
        <v>شاكري</v>
      </c>
      <c r="D496" s="1" t="str">
        <f t="shared" si="53"/>
        <v>قراردادي کارگري</v>
      </c>
      <c r="E496" s="1" t="str">
        <f t="shared" si="52"/>
        <v>پروژه تعميرات نيروگاه بوشهر</v>
      </c>
      <c r="F496" s="1">
        <v>8883974</v>
      </c>
      <c r="G496" s="1">
        <v>6816831</v>
      </c>
      <c r="H496" s="1">
        <v>0</v>
      </c>
      <c r="I496" s="1">
        <v>7462538</v>
      </c>
      <c r="J496" s="1">
        <v>0</v>
      </c>
      <c r="K496" s="1">
        <v>0</v>
      </c>
      <c r="L496" s="1">
        <v>7462913</v>
      </c>
      <c r="M496" s="1">
        <v>1000000</v>
      </c>
      <c r="N496" s="1">
        <v>4738120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10094148</v>
      </c>
      <c r="W496" s="1">
        <v>1900000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1516881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49875405</v>
      </c>
      <c r="AP496" s="1">
        <v>9981892</v>
      </c>
      <c r="AQ496" s="1">
        <v>39893513</v>
      </c>
      <c r="AR496" s="1">
        <v>9671705</v>
      </c>
      <c r="AS496" s="1">
        <v>1450756</v>
      </c>
      <c r="AT496" s="1">
        <f t="shared" si="47"/>
        <v>60997866</v>
      </c>
    </row>
    <row r="497" spans="1:46" x14ac:dyDescent="0.2">
      <c r="A497" s="1" t="str">
        <f>"00568"</f>
        <v>00568</v>
      </c>
      <c r="B497" s="1" t="str">
        <f>"علي"</f>
        <v>علي</v>
      </c>
      <c r="C497" s="1" t="str">
        <f>"فرهادي"</f>
        <v>فرهادي</v>
      </c>
      <c r="D497" s="1" t="str">
        <f t="shared" si="53"/>
        <v>قراردادي کارگري</v>
      </c>
      <c r="E497" s="1" t="str">
        <f t="shared" si="52"/>
        <v>پروژه تعميرات نيروگاه بوشهر</v>
      </c>
      <c r="F497" s="1">
        <v>10209313</v>
      </c>
      <c r="G497" s="1">
        <v>4661818</v>
      </c>
      <c r="H497" s="1">
        <v>0</v>
      </c>
      <c r="I497" s="1">
        <v>7554891</v>
      </c>
      <c r="J497" s="1">
        <v>0</v>
      </c>
      <c r="K497" s="1">
        <v>0</v>
      </c>
      <c r="L497" s="1">
        <v>7672721</v>
      </c>
      <c r="M497" s="1">
        <v>1000000</v>
      </c>
      <c r="N497" s="1">
        <v>5373323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10480143</v>
      </c>
      <c r="W497" s="1">
        <v>1900000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1516881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50369090</v>
      </c>
      <c r="AP497" s="1">
        <v>15521932</v>
      </c>
      <c r="AQ497" s="1">
        <v>34847158</v>
      </c>
      <c r="AR497" s="1">
        <v>9770442</v>
      </c>
      <c r="AS497" s="1">
        <v>1465566</v>
      </c>
      <c r="AT497" s="1">
        <f t="shared" si="47"/>
        <v>61605098</v>
      </c>
    </row>
    <row r="498" spans="1:46" x14ac:dyDescent="0.2">
      <c r="A498" s="1" t="str">
        <f>"00569"</f>
        <v>00569</v>
      </c>
      <c r="B498" s="1" t="str">
        <f>"مجاهد"</f>
        <v>مجاهد</v>
      </c>
      <c r="C498" s="1" t="str">
        <f>"مسيح گل"</f>
        <v>مسيح گل</v>
      </c>
      <c r="D498" s="1" t="str">
        <f t="shared" si="53"/>
        <v>قراردادي کارگري</v>
      </c>
      <c r="E498" s="1" t="str">
        <f t="shared" si="52"/>
        <v>پروژه تعميرات نيروگاه بوشهر</v>
      </c>
      <c r="F498" s="1">
        <v>6767506</v>
      </c>
      <c r="G498" s="1">
        <v>22558534</v>
      </c>
      <c r="H498" s="1">
        <v>0</v>
      </c>
      <c r="I498" s="1">
        <v>4263529</v>
      </c>
      <c r="J498" s="1">
        <v>0</v>
      </c>
      <c r="K498" s="1">
        <v>0</v>
      </c>
      <c r="L498" s="1">
        <v>7672721</v>
      </c>
      <c r="M498" s="1">
        <v>1000000</v>
      </c>
      <c r="N498" s="1">
        <v>3609336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7846026</v>
      </c>
      <c r="W498" s="1">
        <v>1900000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55617652</v>
      </c>
      <c r="AP498" s="1">
        <v>11836657</v>
      </c>
      <c r="AQ498" s="1">
        <v>43780995</v>
      </c>
      <c r="AR498" s="1">
        <v>11123530</v>
      </c>
      <c r="AS498" s="1">
        <v>1668530</v>
      </c>
      <c r="AT498" s="1">
        <f t="shared" si="47"/>
        <v>68409712</v>
      </c>
    </row>
    <row r="499" spans="1:46" x14ac:dyDescent="0.2">
      <c r="A499" s="1" t="str">
        <f>"00570"</f>
        <v>00570</v>
      </c>
      <c r="B499" s="1" t="str">
        <f>"احمد رضا"</f>
        <v>احمد رضا</v>
      </c>
      <c r="C499" s="1" t="str">
        <f>"رستم بروجردي"</f>
        <v>رستم بروجردي</v>
      </c>
      <c r="D499" s="1" t="str">
        <f t="shared" si="53"/>
        <v>قراردادي کارگري</v>
      </c>
      <c r="E499" s="1" t="str">
        <f t="shared" si="52"/>
        <v>پروژه تعميرات نيروگاه بوشهر</v>
      </c>
      <c r="F499" s="1">
        <v>7197844</v>
      </c>
      <c r="G499" s="1">
        <v>10339334</v>
      </c>
      <c r="H499" s="1">
        <v>0</v>
      </c>
      <c r="I499" s="1">
        <v>5326405</v>
      </c>
      <c r="J499" s="1">
        <v>0</v>
      </c>
      <c r="K499" s="1">
        <v>0</v>
      </c>
      <c r="L499" s="1">
        <v>7628143</v>
      </c>
      <c r="M499" s="1">
        <v>1000000</v>
      </c>
      <c r="N499" s="1">
        <v>3788338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8619967</v>
      </c>
      <c r="W499" s="1">
        <v>1900000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45800031</v>
      </c>
      <c r="AP499" s="1">
        <v>14952699</v>
      </c>
      <c r="AQ499" s="1">
        <v>30847332</v>
      </c>
      <c r="AR499" s="1">
        <v>9160006</v>
      </c>
      <c r="AS499" s="1">
        <v>1374001</v>
      </c>
      <c r="AT499" s="1">
        <f t="shared" si="47"/>
        <v>56334038</v>
      </c>
    </row>
    <row r="500" spans="1:46" x14ac:dyDescent="0.2">
      <c r="A500" s="1" t="str">
        <f>"00571"</f>
        <v>00571</v>
      </c>
      <c r="B500" s="1" t="str">
        <f>"هادي"</f>
        <v>هادي</v>
      </c>
      <c r="C500" s="1" t="str">
        <f>"منفرد"</f>
        <v>منفرد</v>
      </c>
      <c r="D500" s="1" t="str">
        <f t="shared" si="53"/>
        <v>قراردادي کارگري</v>
      </c>
      <c r="E500" s="1" t="str">
        <f t="shared" si="52"/>
        <v>پروژه تعميرات نيروگاه بوشهر</v>
      </c>
      <c r="F500" s="1">
        <v>9257264</v>
      </c>
      <c r="G500" s="1">
        <v>7147837</v>
      </c>
      <c r="H500" s="1">
        <v>0</v>
      </c>
      <c r="I500" s="1">
        <v>8146393</v>
      </c>
      <c r="J500" s="1">
        <v>0</v>
      </c>
      <c r="K500" s="1">
        <v>0</v>
      </c>
      <c r="L500" s="1">
        <v>7628143</v>
      </c>
      <c r="M500" s="1">
        <v>1000000</v>
      </c>
      <c r="N500" s="1">
        <v>4937207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10549016</v>
      </c>
      <c r="W500" s="1">
        <v>1900000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3033762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53599622</v>
      </c>
      <c r="AP500" s="1">
        <v>12396922</v>
      </c>
      <c r="AQ500" s="1">
        <v>41202700</v>
      </c>
      <c r="AR500" s="1">
        <v>10113172</v>
      </c>
      <c r="AS500" s="1">
        <v>1516976</v>
      </c>
      <c r="AT500" s="1">
        <f t="shared" si="47"/>
        <v>65229770</v>
      </c>
    </row>
    <row r="501" spans="1:46" x14ac:dyDescent="0.2">
      <c r="A501" s="1" t="str">
        <f>"00572"</f>
        <v>00572</v>
      </c>
      <c r="B501" s="1" t="str">
        <f>"رمضان"</f>
        <v>رمضان</v>
      </c>
      <c r="C501" s="1" t="str">
        <f>"مجيدي"</f>
        <v>مجيدي</v>
      </c>
      <c r="D501" s="1" t="str">
        <f t="shared" si="53"/>
        <v>قراردادي کارگري</v>
      </c>
      <c r="E501" s="1" t="str">
        <f t="shared" si="52"/>
        <v>پروژه تعميرات نيروگاه بوشهر</v>
      </c>
      <c r="F501" s="1">
        <v>10160576</v>
      </c>
      <c r="G501" s="1">
        <v>5814845</v>
      </c>
      <c r="H501" s="1">
        <v>0</v>
      </c>
      <c r="I501" s="1">
        <v>7315615</v>
      </c>
      <c r="J501" s="1">
        <v>0</v>
      </c>
      <c r="K501" s="1">
        <v>0</v>
      </c>
      <c r="L501" s="1">
        <v>7628143</v>
      </c>
      <c r="M501" s="1">
        <v>1000000</v>
      </c>
      <c r="N501" s="1">
        <v>5383088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10714907</v>
      </c>
      <c r="W501" s="1">
        <v>1900000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4573113</v>
      </c>
      <c r="AE501" s="1">
        <v>0</v>
      </c>
      <c r="AF501" s="1">
        <v>1516881</v>
      </c>
      <c r="AG501" s="1">
        <v>0</v>
      </c>
      <c r="AH501" s="1">
        <v>0</v>
      </c>
      <c r="AI501" s="1">
        <v>0</v>
      </c>
      <c r="AJ501" s="1">
        <v>5582251</v>
      </c>
      <c r="AK501" s="1">
        <v>0</v>
      </c>
      <c r="AL501" s="1">
        <v>0</v>
      </c>
      <c r="AM501" s="1">
        <v>0</v>
      </c>
      <c r="AN501" s="1">
        <v>0</v>
      </c>
      <c r="AO501" s="1">
        <v>61589419</v>
      </c>
      <c r="AP501" s="1">
        <v>11289141</v>
      </c>
      <c r="AQ501" s="1">
        <v>50300278</v>
      </c>
      <c r="AR501" s="1">
        <v>12014508</v>
      </c>
      <c r="AS501" s="1">
        <v>1802176</v>
      </c>
      <c r="AT501" s="1">
        <f t="shared" si="47"/>
        <v>75406103</v>
      </c>
    </row>
    <row r="502" spans="1:46" x14ac:dyDescent="0.2">
      <c r="A502" s="1" t="str">
        <f>"00573"</f>
        <v>00573</v>
      </c>
      <c r="B502" s="1" t="str">
        <f>"غلامحسين"</f>
        <v>غلامحسين</v>
      </c>
      <c r="C502" s="1" t="str">
        <f>"خاقاني"</f>
        <v>خاقاني</v>
      </c>
      <c r="D502" s="1" t="str">
        <f t="shared" si="53"/>
        <v>قراردادي کارگري</v>
      </c>
      <c r="E502" s="1" t="str">
        <f t="shared" si="52"/>
        <v>پروژه تعميرات نيروگاه بوشهر</v>
      </c>
      <c r="F502" s="1">
        <v>6319756</v>
      </c>
      <c r="G502" s="1">
        <v>2104628</v>
      </c>
      <c r="H502" s="1">
        <v>0</v>
      </c>
      <c r="I502" s="1">
        <v>4739817</v>
      </c>
      <c r="J502" s="1">
        <v>0</v>
      </c>
      <c r="K502" s="1">
        <v>0</v>
      </c>
      <c r="L502" s="1">
        <v>7672721</v>
      </c>
      <c r="M502" s="1">
        <v>1000000</v>
      </c>
      <c r="N502" s="1">
        <v>3326188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7767097</v>
      </c>
      <c r="W502" s="1">
        <v>1900000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3033762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37863969</v>
      </c>
      <c r="AP502" s="1">
        <v>11541195</v>
      </c>
      <c r="AQ502" s="1">
        <v>26322774</v>
      </c>
      <c r="AR502" s="1">
        <v>6966041</v>
      </c>
      <c r="AS502" s="1">
        <v>1044906</v>
      </c>
      <c r="AT502" s="1">
        <f t="shared" si="47"/>
        <v>45874916</v>
      </c>
    </row>
    <row r="503" spans="1:46" x14ac:dyDescent="0.2">
      <c r="A503" s="1" t="str">
        <f>"00574"</f>
        <v>00574</v>
      </c>
      <c r="B503" s="1" t="str">
        <f>"بهزاد"</f>
        <v>بهزاد</v>
      </c>
      <c r="C503" s="1" t="str">
        <f>"رضائي"</f>
        <v>رضائي</v>
      </c>
      <c r="D503" s="1" t="str">
        <f t="shared" si="53"/>
        <v>قراردادي کارگري</v>
      </c>
      <c r="E503" s="1" t="str">
        <f t="shared" si="52"/>
        <v>پروژه تعميرات نيروگاه بوشهر</v>
      </c>
      <c r="F503" s="1">
        <v>6666045</v>
      </c>
      <c r="G503" s="1">
        <v>5432649</v>
      </c>
      <c r="H503" s="1">
        <v>0</v>
      </c>
      <c r="I503" s="1">
        <v>4799552</v>
      </c>
      <c r="J503" s="1">
        <v>0</v>
      </c>
      <c r="K503" s="1">
        <v>0</v>
      </c>
      <c r="L503" s="1">
        <v>7629311</v>
      </c>
      <c r="M503" s="1">
        <v>1000000</v>
      </c>
      <c r="N503" s="1">
        <v>3508446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8192006</v>
      </c>
      <c r="W503" s="1">
        <v>1900000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3033762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42161771</v>
      </c>
      <c r="AP503" s="1">
        <v>4500179</v>
      </c>
      <c r="AQ503" s="1">
        <v>37661592</v>
      </c>
      <c r="AR503" s="1">
        <v>7825602</v>
      </c>
      <c r="AS503" s="1">
        <v>1173840</v>
      </c>
      <c r="AT503" s="1">
        <f t="shared" si="47"/>
        <v>51161213</v>
      </c>
    </row>
    <row r="504" spans="1:46" x14ac:dyDescent="0.2">
      <c r="A504" s="1" t="str">
        <f>"00575"</f>
        <v>00575</v>
      </c>
      <c r="B504" s="1" t="str">
        <f>"داريوش"</f>
        <v>داريوش</v>
      </c>
      <c r="C504" s="1" t="str">
        <f>"اميربندي"</f>
        <v>اميربندي</v>
      </c>
      <c r="D504" s="1" t="str">
        <f t="shared" si="53"/>
        <v>قراردادي کارگري</v>
      </c>
      <c r="E504" s="1" t="str">
        <f t="shared" si="52"/>
        <v>پروژه تعميرات نيروگاه بوشهر</v>
      </c>
      <c r="F504" s="1">
        <v>10483837</v>
      </c>
      <c r="G504" s="1">
        <v>20881038</v>
      </c>
      <c r="H504" s="1">
        <v>0</v>
      </c>
      <c r="I504" s="1">
        <v>8806423</v>
      </c>
      <c r="J504" s="1">
        <v>0</v>
      </c>
      <c r="K504" s="1">
        <v>0</v>
      </c>
      <c r="L504" s="1">
        <v>7628143</v>
      </c>
      <c r="M504" s="1">
        <v>1000000</v>
      </c>
      <c r="N504" s="1">
        <v>5591381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11007000</v>
      </c>
      <c r="W504" s="1">
        <v>1900000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4550643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71848465</v>
      </c>
      <c r="AP504" s="1">
        <v>12994900</v>
      </c>
      <c r="AQ504" s="1">
        <v>58853565</v>
      </c>
      <c r="AR504" s="1">
        <v>13459564</v>
      </c>
      <c r="AS504" s="1">
        <v>2018935</v>
      </c>
      <c r="AT504" s="1">
        <f t="shared" si="47"/>
        <v>87326964</v>
      </c>
    </row>
    <row r="505" spans="1:46" x14ac:dyDescent="0.2">
      <c r="A505" s="1" t="str">
        <f>"00576"</f>
        <v>00576</v>
      </c>
      <c r="B505" s="1" t="str">
        <f>"اصغر"</f>
        <v>اصغر</v>
      </c>
      <c r="C505" s="1" t="str">
        <f>"عليپور"</f>
        <v>عليپور</v>
      </c>
      <c r="D505" s="1" t="str">
        <f t="shared" si="53"/>
        <v>قراردادي کارگري</v>
      </c>
      <c r="E505" s="1" t="str">
        <f t="shared" si="52"/>
        <v>پروژه تعميرات نيروگاه بوشهر</v>
      </c>
      <c r="F505" s="1">
        <v>9085545</v>
      </c>
      <c r="G505" s="1">
        <v>1877499</v>
      </c>
      <c r="H505" s="1">
        <v>0</v>
      </c>
      <c r="I505" s="1">
        <v>6541592</v>
      </c>
      <c r="J505" s="1">
        <v>0</v>
      </c>
      <c r="K505" s="1">
        <v>0</v>
      </c>
      <c r="L505" s="1">
        <v>7628143</v>
      </c>
      <c r="M505" s="1">
        <v>1000000</v>
      </c>
      <c r="N505" s="1">
        <v>4813533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9940954</v>
      </c>
      <c r="W505" s="1">
        <v>1900000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4210322</v>
      </c>
      <c r="AE505" s="1">
        <v>0</v>
      </c>
      <c r="AF505" s="1">
        <v>6067524</v>
      </c>
      <c r="AG505" s="1">
        <v>0</v>
      </c>
      <c r="AH505" s="1">
        <v>0</v>
      </c>
      <c r="AI505" s="1">
        <v>0</v>
      </c>
      <c r="AJ505" s="1">
        <v>3433140</v>
      </c>
      <c r="AK505" s="1">
        <v>0</v>
      </c>
      <c r="AL505" s="1">
        <v>0</v>
      </c>
      <c r="AM505" s="1">
        <v>0</v>
      </c>
      <c r="AN505" s="1">
        <v>0</v>
      </c>
      <c r="AO505" s="1">
        <v>56498252</v>
      </c>
      <c r="AP505" s="1">
        <v>7593627</v>
      </c>
      <c r="AQ505" s="1">
        <v>48904625</v>
      </c>
      <c r="AR505" s="1">
        <v>10086146</v>
      </c>
      <c r="AS505" s="1">
        <v>1512922</v>
      </c>
      <c r="AT505" s="1">
        <f t="shared" si="47"/>
        <v>68097320</v>
      </c>
    </row>
    <row r="506" spans="1:46" x14ac:dyDescent="0.2">
      <c r="A506" s="1" t="str">
        <f>"00577"</f>
        <v>00577</v>
      </c>
      <c r="B506" s="1" t="str">
        <f>"عبدالمحمد"</f>
        <v>عبدالمحمد</v>
      </c>
      <c r="C506" s="1" t="str">
        <f>"گرامي"</f>
        <v>گرامي</v>
      </c>
      <c r="D506" s="1" t="str">
        <f t="shared" si="53"/>
        <v>قراردادي کارگري</v>
      </c>
      <c r="E506" s="1" t="str">
        <f t="shared" si="52"/>
        <v>پروژه تعميرات نيروگاه بوشهر</v>
      </c>
      <c r="F506" s="1">
        <v>8569530</v>
      </c>
      <c r="G506" s="1">
        <v>13913989</v>
      </c>
      <c r="H506" s="1">
        <v>0</v>
      </c>
      <c r="I506" s="1">
        <v>6341452</v>
      </c>
      <c r="J506" s="1">
        <v>0</v>
      </c>
      <c r="K506" s="1">
        <v>0</v>
      </c>
      <c r="L506" s="1">
        <v>7628143</v>
      </c>
      <c r="M506" s="1">
        <v>1000000</v>
      </c>
      <c r="N506" s="1">
        <v>4540149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6917466</v>
      </c>
      <c r="W506" s="1">
        <v>1900000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4061891</v>
      </c>
      <c r="AE506" s="1">
        <v>0</v>
      </c>
      <c r="AF506" s="1">
        <v>4550643</v>
      </c>
      <c r="AG506" s="1">
        <v>0</v>
      </c>
      <c r="AH506" s="1">
        <v>0</v>
      </c>
      <c r="AI506" s="1">
        <v>0</v>
      </c>
      <c r="AJ506" s="1">
        <v>6141347</v>
      </c>
      <c r="AK506" s="1">
        <v>0</v>
      </c>
      <c r="AL506" s="1">
        <v>0</v>
      </c>
      <c r="AM506" s="1">
        <v>0</v>
      </c>
      <c r="AN506" s="1">
        <v>0</v>
      </c>
      <c r="AO506" s="1">
        <v>65564610</v>
      </c>
      <c r="AP506" s="1">
        <v>15898707</v>
      </c>
      <c r="AQ506" s="1">
        <v>49665903</v>
      </c>
      <c r="AR506" s="1">
        <v>12202793</v>
      </c>
      <c r="AS506" s="1">
        <v>1830419</v>
      </c>
      <c r="AT506" s="1">
        <f t="shared" si="47"/>
        <v>79597822</v>
      </c>
    </row>
    <row r="507" spans="1:46" x14ac:dyDescent="0.2">
      <c r="A507" s="1" t="str">
        <f>"00578"</f>
        <v>00578</v>
      </c>
      <c r="B507" s="1" t="str">
        <f>"علي اكبر"</f>
        <v>علي اكبر</v>
      </c>
      <c r="C507" s="1" t="str">
        <f>"هلال بحر"</f>
        <v>هلال بحر</v>
      </c>
      <c r="D507" s="1" t="str">
        <f t="shared" si="53"/>
        <v>قراردادي کارگري</v>
      </c>
      <c r="E507" s="1" t="str">
        <f t="shared" si="52"/>
        <v>پروژه تعميرات نيروگاه بوشهر</v>
      </c>
      <c r="F507" s="1">
        <v>10004536</v>
      </c>
      <c r="G507" s="1">
        <v>8823195</v>
      </c>
      <c r="H507" s="1">
        <v>0</v>
      </c>
      <c r="I507" s="1">
        <v>8303764</v>
      </c>
      <c r="J507" s="1">
        <v>0</v>
      </c>
      <c r="K507" s="1">
        <v>0</v>
      </c>
      <c r="L507" s="1">
        <v>7462913</v>
      </c>
      <c r="M507" s="1">
        <v>1000000</v>
      </c>
      <c r="N507" s="1">
        <v>5335753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10572126</v>
      </c>
      <c r="W507" s="1">
        <v>1900000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53402287</v>
      </c>
      <c r="AP507" s="1">
        <v>9483537</v>
      </c>
      <c r="AQ507" s="1">
        <v>43918750</v>
      </c>
      <c r="AR507" s="1">
        <v>10680457</v>
      </c>
      <c r="AS507" s="1">
        <v>1602069</v>
      </c>
      <c r="AT507" s="1">
        <f t="shared" si="47"/>
        <v>65684813</v>
      </c>
    </row>
    <row r="508" spans="1:46" x14ac:dyDescent="0.2">
      <c r="A508" s="1" t="str">
        <f>"00579"</f>
        <v>00579</v>
      </c>
      <c r="B508" s="1" t="str">
        <f>"امير"</f>
        <v>امير</v>
      </c>
      <c r="C508" s="1" t="str">
        <f>"شاه نجات بوشهري"</f>
        <v>شاه نجات بوشهري</v>
      </c>
      <c r="D508" s="1" t="str">
        <f t="shared" si="53"/>
        <v>قراردادي کارگري</v>
      </c>
      <c r="E508" s="1" t="str">
        <f t="shared" si="52"/>
        <v>پروژه تعميرات نيروگاه بوشهر</v>
      </c>
      <c r="F508" s="1">
        <v>9114796</v>
      </c>
      <c r="G508" s="1">
        <v>6692053</v>
      </c>
      <c r="H508" s="1">
        <v>0</v>
      </c>
      <c r="I508" s="1">
        <v>6471505</v>
      </c>
      <c r="J508" s="1">
        <v>0</v>
      </c>
      <c r="K508" s="1">
        <v>0</v>
      </c>
      <c r="L508" s="1">
        <v>7628143</v>
      </c>
      <c r="M508" s="1">
        <v>1000000</v>
      </c>
      <c r="N508" s="1">
        <v>4797260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9922678</v>
      </c>
      <c r="W508" s="1">
        <v>1900000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4201756</v>
      </c>
      <c r="AE508" s="1">
        <v>0</v>
      </c>
      <c r="AF508" s="1">
        <v>1516881</v>
      </c>
      <c r="AG508" s="1">
        <v>0</v>
      </c>
      <c r="AH508" s="1">
        <v>0</v>
      </c>
      <c r="AI508" s="1">
        <v>0</v>
      </c>
      <c r="AJ508" s="1">
        <v>5139497</v>
      </c>
      <c r="AK508" s="1">
        <v>0</v>
      </c>
      <c r="AL508" s="1">
        <v>0</v>
      </c>
      <c r="AM508" s="1">
        <v>0</v>
      </c>
      <c r="AN508" s="1">
        <v>0</v>
      </c>
      <c r="AO508" s="1">
        <v>58384569</v>
      </c>
      <c r="AP508" s="1">
        <v>7442289</v>
      </c>
      <c r="AQ508" s="1">
        <v>50942280</v>
      </c>
      <c r="AR508" s="1">
        <v>11373538</v>
      </c>
      <c r="AS508" s="1">
        <v>1706031</v>
      </c>
      <c r="AT508" s="1">
        <f t="shared" si="47"/>
        <v>71464138</v>
      </c>
    </row>
    <row r="509" spans="1:46" x14ac:dyDescent="0.2">
      <c r="A509" s="1" t="str">
        <f>"00580"</f>
        <v>00580</v>
      </c>
      <c r="B509" s="1" t="str">
        <f>"عبدالرضا"</f>
        <v>عبدالرضا</v>
      </c>
      <c r="C509" s="1" t="str">
        <f>"عطشاني"</f>
        <v>عطشاني</v>
      </c>
      <c r="D509" s="1" t="str">
        <f t="shared" si="53"/>
        <v>قراردادي کارگري</v>
      </c>
      <c r="E509" s="1" t="str">
        <f t="shared" si="52"/>
        <v>پروژه تعميرات نيروگاه بوشهر</v>
      </c>
      <c r="F509" s="1">
        <v>7304065</v>
      </c>
      <c r="G509" s="1">
        <v>9499469</v>
      </c>
      <c r="H509" s="1">
        <v>0</v>
      </c>
      <c r="I509" s="1">
        <v>6135415</v>
      </c>
      <c r="J509" s="1">
        <v>0</v>
      </c>
      <c r="K509" s="1">
        <v>0</v>
      </c>
      <c r="L509" s="1">
        <v>7672721</v>
      </c>
      <c r="M509" s="1">
        <v>1000000</v>
      </c>
      <c r="N509" s="1">
        <v>3869703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8673358</v>
      </c>
      <c r="W509" s="1">
        <v>1900000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4550643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50605374</v>
      </c>
      <c r="AP509" s="1">
        <v>19462243</v>
      </c>
      <c r="AQ509" s="1">
        <v>31143131</v>
      </c>
      <c r="AR509" s="1">
        <v>9210946</v>
      </c>
      <c r="AS509" s="1">
        <v>1381642</v>
      </c>
      <c r="AT509" s="1">
        <f t="shared" si="47"/>
        <v>61197962</v>
      </c>
    </row>
    <row r="510" spans="1:46" x14ac:dyDescent="0.2">
      <c r="A510" s="1" t="str">
        <f>"00581"</f>
        <v>00581</v>
      </c>
      <c r="B510" s="1" t="str">
        <f>"رضا"</f>
        <v>رضا</v>
      </c>
      <c r="C510" s="1" t="str">
        <f>"بنشاخته"</f>
        <v>بنشاخته</v>
      </c>
      <c r="D510" s="1" t="str">
        <f t="shared" si="53"/>
        <v>قراردادي کارگري</v>
      </c>
      <c r="E510" s="1" t="str">
        <f t="shared" si="52"/>
        <v>پروژه تعميرات نيروگاه بوشهر</v>
      </c>
      <c r="F510" s="1">
        <v>10099145</v>
      </c>
      <c r="G510" s="1">
        <v>8669069</v>
      </c>
      <c r="H510" s="1">
        <v>0</v>
      </c>
      <c r="I510" s="1">
        <v>7473367</v>
      </c>
      <c r="J510" s="1">
        <v>0</v>
      </c>
      <c r="K510" s="1">
        <v>0</v>
      </c>
      <c r="L510" s="1">
        <v>7628143</v>
      </c>
      <c r="M510" s="1">
        <v>1000000</v>
      </c>
      <c r="N510" s="1">
        <v>5350540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10399838</v>
      </c>
      <c r="W510" s="1">
        <v>1900000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4550643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57070745</v>
      </c>
      <c r="AP510" s="1">
        <v>10361471</v>
      </c>
      <c r="AQ510" s="1">
        <v>46709274</v>
      </c>
      <c r="AR510" s="1">
        <v>10504020</v>
      </c>
      <c r="AS510" s="1">
        <v>1575603</v>
      </c>
      <c r="AT510" s="1">
        <f t="shared" si="47"/>
        <v>69150368</v>
      </c>
    </row>
    <row r="511" spans="1:46" x14ac:dyDescent="0.2">
      <c r="A511" s="1" t="str">
        <f>"00582"</f>
        <v>00582</v>
      </c>
      <c r="B511" s="1" t="str">
        <f>"مصطفي"</f>
        <v>مصطفي</v>
      </c>
      <c r="C511" s="1" t="str">
        <f>"روانستان"</f>
        <v>روانستان</v>
      </c>
      <c r="D511" s="1" t="str">
        <f t="shared" si="53"/>
        <v>قراردادي کارگري</v>
      </c>
      <c r="E511" s="1" t="str">
        <f t="shared" si="52"/>
        <v>پروژه تعميرات نيروگاه بوشهر</v>
      </c>
      <c r="F511" s="1">
        <v>7061802</v>
      </c>
      <c r="G511" s="1">
        <v>6778576</v>
      </c>
      <c r="H511" s="1">
        <v>0</v>
      </c>
      <c r="I511" s="1">
        <v>5296352</v>
      </c>
      <c r="J511" s="1">
        <v>0</v>
      </c>
      <c r="K511" s="1">
        <v>0</v>
      </c>
      <c r="L511" s="1">
        <v>7659257</v>
      </c>
      <c r="M511" s="1">
        <v>1000000</v>
      </c>
      <c r="N511" s="1">
        <v>3716739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8286553</v>
      </c>
      <c r="W511" s="1">
        <v>1900000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3033762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44733041</v>
      </c>
      <c r="AP511" s="1">
        <v>14430681</v>
      </c>
      <c r="AQ511" s="1">
        <v>30302360</v>
      </c>
      <c r="AR511" s="1">
        <v>8339856</v>
      </c>
      <c r="AS511" s="1">
        <v>1250978</v>
      </c>
      <c r="AT511" s="1">
        <f t="shared" si="47"/>
        <v>54323875</v>
      </c>
    </row>
    <row r="512" spans="1:46" x14ac:dyDescent="0.2">
      <c r="A512" s="1" t="str">
        <f>"00583"</f>
        <v>00583</v>
      </c>
      <c r="B512" s="1" t="str">
        <f>"علي حسين"</f>
        <v>علي حسين</v>
      </c>
      <c r="C512" s="1" t="str">
        <f>"طاهري كلاني"</f>
        <v>طاهري كلاني</v>
      </c>
      <c r="D512" s="1" t="str">
        <f t="shared" si="53"/>
        <v>قراردادي کارگري</v>
      </c>
      <c r="E512" s="1" t="str">
        <f t="shared" si="52"/>
        <v>پروژه تعميرات نيروگاه بوشهر</v>
      </c>
      <c r="F512" s="1">
        <v>11333105</v>
      </c>
      <c r="G512" s="1">
        <v>7380695</v>
      </c>
      <c r="H512" s="1">
        <v>0</v>
      </c>
      <c r="I512" s="1">
        <v>9293147</v>
      </c>
      <c r="J512" s="1">
        <v>0</v>
      </c>
      <c r="K512" s="1">
        <v>0</v>
      </c>
      <c r="L512" s="1">
        <v>7462913</v>
      </c>
      <c r="M512" s="1">
        <v>1000000</v>
      </c>
      <c r="N512" s="1">
        <v>6044322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7704508</v>
      </c>
      <c r="W512" s="1">
        <v>1900000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1516881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53635571</v>
      </c>
      <c r="AP512" s="1">
        <v>10046373</v>
      </c>
      <c r="AQ512" s="1">
        <v>43589198</v>
      </c>
      <c r="AR512" s="1">
        <v>10423738</v>
      </c>
      <c r="AS512" s="1">
        <v>1563561</v>
      </c>
      <c r="AT512" s="1">
        <f t="shared" si="47"/>
        <v>65622870</v>
      </c>
    </row>
    <row r="513" spans="1:46" x14ac:dyDescent="0.2">
      <c r="A513" s="1" t="str">
        <f>"00584"</f>
        <v>00584</v>
      </c>
      <c r="B513" s="1" t="str">
        <f>"علي"</f>
        <v>علي</v>
      </c>
      <c r="C513" s="1" t="str">
        <f>"علوي راد"</f>
        <v>علوي راد</v>
      </c>
      <c r="D513" s="1" t="str">
        <f t="shared" si="53"/>
        <v>قراردادي کارگري</v>
      </c>
      <c r="E513" s="1" t="str">
        <f t="shared" si="52"/>
        <v>پروژه تعميرات نيروگاه بوشهر</v>
      </c>
      <c r="F513" s="1">
        <v>7445193</v>
      </c>
      <c r="G513" s="1">
        <v>0</v>
      </c>
      <c r="H513" s="1">
        <v>0</v>
      </c>
      <c r="I513" s="1">
        <v>5434990</v>
      </c>
      <c r="J513" s="1">
        <v>0</v>
      </c>
      <c r="K513" s="1">
        <v>0</v>
      </c>
      <c r="L513" s="1">
        <v>7672721</v>
      </c>
      <c r="M513" s="1">
        <v>1000000</v>
      </c>
      <c r="N513" s="1">
        <v>3918522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8515109</v>
      </c>
      <c r="W513" s="1">
        <v>1900000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3033762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38920297</v>
      </c>
      <c r="AP513" s="1">
        <v>4233445</v>
      </c>
      <c r="AQ513" s="1">
        <v>34686852</v>
      </c>
      <c r="AR513" s="1">
        <v>7177307</v>
      </c>
      <c r="AS513" s="1">
        <v>1076596</v>
      </c>
      <c r="AT513" s="1">
        <f t="shared" si="47"/>
        <v>47174200</v>
      </c>
    </row>
    <row r="514" spans="1:46" x14ac:dyDescent="0.2">
      <c r="A514" s="1" t="str">
        <f>"00585"</f>
        <v>00585</v>
      </c>
      <c r="B514" s="1" t="str">
        <f>"سيد حسن"</f>
        <v>سيد حسن</v>
      </c>
      <c r="C514" s="1" t="str">
        <f>"افسرده فرد"</f>
        <v>افسرده فرد</v>
      </c>
      <c r="D514" s="1" t="str">
        <f t="shared" si="53"/>
        <v>قراردادي کارگري</v>
      </c>
      <c r="E514" s="1" t="str">
        <f t="shared" si="52"/>
        <v>پروژه تعميرات نيروگاه بوشهر</v>
      </c>
      <c r="F514" s="1">
        <v>11869901</v>
      </c>
      <c r="G514" s="1">
        <v>0</v>
      </c>
      <c r="H514" s="1">
        <v>0</v>
      </c>
      <c r="I514" s="1">
        <v>9970717</v>
      </c>
      <c r="J514" s="1">
        <v>0</v>
      </c>
      <c r="K514" s="1">
        <v>0</v>
      </c>
      <c r="L514" s="1">
        <v>7462913</v>
      </c>
      <c r="M514" s="1">
        <v>1000000</v>
      </c>
      <c r="N514" s="1">
        <v>6330613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13134477</v>
      </c>
      <c r="W514" s="1">
        <v>1900000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4550643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56219264</v>
      </c>
      <c r="AP514" s="1">
        <v>10575613</v>
      </c>
      <c r="AQ514" s="1">
        <v>45643651</v>
      </c>
      <c r="AR514" s="1">
        <v>10333724</v>
      </c>
      <c r="AS514" s="1">
        <v>1550059</v>
      </c>
      <c r="AT514" s="1">
        <f t="shared" si="47"/>
        <v>68103047</v>
      </c>
    </row>
    <row r="515" spans="1:46" x14ac:dyDescent="0.2">
      <c r="A515" s="1" t="str">
        <f>"00586"</f>
        <v>00586</v>
      </c>
      <c r="B515" s="1" t="str">
        <f>"رضا"</f>
        <v>رضا</v>
      </c>
      <c r="C515" s="1" t="str">
        <f>"بازدار"</f>
        <v>بازدار</v>
      </c>
      <c r="D515" s="1" t="str">
        <f t="shared" si="53"/>
        <v>قراردادي کارگري</v>
      </c>
      <c r="E515" s="1" t="str">
        <f t="shared" si="52"/>
        <v>پروژه تعميرات نيروگاه بوشهر</v>
      </c>
      <c r="F515" s="1">
        <v>9478698</v>
      </c>
      <c r="G515" s="1">
        <v>11093434</v>
      </c>
      <c r="H515" s="1">
        <v>0</v>
      </c>
      <c r="I515" s="1">
        <v>6919450</v>
      </c>
      <c r="J515" s="1">
        <v>0</v>
      </c>
      <c r="K515" s="1">
        <v>0</v>
      </c>
      <c r="L515" s="1">
        <v>7628143</v>
      </c>
      <c r="M515" s="1">
        <v>1000000</v>
      </c>
      <c r="N515" s="1">
        <v>5021828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10254332</v>
      </c>
      <c r="W515" s="1">
        <v>1900000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3033762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56329647</v>
      </c>
      <c r="AP515" s="1">
        <v>11135435</v>
      </c>
      <c r="AQ515" s="1">
        <v>45194212</v>
      </c>
      <c r="AR515" s="1">
        <v>10659177</v>
      </c>
      <c r="AS515" s="1">
        <v>1598877</v>
      </c>
      <c r="AT515" s="1">
        <f t="shared" ref="AT515:AT578" si="54">AO515+AR515+AS515</f>
        <v>68587701</v>
      </c>
    </row>
    <row r="516" spans="1:46" x14ac:dyDescent="0.2">
      <c r="A516" s="1" t="str">
        <f>"00587"</f>
        <v>00587</v>
      </c>
      <c r="B516" s="1" t="str">
        <f>"محمود"</f>
        <v>محمود</v>
      </c>
      <c r="C516" s="1" t="str">
        <f>"كرم زاده"</f>
        <v>كرم زاده</v>
      </c>
      <c r="D516" s="1" t="str">
        <f t="shared" si="53"/>
        <v>قراردادي کارگري</v>
      </c>
      <c r="E516" s="1" t="str">
        <f t="shared" si="52"/>
        <v>پروژه تعميرات نيروگاه بوشهر</v>
      </c>
      <c r="F516" s="1">
        <v>7921338</v>
      </c>
      <c r="G516" s="1">
        <v>6790120</v>
      </c>
      <c r="H516" s="1">
        <v>0</v>
      </c>
      <c r="I516" s="1">
        <v>6733138</v>
      </c>
      <c r="J516" s="1">
        <v>0</v>
      </c>
      <c r="K516" s="1">
        <v>0</v>
      </c>
      <c r="L516" s="1">
        <v>7672721</v>
      </c>
      <c r="M516" s="1">
        <v>1000000</v>
      </c>
      <c r="N516" s="1">
        <v>4169126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9142827</v>
      </c>
      <c r="W516" s="1">
        <v>1900000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3033762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48363032</v>
      </c>
      <c r="AP516" s="1">
        <v>15119102</v>
      </c>
      <c r="AQ516" s="1">
        <v>33243930</v>
      </c>
      <c r="AR516" s="1">
        <v>9065854</v>
      </c>
      <c r="AS516" s="1">
        <v>1359878</v>
      </c>
      <c r="AT516" s="1">
        <f t="shared" si="54"/>
        <v>58788764</v>
      </c>
    </row>
    <row r="517" spans="1:46" x14ac:dyDescent="0.2">
      <c r="A517" s="1" t="str">
        <f>"00588"</f>
        <v>00588</v>
      </c>
      <c r="B517" s="1" t="str">
        <f>"عليرضا"</f>
        <v>عليرضا</v>
      </c>
      <c r="C517" s="1" t="str">
        <f>"جماله"</f>
        <v>جماله</v>
      </c>
      <c r="D517" s="1" t="str">
        <f t="shared" si="53"/>
        <v>قراردادي کارگري</v>
      </c>
      <c r="E517" s="1" t="str">
        <f t="shared" si="52"/>
        <v>پروژه تعميرات نيروگاه بوشهر</v>
      </c>
      <c r="F517" s="1">
        <v>10759664</v>
      </c>
      <c r="G517" s="1">
        <v>0</v>
      </c>
      <c r="H517" s="1">
        <v>0</v>
      </c>
      <c r="I517" s="1">
        <v>7746958</v>
      </c>
      <c r="J517" s="1">
        <v>0</v>
      </c>
      <c r="K517" s="1">
        <v>0</v>
      </c>
      <c r="L517" s="1">
        <v>7628143</v>
      </c>
      <c r="M517" s="1">
        <v>1000000</v>
      </c>
      <c r="N517" s="1">
        <v>5662981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9742435</v>
      </c>
      <c r="W517" s="1">
        <v>1900000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3033762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47473943</v>
      </c>
      <c r="AP517" s="1">
        <v>11064526</v>
      </c>
      <c r="AQ517" s="1">
        <v>36409417</v>
      </c>
      <c r="AR517" s="1">
        <v>8888036</v>
      </c>
      <c r="AS517" s="1">
        <v>1333205</v>
      </c>
      <c r="AT517" s="1">
        <f t="shared" si="54"/>
        <v>57695184</v>
      </c>
    </row>
    <row r="518" spans="1:46" x14ac:dyDescent="0.2">
      <c r="A518" s="1" t="str">
        <f>"00589"</f>
        <v>00589</v>
      </c>
      <c r="B518" s="1" t="str">
        <f>"محمد"</f>
        <v>محمد</v>
      </c>
      <c r="C518" s="1" t="str">
        <f>"تمدن آرا"</f>
        <v>تمدن آرا</v>
      </c>
      <c r="D518" s="1" t="str">
        <f t="shared" si="53"/>
        <v>قراردادي کارگري</v>
      </c>
      <c r="E518" s="1" t="str">
        <f t="shared" si="52"/>
        <v>پروژه تعميرات نيروگاه بوشهر</v>
      </c>
      <c r="F518" s="1">
        <v>6579188</v>
      </c>
      <c r="G518" s="1">
        <v>17048182</v>
      </c>
      <c r="H518" s="1">
        <v>0</v>
      </c>
      <c r="I518" s="1">
        <v>5197558</v>
      </c>
      <c r="J518" s="1">
        <v>0</v>
      </c>
      <c r="K518" s="1">
        <v>0</v>
      </c>
      <c r="L518" s="1">
        <v>7672721</v>
      </c>
      <c r="M518" s="1">
        <v>1000000</v>
      </c>
      <c r="N518" s="1">
        <v>3485663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8038857</v>
      </c>
      <c r="W518" s="1">
        <v>1900000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3033762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0</v>
      </c>
      <c r="AO518" s="1">
        <v>53955931</v>
      </c>
      <c r="AP518" s="1">
        <v>15520138</v>
      </c>
      <c r="AQ518" s="1">
        <v>38435793</v>
      </c>
      <c r="AR518" s="1">
        <v>10184434</v>
      </c>
      <c r="AS518" s="1">
        <v>1527665</v>
      </c>
      <c r="AT518" s="1">
        <f t="shared" si="54"/>
        <v>65668030</v>
      </c>
    </row>
    <row r="519" spans="1:46" x14ac:dyDescent="0.2">
      <c r="A519" s="1" t="str">
        <f>"00590"</f>
        <v>00590</v>
      </c>
      <c r="B519" s="1" t="str">
        <f>"شكراله"</f>
        <v>شكراله</v>
      </c>
      <c r="C519" s="1" t="str">
        <f>"حقيقي"</f>
        <v>حقيقي</v>
      </c>
      <c r="D519" s="1" t="str">
        <f t="shared" si="53"/>
        <v>قراردادي کارگري</v>
      </c>
      <c r="E519" s="1" t="str">
        <f t="shared" si="52"/>
        <v>پروژه تعميرات نيروگاه بوشهر</v>
      </c>
      <c r="F519" s="1">
        <v>5424989</v>
      </c>
      <c r="G519" s="1">
        <v>1515223</v>
      </c>
      <c r="H519" s="1">
        <v>0</v>
      </c>
      <c r="I519" s="1">
        <v>3797493</v>
      </c>
      <c r="J519" s="1">
        <v>0</v>
      </c>
      <c r="K519" s="1">
        <v>0</v>
      </c>
      <c r="L519" s="1">
        <v>7672721</v>
      </c>
      <c r="M519" s="1">
        <v>1000000</v>
      </c>
      <c r="N519" s="1">
        <v>2712494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7233396</v>
      </c>
      <c r="W519" s="1">
        <v>1900000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2941154</v>
      </c>
      <c r="AE519" s="1">
        <v>0</v>
      </c>
      <c r="AF519" s="1">
        <v>1516881</v>
      </c>
      <c r="AG519" s="1">
        <v>0</v>
      </c>
      <c r="AH519" s="1">
        <v>0</v>
      </c>
      <c r="AI519" s="1">
        <v>0</v>
      </c>
      <c r="AJ519" s="1">
        <v>3636535</v>
      </c>
      <c r="AK519" s="1">
        <v>0</v>
      </c>
      <c r="AL519" s="1">
        <v>0</v>
      </c>
      <c r="AM519" s="1">
        <v>0</v>
      </c>
      <c r="AN519" s="1">
        <v>0</v>
      </c>
      <c r="AO519" s="1">
        <v>39350886</v>
      </c>
      <c r="AP519" s="1">
        <v>4399195</v>
      </c>
      <c r="AQ519" s="1">
        <v>34951691</v>
      </c>
      <c r="AR519" s="1">
        <v>7566801</v>
      </c>
      <c r="AS519" s="1">
        <v>1135020</v>
      </c>
      <c r="AT519" s="1">
        <f t="shared" si="54"/>
        <v>48052707</v>
      </c>
    </row>
    <row r="520" spans="1:46" x14ac:dyDescent="0.2">
      <c r="A520" s="1" t="str">
        <f>"00591"</f>
        <v>00591</v>
      </c>
      <c r="B520" s="1" t="str">
        <f>"سيد مهدي"</f>
        <v>سيد مهدي</v>
      </c>
      <c r="C520" s="1" t="str">
        <f>"موسوي"</f>
        <v>موسوي</v>
      </c>
      <c r="D520" s="1" t="str">
        <f t="shared" si="53"/>
        <v>قراردادي کارگري</v>
      </c>
      <c r="E520" s="1" t="str">
        <f t="shared" si="52"/>
        <v>پروژه تعميرات نيروگاه بوشهر</v>
      </c>
      <c r="F520" s="1">
        <v>6419672</v>
      </c>
      <c r="G520" s="1">
        <v>2050022</v>
      </c>
      <c r="H520" s="1">
        <v>0</v>
      </c>
      <c r="I520" s="1">
        <v>3980196</v>
      </c>
      <c r="J520" s="1">
        <v>0</v>
      </c>
      <c r="K520" s="1">
        <v>0</v>
      </c>
      <c r="L520" s="1">
        <v>7672721</v>
      </c>
      <c r="M520" s="1">
        <v>1000000</v>
      </c>
      <c r="N520" s="1">
        <v>3209835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7769310</v>
      </c>
      <c r="W520" s="1">
        <v>1900000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3192364</v>
      </c>
      <c r="AE520" s="1">
        <v>0</v>
      </c>
      <c r="AF520" s="1">
        <v>4550643</v>
      </c>
      <c r="AG520" s="1">
        <v>0</v>
      </c>
      <c r="AH520" s="1">
        <v>0</v>
      </c>
      <c r="AI520" s="1">
        <v>0</v>
      </c>
      <c r="AJ520" s="1">
        <v>2624028</v>
      </c>
      <c r="AK520" s="1">
        <v>0</v>
      </c>
      <c r="AL520" s="1">
        <v>0</v>
      </c>
      <c r="AM520" s="1">
        <v>0</v>
      </c>
      <c r="AN520" s="1">
        <v>0</v>
      </c>
      <c r="AO520" s="1">
        <v>44368791</v>
      </c>
      <c r="AP520" s="1">
        <v>8110150</v>
      </c>
      <c r="AQ520" s="1">
        <v>36258641</v>
      </c>
      <c r="AR520" s="1">
        <v>7963630</v>
      </c>
      <c r="AS520" s="1">
        <v>1194544</v>
      </c>
      <c r="AT520" s="1">
        <f t="shared" si="54"/>
        <v>53526965</v>
      </c>
    </row>
    <row r="521" spans="1:46" x14ac:dyDescent="0.2">
      <c r="A521" s="1" t="str">
        <f>"00594"</f>
        <v>00594</v>
      </c>
      <c r="B521" s="1" t="str">
        <f>"مهدي"</f>
        <v>مهدي</v>
      </c>
      <c r="C521" s="1" t="str">
        <f>"احمديان مفرد"</f>
        <v>احمديان مفرد</v>
      </c>
      <c r="D521" s="1" t="str">
        <f t="shared" ref="D521:D563" si="55">"قراردادي بهره بردار"</f>
        <v>قراردادي بهره بردار</v>
      </c>
      <c r="E521" s="1" t="str">
        <f t="shared" si="52"/>
        <v>پروژه تعميرات نيروگاه بوشهر</v>
      </c>
      <c r="F521" s="1">
        <v>28494001</v>
      </c>
      <c r="G521" s="1">
        <v>0</v>
      </c>
      <c r="H521" s="1">
        <v>0</v>
      </c>
      <c r="I521" s="1">
        <v>24404543</v>
      </c>
      <c r="J521" s="1">
        <v>0</v>
      </c>
      <c r="K521" s="1">
        <v>5500000</v>
      </c>
      <c r="L521" s="1">
        <v>0</v>
      </c>
      <c r="M521" s="1">
        <v>1000000</v>
      </c>
      <c r="N521" s="1">
        <v>4596566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15912210</v>
      </c>
      <c r="W521" s="1">
        <v>1900000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3283262</v>
      </c>
      <c r="AF521" s="1">
        <v>1516881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8405150</v>
      </c>
      <c r="AM521" s="1">
        <v>0</v>
      </c>
      <c r="AN521" s="1">
        <v>0</v>
      </c>
      <c r="AO521" s="1">
        <v>95012613</v>
      </c>
      <c r="AP521" s="1">
        <v>41966456</v>
      </c>
      <c r="AQ521" s="1">
        <v>53046157</v>
      </c>
      <c r="AR521" s="1">
        <v>18699146</v>
      </c>
      <c r="AS521" s="1">
        <v>2804872</v>
      </c>
      <c r="AT521" s="1">
        <f t="shared" si="54"/>
        <v>116516631</v>
      </c>
    </row>
    <row r="522" spans="1:46" x14ac:dyDescent="0.2">
      <c r="A522" s="1" t="str">
        <f>"00595"</f>
        <v>00595</v>
      </c>
      <c r="B522" s="1" t="str">
        <f>"امين"</f>
        <v>امين</v>
      </c>
      <c r="C522" s="1" t="str">
        <f>"ارجمندي"</f>
        <v>ارجمندي</v>
      </c>
      <c r="D522" s="1" t="str">
        <f t="shared" si="55"/>
        <v>قراردادي بهره بردار</v>
      </c>
      <c r="E522" s="1" t="str">
        <f t="shared" ref="E522:E527" si="56">"پروژه بهره برداري نيروگاه بوشهر"</f>
        <v>پروژه بهره برداري نيروگاه بوشهر</v>
      </c>
      <c r="F522" s="1">
        <v>23970275</v>
      </c>
      <c r="G522" s="1">
        <v>33753378</v>
      </c>
      <c r="H522" s="1">
        <v>0</v>
      </c>
      <c r="I522" s="1">
        <v>23696080</v>
      </c>
      <c r="J522" s="1">
        <v>0</v>
      </c>
      <c r="K522" s="1">
        <v>5500000</v>
      </c>
      <c r="L522" s="1">
        <v>0</v>
      </c>
      <c r="M522" s="1">
        <v>1000000</v>
      </c>
      <c r="N522" s="1">
        <v>3717890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6124630</v>
      </c>
      <c r="W522" s="1">
        <v>1900000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2957400</v>
      </c>
      <c r="AD522" s="1">
        <v>0</v>
      </c>
      <c r="AE522" s="1">
        <v>2655636</v>
      </c>
      <c r="AF522" s="1">
        <v>1516881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4249017</v>
      </c>
      <c r="AM522" s="1">
        <v>0</v>
      </c>
      <c r="AN522" s="1">
        <v>0</v>
      </c>
      <c r="AO522" s="1">
        <v>111041187</v>
      </c>
      <c r="AP522" s="1">
        <v>40161371</v>
      </c>
      <c r="AQ522" s="1">
        <v>70879816</v>
      </c>
      <c r="AR522" s="1">
        <v>21904861</v>
      </c>
      <c r="AS522" s="1">
        <v>3285729</v>
      </c>
      <c r="AT522" s="1">
        <f t="shared" si="54"/>
        <v>136231777</v>
      </c>
    </row>
    <row r="523" spans="1:46" x14ac:dyDescent="0.2">
      <c r="A523" s="1" t="str">
        <f>"00600"</f>
        <v>00600</v>
      </c>
      <c r="B523" s="1" t="str">
        <f>"اسماعيل"</f>
        <v>اسماعيل</v>
      </c>
      <c r="C523" s="1" t="str">
        <f>"هويداپور"</f>
        <v>هويداپور</v>
      </c>
      <c r="D523" s="1" t="str">
        <f t="shared" si="55"/>
        <v>قراردادي بهره بردار</v>
      </c>
      <c r="E523" s="1" t="str">
        <f t="shared" si="56"/>
        <v>پروژه بهره برداري نيروگاه بوشهر</v>
      </c>
      <c r="F523" s="1">
        <v>21527681</v>
      </c>
      <c r="G523" s="1">
        <v>24247955</v>
      </c>
      <c r="H523" s="1">
        <v>0</v>
      </c>
      <c r="I523" s="1">
        <v>19174678</v>
      </c>
      <c r="J523" s="1">
        <v>0</v>
      </c>
      <c r="K523" s="1">
        <v>5500000</v>
      </c>
      <c r="L523" s="1">
        <v>0</v>
      </c>
      <c r="M523" s="1">
        <v>1000000</v>
      </c>
      <c r="N523" s="1">
        <v>3106803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5520983</v>
      </c>
      <c r="W523" s="1">
        <v>1900000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5520480</v>
      </c>
      <c r="AD523" s="1">
        <v>0</v>
      </c>
      <c r="AE523" s="1">
        <v>2219145</v>
      </c>
      <c r="AF523" s="1">
        <v>1516881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3661042</v>
      </c>
      <c r="AM523" s="1">
        <v>0</v>
      </c>
      <c r="AN523" s="1">
        <v>0</v>
      </c>
      <c r="AO523" s="1">
        <v>94895648</v>
      </c>
      <c r="AP523" s="1">
        <v>37254582</v>
      </c>
      <c r="AQ523" s="1">
        <v>57641066</v>
      </c>
      <c r="AR523" s="1">
        <v>18675752</v>
      </c>
      <c r="AS523" s="1">
        <v>2801362</v>
      </c>
      <c r="AT523" s="1">
        <f t="shared" si="54"/>
        <v>116372762</v>
      </c>
    </row>
    <row r="524" spans="1:46" x14ac:dyDescent="0.2">
      <c r="A524" s="1" t="str">
        <f>"00601"</f>
        <v>00601</v>
      </c>
      <c r="B524" s="1" t="str">
        <f>"وحيد"</f>
        <v>وحيد</v>
      </c>
      <c r="C524" s="1" t="str">
        <f>"پاکروان"</f>
        <v>پاکروان</v>
      </c>
      <c r="D524" s="1" t="str">
        <f t="shared" si="55"/>
        <v>قراردادي بهره بردار</v>
      </c>
      <c r="E524" s="1" t="str">
        <f t="shared" si="56"/>
        <v>پروژه بهره برداري نيروگاه بوشهر</v>
      </c>
      <c r="F524" s="1">
        <v>15965579</v>
      </c>
      <c r="G524" s="1">
        <v>18143722</v>
      </c>
      <c r="H524" s="1">
        <v>0</v>
      </c>
      <c r="I524" s="1">
        <v>12607515</v>
      </c>
      <c r="J524" s="1">
        <v>0</v>
      </c>
      <c r="K524" s="1">
        <v>4125000</v>
      </c>
      <c r="L524" s="1">
        <v>0</v>
      </c>
      <c r="M524" s="1">
        <v>1000000</v>
      </c>
      <c r="N524" s="1">
        <v>2402176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3652307</v>
      </c>
      <c r="W524" s="1">
        <v>1900000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1715840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3831969</v>
      </c>
      <c r="AM524" s="1">
        <v>0</v>
      </c>
      <c r="AN524" s="1">
        <v>0</v>
      </c>
      <c r="AO524" s="1">
        <v>65344108</v>
      </c>
      <c r="AP524" s="1">
        <v>23022732</v>
      </c>
      <c r="AQ524" s="1">
        <v>42321376</v>
      </c>
      <c r="AR524" s="1">
        <v>13068822</v>
      </c>
      <c r="AS524" s="1">
        <v>1960323</v>
      </c>
      <c r="AT524" s="1">
        <f t="shared" si="54"/>
        <v>80373253</v>
      </c>
    </row>
    <row r="525" spans="1:46" x14ac:dyDescent="0.2">
      <c r="A525" s="1" t="str">
        <f>"00602"</f>
        <v>00602</v>
      </c>
      <c r="B525" s="1" t="str">
        <f>"زينب"</f>
        <v>زينب</v>
      </c>
      <c r="C525" s="1" t="str">
        <f>"صمديان مطلق"</f>
        <v>صمديان مطلق</v>
      </c>
      <c r="D525" s="1" t="str">
        <f t="shared" si="55"/>
        <v>قراردادي بهره بردار</v>
      </c>
      <c r="E525" s="1" t="str">
        <f t="shared" si="56"/>
        <v>پروژه بهره برداري نيروگاه بوشهر</v>
      </c>
      <c r="F525" s="1">
        <v>15810041</v>
      </c>
      <c r="G525" s="1">
        <v>7579388</v>
      </c>
      <c r="H525" s="1">
        <v>0</v>
      </c>
      <c r="I525" s="1">
        <v>14533376</v>
      </c>
      <c r="J525" s="1">
        <v>1100000</v>
      </c>
      <c r="K525" s="1">
        <v>3465000</v>
      </c>
      <c r="L525" s="1">
        <v>0</v>
      </c>
      <c r="M525" s="1">
        <v>1000000</v>
      </c>
      <c r="N525" s="1">
        <v>2934288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4245485</v>
      </c>
      <c r="W525" s="1">
        <v>1900000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2808435</v>
      </c>
      <c r="AD525" s="1">
        <v>0</v>
      </c>
      <c r="AE525" s="1">
        <v>2095920</v>
      </c>
      <c r="AF525" s="1">
        <v>3033762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4272786</v>
      </c>
      <c r="AM525" s="1">
        <v>0</v>
      </c>
      <c r="AN525" s="1">
        <v>0</v>
      </c>
      <c r="AO525" s="1">
        <v>64778481</v>
      </c>
      <c r="AP525" s="1">
        <v>9379350</v>
      </c>
      <c r="AQ525" s="1">
        <v>55399131</v>
      </c>
      <c r="AR525" s="1">
        <v>12128944</v>
      </c>
      <c r="AS525" s="1">
        <v>1819342</v>
      </c>
      <c r="AT525" s="1">
        <f t="shared" si="54"/>
        <v>78726767</v>
      </c>
    </row>
    <row r="526" spans="1:46" x14ac:dyDescent="0.2">
      <c r="A526" s="1" t="str">
        <f>"00603"</f>
        <v>00603</v>
      </c>
      <c r="B526" s="1" t="str">
        <f>"اسماعيل"</f>
        <v>اسماعيل</v>
      </c>
      <c r="C526" s="1" t="str">
        <f>"قاسمي خواه"</f>
        <v>قاسمي خواه</v>
      </c>
      <c r="D526" s="1" t="str">
        <f t="shared" si="55"/>
        <v>قراردادي بهره بردار</v>
      </c>
      <c r="E526" s="1" t="str">
        <f t="shared" si="56"/>
        <v>پروژه بهره برداري نيروگاه بوشهر</v>
      </c>
      <c r="F526" s="1">
        <v>21904475</v>
      </c>
      <c r="G526" s="1">
        <v>23046557</v>
      </c>
      <c r="H526" s="1">
        <v>5936000</v>
      </c>
      <c r="I526" s="1">
        <v>19116526</v>
      </c>
      <c r="J526" s="1">
        <v>0</v>
      </c>
      <c r="K526" s="1">
        <v>5500000</v>
      </c>
      <c r="L526" s="1">
        <v>0</v>
      </c>
      <c r="M526" s="1">
        <v>1000000</v>
      </c>
      <c r="N526" s="1">
        <v>3549209</v>
      </c>
      <c r="O526" s="1">
        <v>0</v>
      </c>
      <c r="P526" s="1">
        <v>0</v>
      </c>
      <c r="Q526" s="1">
        <v>0</v>
      </c>
      <c r="R526" s="1">
        <v>0</v>
      </c>
      <c r="S526" s="1">
        <v>2544000</v>
      </c>
      <c r="T526" s="1">
        <v>0</v>
      </c>
      <c r="U526" s="1">
        <v>0</v>
      </c>
      <c r="V526" s="1">
        <v>11334102</v>
      </c>
      <c r="W526" s="1">
        <v>1900000</v>
      </c>
      <c r="X526" s="1">
        <v>0</v>
      </c>
      <c r="Y526" s="1">
        <v>198250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2535148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5611392</v>
      </c>
      <c r="AM526" s="1">
        <v>0</v>
      </c>
      <c r="AN526" s="1">
        <v>0</v>
      </c>
      <c r="AO526" s="1">
        <v>104175659</v>
      </c>
      <c r="AP526" s="1">
        <v>18330224</v>
      </c>
      <c r="AQ526" s="1">
        <v>85845435</v>
      </c>
      <c r="AR526" s="1">
        <v>19139132</v>
      </c>
      <c r="AS526" s="1">
        <v>2870870</v>
      </c>
      <c r="AT526" s="1">
        <f t="shared" si="54"/>
        <v>126185661</v>
      </c>
    </row>
    <row r="527" spans="1:46" x14ac:dyDescent="0.2">
      <c r="A527" s="1" t="str">
        <f>"00604"</f>
        <v>00604</v>
      </c>
      <c r="B527" s="1" t="str">
        <f>"مهدي"</f>
        <v>مهدي</v>
      </c>
      <c r="C527" s="1" t="str">
        <f>"اسدي"</f>
        <v>اسدي</v>
      </c>
      <c r="D527" s="1" t="str">
        <f t="shared" si="55"/>
        <v>قراردادي بهره بردار</v>
      </c>
      <c r="E527" s="1" t="str">
        <f t="shared" si="56"/>
        <v>پروژه بهره برداري نيروگاه بوشهر</v>
      </c>
      <c r="F527" s="1">
        <v>22213360</v>
      </c>
      <c r="G527" s="1">
        <v>17460087</v>
      </c>
      <c r="H527" s="1">
        <v>0</v>
      </c>
      <c r="I527" s="1">
        <v>20667527</v>
      </c>
      <c r="J527" s="1">
        <v>0</v>
      </c>
      <c r="K527" s="1">
        <v>5500000</v>
      </c>
      <c r="L527" s="1">
        <v>0</v>
      </c>
      <c r="M527" s="1">
        <v>1000000</v>
      </c>
      <c r="N527" s="1">
        <v>3102970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1606000</v>
      </c>
      <c r="U527" s="1">
        <v>0</v>
      </c>
      <c r="V527" s="1">
        <v>5231170</v>
      </c>
      <c r="W527" s="1">
        <v>1900000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2216407</v>
      </c>
      <c r="AF527" s="1">
        <v>1516881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4111443</v>
      </c>
      <c r="AM527" s="1">
        <v>0</v>
      </c>
      <c r="AN527" s="1">
        <v>0</v>
      </c>
      <c r="AO527" s="1">
        <v>86525845</v>
      </c>
      <c r="AP527" s="1">
        <v>33870922</v>
      </c>
      <c r="AQ527" s="1">
        <v>52654923</v>
      </c>
      <c r="AR527" s="1">
        <v>16680593</v>
      </c>
      <c r="AS527" s="1">
        <v>2502089</v>
      </c>
      <c r="AT527" s="1">
        <f t="shared" si="54"/>
        <v>105708527</v>
      </c>
    </row>
    <row r="528" spans="1:46" x14ac:dyDescent="0.2">
      <c r="A528" s="1" t="str">
        <f>"00606"</f>
        <v>00606</v>
      </c>
      <c r="B528" s="1" t="str">
        <f>"محمدابراهيم"</f>
        <v>محمدابراهيم</v>
      </c>
      <c r="C528" s="1" t="str">
        <f>"اسمعيل پور"</f>
        <v>اسمعيل پور</v>
      </c>
      <c r="D528" s="1" t="str">
        <f t="shared" si="55"/>
        <v>قراردادي بهره بردار</v>
      </c>
      <c r="E528" s="1" t="str">
        <f>"پروژه تعميرات نيروگاه بوشهر"</f>
        <v>پروژه تعميرات نيروگاه بوشهر</v>
      </c>
      <c r="F528" s="1">
        <v>13319253</v>
      </c>
      <c r="G528" s="1">
        <v>9888671</v>
      </c>
      <c r="H528" s="1">
        <v>0</v>
      </c>
      <c r="I528" s="1">
        <v>10944899</v>
      </c>
      <c r="J528" s="1">
        <v>0</v>
      </c>
      <c r="K528" s="1">
        <v>4620000</v>
      </c>
      <c r="L528" s="1">
        <v>0</v>
      </c>
      <c r="M528" s="1">
        <v>1000000</v>
      </c>
      <c r="N528" s="1">
        <v>2380707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12490807</v>
      </c>
      <c r="W528" s="1">
        <v>1900000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1700505</v>
      </c>
      <c r="AF528" s="1">
        <v>1516881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5876025</v>
      </c>
      <c r="AM528" s="1">
        <v>0</v>
      </c>
      <c r="AN528" s="1">
        <v>0</v>
      </c>
      <c r="AO528" s="1">
        <v>65637748</v>
      </c>
      <c r="AP528" s="1">
        <v>23075342</v>
      </c>
      <c r="AQ528" s="1">
        <v>42562406</v>
      </c>
      <c r="AR528" s="1">
        <v>12824173</v>
      </c>
      <c r="AS528" s="1">
        <v>1923626</v>
      </c>
      <c r="AT528" s="1">
        <f t="shared" si="54"/>
        <v>80385547</v>
      </c>
    </row>
    <row r="529" spans="1:46" x14ac:dyDescent="0.2">
      <c r="A529" s="1" t="str">
        <f>"00607"</f>
        <v>00607</v>
      </c>
      <c r="B529" s="1" t="str">
        <f>"امين"</f>
        <v>امين</v>
      </c>
      <c r="C529" s="1" t="str">
        <f>"افخمي نسب"</f>
        <v>افخمي نسب</v>
      </c>
      <c r="D529" s="1" t="str">
        <f t="shared" si="55"/>
        <v>قراردادي بهره بردار</v>
      </c>
      <c r="E529" s="1" t="str">
        <f t="shared" ref="E529:E548" si="57">"پروژه بهره برداري نيروگاه بوشهر"</f>
        <v>پروژه بهره برداري نيروگاه بوشهر</v>
      </c>
      <c r="F529" s="1">
        <v>13862539</v>
      </c>
      <c r="G529" s="1">
        <v>4843509</v>
      </c>
      <c r="H529" s="1">
        <v>0</v>
      </c>
      <c r="I529" s="1">
        <v>11413776</v>
      </c>
      <c r="J529" s="1">
        <v>0</v>
      </c>
      <c r="K529" s="1">
        <v>4620000</v>
      </c>
      <c r="L529" s="1">
        <v>0</v>
      </c>
      <c r="M529" s="1">
        <v>1000000</v>
      </c>
      <c r="N529" s="1">
        <v>2570857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1606000</v>
      </c>
      <c r="U529" s="1">
        <v>0</v>
      </c>
      <c r="V529" s="1">
        <v>17199861</v>
      </c>
      <c r="W529" s="1">
        <v>1900000</v>
      </c>
      <c r="X529" s="1">
        <v>2012304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1836326</v>
      </c>
      <c r="AF529" s="1">
        <v>1516881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10316178</v>
      </c>
      <c r="AM529" s="1">
        <v>0</v>
      </c>
      <c r="AN529" s="1">
        <v>0</v>
      </c>
      <c r="AO529" s="1">
        <v>74698231</v>
      </c>
      <c r="AP529" s="1">
        <v>29233096</v>
      </c>
      <c r="AQ529" s="1">
        <v>45465135</v>
      </c>
      <c r="AR529" s="1">
        <v>14315070</v>
      </c>
      <c r="AS529" s="1">
        <v>2147261</v>
      </c>
      <c r="AT529" s="1">
        <f t="shared" si="54"/>
        <v>91160562</v>
      </c>
    </row>
    <row r="530" spans="1:46" x14ac:dyDescent="0.2">
      <c r="A530" s="1" t="str">
        <f>"00608"</f>
        <v>00608</v>
      </c>
      <c r="B530" s="1" t="str">
        <f>"مجتبي"</f>
        <v>مجتبي</v>
      </c>
      <c r="C530" s="1" t="str">
        <f>"بازدار"</f>
        <v>بازدار</v>
      </c>
      <c r="D530" s="1" t="str">
        <f t="shared" si="55"/>
        <v>قراردادي بهره بردار</v>
      </c>
      <c r="E530" s="1" t="str">
        <f t="shared" si="57"/>
        <v>پروژه بهره برداري نيروگاه بوشهر</v>
      </c>
      <c r="F530" s="1">
        <v>18445413</v>
      </c>
      <c r="G530" s="1">
        <v>6805076</v>
      </c>
      <c r="H530" s="1">
        <v>0</v>
      </c>
      <c r="I530" s="1">
        <v>15313181</v>
      </c>
      <c r="J530" s="1">
        <v>0</v>
      </c>
      <c r="K530" s="1">
        <v>5500000</v>
      </c>
      <c r="L530" s="1">
        <v>0</v>
      </c>
      <c r="M530" s="1">
        <v>1000000</v>
      </c>
      <c r="N530" s="1">
        <v>3097603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13871582</v>
      </c>
      <c r="W530" s="1">
        <v>1900000</v>
      </c>
      <c r="X530" s="1">
        <v>2677560</v>
      </c>
      <c r="Y530" s="1">
        <v>0</v>
      </c>
      <c r="Z530" s="1">
        <v>0</v>
      </c>
      <c r="AA530" s="1">
        <v>0</v>
      </c>
      <c r="AB530" s="1">
        <v>0</v>
      </c>
      <c r="AC530" s="1">
        <v>3877480</v>
      </c>
      <c r="AD530" s="1">
        <v>0</v>
      </c>
      <c r="AE530" s="1">
        <v>2212573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17364977</v>
      </c>
      <c r="AM530" s="1">
        <v>0</v>
      </c>
      <c r="AN530" s="1">
        <v>0</v>
      </c>
      <c r="AO530" s="1">
        <v>92065445</v>
      </c>
      <c r="AP530" s="1">
        <v>34418019</v>
      </c>
      <c r="AQ530" s="1">
        <v>57647426</v>
      </c>
      <c r="AR530" s="1">
        <v>18413089</v>
      </c>
      <c r="AS530" s="1">
        <v>2761963</v>
      </c>
      <c r="AT530" s="1">
        <f t="shared" si="54"/>
        <v>113240497</v>
      </c>
    </row>
    <row r="531" spans="1:46" x14ac:dyDescent="0.2">
      <c r="A531" s="1" t="str">
        <f>"00609"</f>
        <v>00609</v>
      </c>
      <c r="B531" s="1" t="str">
        <f>"ناصر"</f>
        <v>ناصر</v>
      </c>
      <c r="C531" s="1" t="str">
        <f>"بحراني"</f>
        <v>بحراني</v>
      </c>
      <c r="D531" s="1" t="str">
        <f t="shared" si="55"/>
        <v>قراردادي بهره بردار</v>
      </c>
      <c r="E531" s="1" t="str">
        <f t="shared" si="57"/>
        <v>پروژه بهره برداري نيروگاه بوشهر</v>
      </c>
      <c r="F531" s="1">
        <v>22395185</v>
      </c>
      <c r="G531" s="1">
        <v>9759683</v>
      </c>
      <c r="H531" s="1">
        <v>0</v>
      </c>
      <c r="I531" s="1">
        <v>17922841</v>
      </c>
      <c r="J531" s="1">
        <v>0</v>
      </c>
      <c r="K531" s="1">
        <v>5500000</v>
      </c>
      <c r="L531" s="1">
        <v>0</v>
      </c>
      <c r="M531" s="1">
        <v>1000000</v>
      </c>
      <c r="N531" s="1">
        <v>3720956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1606000</v>
      </c>
      <c r="U531" s="1">
        <v>0</v>
      </c>
      <c r="V531" s="1">
        <v>16663617</v>
      </c>
      <c r="W531" s="1">
        <v>1900000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2657826</v>
      </c>
      <c r="AF531" s="1">
        <v>1516881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5376992</v>
      </c>
      <c r="AM531" s="1">
        <v>0</v>
      </c>
      <c r="AN531" s="1">
        <v>0</v>
      </c>
      <c r="AO531" s="1">
        <v>90019981</v>
      </c>
      <c r="AP531" s="1">
        <v>16962079</v>
      </c>
      <c r="AQ531" s="1">
        <v>73057902</v>
      </c>
      <c r="AR531" s="1">
        <v>17379421</v>
      </c>
      <c r="AS531" s="1">
        <v>2606913</v>
      </c>
      <c r="AT531" s="1">
        <f t="shared" si="54"/>
        <v>110006315</v>
      </c>
    </row>
    <row r="532" spans="1:46" x14ac:dyDescent="0.2">
      <c r="A532" s="1" t="str">
        <f>"00613"</f>
        <v>00613</v>
      </c>
      <c r="B532" s="1" t="str">
        <f>"سعيد"</f>
        <v>سعيد</v>
      </c>
      <c r="C532" s="1" t="str">
        <f>"جوکار"</f>
        <v>جوکار</v>
      </c>
      <c r="D532" s="1" t="str">
        <f t="shared" si="55"/>
        <v>قراردادي بهره بردار</v>
      </c>
      <c r="E532" s="1" t="str">
        <f t="shared" si="57"/>
        <v>پروژه بهره برداري نيروگاه بوشهر</v>
      </c>
      <c r="F532" s="1">
        <v>14362011</v>
      </c>
      <c r="G532" s="1">
        <v>14596049</v>
      </c>
      <c r="H532" s="1">
        <v>0</v>
      </c>
      <c r="I532" s="1">
        <v>12340222</v>
      </c>
      <c r="J532" s="1">
        <v>0</v>
      </c>
      <c r="K532" s="1">
        <v>0</v>
      </c>
      <c r="L532" s="1">
        <v>0</v>
      </c>
      <c r="M532" s="1">
        <v>1000000</v>
      </c>
      <c r="N532" s="1">
        <v>2745672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14658608</v>
      </c>
      <c r="W532" s="1">
        <v>1900000</v>
      </c>
      <c r="X532" s="1">
        <v>2084808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1961194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11389758</v>
      </c>
      <c r="AM532" s="1">
        <v>0</v>
      </c>
      <c r="AN532" s="1">
        <v>0</v>
      </c>
      <c r="AO532" s="1">
        <v>77038322</v>
      </c>
      <c r="AP532" s="1">
        <v>16852833</v>
      </c>
      <c r="AQ532" s="1">
        <v>60185489</v>
      </c>
      <c r="AR532" s="1">
        <v>15407664</v>
      </c>
      <c r="AS532" s="1">
        <v>2311150</v>
      </c>
      <c r="AT532" s="1">
        <f t="shared" si="54"/>
        <v>94757136</v>
      </c>
    </row>
    <row r="533" spans="1:46" x14ac:dyDescent="0.2">
      <c r="A533" s="1" t="str">
        <f>"00614"</f>
        <v>00614</v>
      </c>
      <c r="B533" s="1" t="str">
        <f>"مجتبي"</f>
        <v>مجتبي</v>
      </c>
      <c r="C533" s="1" t="str">
        <f>"حسني"</f>
        <v>حسني</v>
      </c>
      <c r="D533" s="1" t="str">
        <f t="shared" si="55"/>
        <v>قراردادي بهره بردار</v>
      </c>
      <c r="E533" s="1" t="str">
        <f t="shared" si="57"/>
        <v>پروژه بهره برداري نيروگاه بوشهر</v>
      </c>
      <c r="F533" s="1">
        <v>14427731</v>
      </c>
      <c r="G533" s="1">
        <v>9004571</v>
      </c>
      <c r="H533" s="1">
        <v>0</v>
      </c>
      <c r="I533" s="1">
        <v>11375483</v>
      </c>
      <c r="J533" s="1">
        <v>0</v>
      </c>
      <c r="K533" s="1">
        <v>3465000</v>
      </c>
      <c r="L533" s="1">
        <v>0</v>
      </c>
      <c r="M533" s="1">
        <v>1000000</v>
      </c>
      <c r="N533" s="1">
        <v>2768674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11898148</v>
      </c>
      <c r="W533" s="1">
        <v>1900000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1977624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6632200</v>
      </c>
      <c r="AM533" s="1">
        <v>0</v>
      </c>
      <c r="AN533" s="1">
        <v>0</v>
      </c>
      <c r="AO533" s="1">
        <v>64449431</v>
      </c>
      <c r="AP533" s="1">
        <v>12761356</v>
      </c>
      <c r="AQ533" s="1">
        <v>51688075</v>
      </c>
      <c r="AR533" s="1">
        <v>12889886</v>
      </c>
      <c r="AS533" s="1">
        <v>1933483</v>
      </c>
      <c r="AT533" s="1">
        <f t="shared" si="54"/>
        <v>79272800</v>
      </c>
    </row>
    <row r="534" spans="1:46" x14ac:dyDescent="0.2">
      <c r="A534" s="1" t="str">
        <f>"00616"</f>
        <v>00616</v>
      </c>
      <c r="B534" s="1" t="str">
        <f>"حامد"</f>
        <v>حامد</v>
      </c>
      <c r="C534" s="1" t="str">
        <f>"حسين زاده"</f>
        <v>حسين زاده</v>
      </c>
      <c r="D534" s="1" t="str">
        <f t="shared" si="55"/>
        <v>قراردادي بهره بردار</v>
      </c>
      <c r="E534" s="1" t="str">
        <f t="shared" si="57"/>
        <v>پروژه بهره برداري نيروگاه بوشهر</v>
      </c>
      <c r="F534" s="1">
        <v>19569225</v>
      </c>
      <c r="G534" s="1">
        <v>11569800</v>
      </c>
      <c r="H534" s="1">
        <v>0</v>
      </c>
      <c r="I534" s="1">
        <v>16609495</v>
      </c>
      <c r="J534" s="1">
        <v>0</v>
      </c>
      <c r="K534" s="1">
        <v>5500000</v>
      </c>
      <c r="L534" s="1">
        <v>0</v>
      </c>
      <c r="M534" s="1">
        <v>1000000</v>
      </c>
      <c r="N534" s="1">
        <v>3490937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1606000</v>
      </c>
      <c r="U534" s="1">
        <v>0</v>
      </c>
      <c r="V534" s="1">
        <v>14923014</v>
      </c>
      <c r="W534" s="1">
        <v>1900000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2493526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5975569</v>
      </c>
      <c r="AM534" s="1">
        <v>0</v>
      </c>
      <c r="AN534" s="1">
        <v>0</v>
      </c>
      <c r="AO534" s="1">
        <v>84637566</v>
      </c>
      <c r="AP534" s="1">
        <v>33453985</v>
      </c>
      <c r="AQ534" s="1">
        <v>51183581</v>
      </c>
      <c r="AR534" s="1">
        <v>16606313</v>
      </c>
      <c r="AS534" s="1">
        <v>2490947</v>
      </c>
      <c r="AT534" s="1">
        <f t="shared" si="54"/>
        <v>103734826</v>
      </c>
    </row>
    <row r="535" spans="1:46" x14ac:dyDescent="0.2">
      <c r="A535" s="1" t="str">
        <f>"00617"</f>
        <v>00617</v>
      </c>
      <c r="B535" s="1" t="str">
        <f>"صادق"</f>
        <v>صادق</v>
      </c>
      <c r="C535" s="1" t="str">
        <f>"دارابي"</f>
        <v>دارابي</v>
      </c>
      <c r="D535" s="1" t="str">
        <f t="shared" si="55"/>
        <v>قراردادي بهره بردار</v>
      </c>
      <c r="E535" s="1" t="str">
        <f t="shared" si="57"/>
        <v>پروژه بهره برداري نيروگاه بوشهر</v>
      </c>
      <c r="F535" s="1">
        <v>14611747</v>
      </c>
      <c r="G535" s="1">
        <v>7282843</v>
      </c>
      <c r="H535" s="1">
        <v>0</v>
      </c>
      <c r="I535" s="1">
        <v>11737180</v>
      </c>
      <c r="J535" s="1">
        <v>0</v>
      </c>
      <c r="K535" s="1">
        <v>4620000</v>
      </c>
      <c r="L535" s="1">
        <v>0</v>
      </c>
      <c r="M535" s="1">
        <v>1000000</v>
      </c>
      <c r="N535" s="1">
        <v>2833080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1606000</v>
      </c>
      <c r="U535" s="1">
        <v>0</v>
      </c>
      <c r="V535" s="1">
        <v>13798911</v>
      </c>
      <c r="W535" s="1">
        <v>1900000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2023628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6599602</v>
      </c>
      <c r="AM535" s="1">
        <v>0</v>
      </c>
      <c r="AN535" s="1">
        <v>0</v>
      </c>
      <c r="AO535" s="1">
        <v>68012991</v>
      </c>
      <c r="AP535" s="1">
        <v>25725934</v>
      </c>
      <c r="AQ535" s="1">
        <v>42287057</v>
      </c>
      <c r="AR535" s="1">
        <v>13281398</v>
      </c>
      <c r="AS535" s="1">
        <v>1992210</v>
      </c>
      <c r="AT535" s="1">
        <f t="shared" si="54"/>
        <v>83286599</v>
      </c>
    </row>
    <row r="536" spans="1:46" x14ac:dyDescent="0.2">
      <c r="A536" s="1" t="str">
        <f>"00618"</f>
        <v>00618</v>
      </c>
      <c r="B536" s="1" t="str">
        <f>"صادق"</f>
        <v>صادق</v>
      </c>
      <c r="C536" s="1" t="str">
        <f>"داودي"</f>
        <v>داودي</v>
      </c>
      <c r="D536" s="1" t="str">
        <f t="shared" si="55"/>
        <v>قراردادي بهره بردار</v>
      </c>
      <c r="E536" s="1" t="str">
        <f t="shared" si="57"/>
        <v>پروژه بهره برداري نيروگاه بوشهر</v>
      </c>
      <c r="F536" s="1">
        <v>18517705</v>
      </c>
      <c r="G536" s="1">
        <v>8437287</v>
      </c>
      <c r="H536" s="1">
        <v>0</v>
      </c>
      <c r="I536" s="1">
        <v>15347472</v>
      </c>
      <c r="J536" s="1">
        <v>0</v>
      </c>
      <c r="K536" s="1">
        <v>5500000</v>
      </c>
      <c r="L536" s="1">
        <v>0</v>
      </c>
      <c r="M536" s="1">
        <v>1000000</v>
      </c>
      <c r="N536" s="1">
        <v>3122905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18863210</v>
      </c>
      <c r="W536" s="1">
        <v>1900000</v>
      </c>
      <c r="X536" s="1">
        <v>2688054</v>
      </c>
      <c r="Y536" s="1">
        <v>0</v>
      </c>
      <c r="Z536" s="1">
        <v>0</v>
      </c>
      <c r="AA536" s="1">
        <v>0</v>
      </c>
      <c r="AB536" s="1">
        <v>0</v>
      </c>
      <c r="AC536" s="1">
        <v>3877480</v>
      </c>
      <c r="AD536" s="1">
        <v>0</v>
      </c>
      <c r="AE536" s="1">
        <v>2230646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17752856</v>
      </c>
      <c r="AM536" s="1">
        <v>0</v>
      </c>
      <c r="AN536" s="1">
        <v>0</v>
      </c>
      <c r="AO536" s="1">
        <v>99237615</v>
      </c>
      <c r="AP536" s="1">
        <v>34029401</v>
      </c>
      <c r="AQ536" s="1">
        <v>65208214</v>
      </c>
      <c r="AR536" s="1">
        <v>19847523</v>
      </c>
      <c r="AS536" s="1">
        <v>2977128</v>
      </c>
      <c r="AT536" s="1">
        <f t="shared" si="54"/>
        <v>122062266</v>
      </c>
    </row>
    <row r="537" spans="1:46" x14ac:dyDescent="0.2">
      <c r="A537" s="1" t="str">
        <f>"00619"</f>
        <v>00619</v>
      </c>
      <c r="B537" s="1" t="str">
        <f>"وحيد"</f>
        <v>وحيد</v>
      </c>
      <c r="C537" s="1" t="str">
        <f>"دردي"</f>
        <v>دردي</v>
      </c>
      <c r="D537" s="1" t="str">
        <f t="shared" si="55"/>
        <v>قراردادي بهره بردار</v>
      </c>
      <c r="E537" s="1" t="str">
        <f t="shared" si="57"/>
        <v>پروژه بهره برداري نيروگاه بوشهر</v>
      </c>
      <c r="F537" s="1">
        <v>14335723</v>
      </c>
      <c r="G537" s="1">
        <v>6767886</v>
      </c>
      <c r="H537" s="1">
        <v>0</v>
      </c>
      <c r="I537" s="1">
        <v>11571736</v>
      </c>
      <c r="J537" s="1">
        <v>0</v>
      </c>
      <c r="K537" s="1">
        <v>3465000</v>
      </c>
      <c r="L537" s="1">
        <v>0</v>
      </c>
      <c r="M537" s="1">
        <v>1000000</v>
      </c>
      <c r="N537" s="1">
        <v>2736471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14393421</v>
      </c>
      <c r="W537" s="1">
        <v>1900000</v>
      </c>
      <c r="X537" s="1">
        <v>2080992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1954622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11426036</v>
      </c>
      <c r="AM537" s="1">
        <v>0</v>
      </c>
      <c r="AN537" s="1">
        <v>0</v>
      </c>
      <c r="AO537" s="1">
        <v>71631887</v>
      </c>
      <c r="AP537" s="1">
        <v>32969334</v>
      </c>
      <c r="AQ537" s="1">
        <v>38662553</v>
      </c>
      <c r="AR537" s="1">
        <v>14326377</v>
      </c>
      <c r="AS537" s="1">
        <v>2148957</v>
      </c>
      <c r="AT537" s="1">
        <f t="shared" si="54"/>
        <v>88107221</v>
      </c>
    </row>
    <row r="538" spans="1:46" x14ac:dyDescent="0.2">
      <c r="A538" s="1" t="str">
        <f>"00620"</f>
        <v>00620</v>
      </c>
      <c r="B538" s="1" t="str">
        <f>"سروش"</f>
        <v>سروش</v>
      </c>
      <c r="C538" s="1" t="str">
        <f>"دهقان"</f>
        <v>دهقان</v>
      </c>
      <c r="D538" s="1" t="str">
        <f t="shared" si="55"/>
        <v>قراردادي بهره بردار</v>
      </c>
      <c r="E538" s="1" t="str">
        <f t="shared" si="57"/>
        <v>پروژه بهره برداري نيروگاه بوشهر</v>
      </c>
      <c r="F538" s="1">
        <v>14250287</v>
      </c>
      <c r="G538" s="1">
        <v>7929053</v>
      </c>
      <c r="H538" s="1">
        <v>0</v>
      </c>
      <c r="I538" s="1">
        <v>11689626</v>
      </c>
      <c r="J538" s="1">
        <v>0</v>
      </c>
      <c r="K538" s="1">
        <v>4620000</v>
      </c>
      <c r="L538" s="1">
        <v>0</v>
      </c>
      <c r="M538" s="1">
        <v>1000000</v>
      </c>
      <c r="N538" s="1">
        <v>2706569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14255389</v>
      </c>
      <c r="W538" s="1">
        <v>1900000</v>
      </c>
      <c r="X538" s="1">
        <v>2068590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1933263</v>
      </c>
      <c r="AF538" s="1">
        <v>3033762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11347872</v>
      </c>
      <c r="AM538" s="1">
        <v>0</v>
      </c>
      <c r="AN538" s="1">
        <v>0</v>
      </c>
      <c r="AO538" s="1">
        <v>76734411</v>
      </c>
      <c r="AP538" s="1">
        <v>31527421</v>
      </c>
      <c r="AQ538" s="1">
        <v>45206990</v>
      </c>
      <c r="AR538" s="1">
        <v>14740130</v>
      </c>
      <c r="AS538" s="1">
        <v>2211019</v>
      </c>
      <c r="AT538" s="1">
        <f t="shared" si="54"/>
        <v>93685560</v>
      </c>
    </row>
    <row r="539" spans="1:46" x14ac:dyDescent="0.2">
      <c r="A539" s="1" t="str">
        <f>"00621"</f>
        <v>00621</v>
      </c>
      <c r="B539" s="1" t="str">
        <f>"سيده فاطمه"</f>
        <v>سيده فاطمه</v>
      </c>
      <c r="C539" s="1" t="str">
        <f>"رباني زاده"</f>
        <v>رباني زاده</v>
      </c>
      <c r="D539" s="1" t="str">
        <f t="shared" si="55"/>
        <v>قراردادي بهره بردار</v>
      </c>
      <c r="E539" s="1" t="str">
        <f t="shared" si="57"/>
        <v>پروژه بهره برداري نيروگاه بوشهر</v>
      </c>
      <c r="F539" s="1">
        <v>13560227</v>
      </c>
      <c r="G539" s="1">
        <v>969319</v>
      </c>
      <c r="H539" s="1">
        <v>0</v>
      </c>
      <c r="I539" s="1">
        <v>9116635</v>
      </c>
      <c r="J539" s="1">
        <v>0</v>
      </c>
      <c r="K539" s="1">
        <v>3465000</v>
      </c>
      <c r="L539" s="1">
        <v>0</v>
      </c>
      <c r="M539" s="1">
        <v>1000000</v>
      </c>
      <c r="N539" s="1">
        <v>2465048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3121965</v>
      </c>
      <c r="W539" s="1">
        <v>1900000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1760748</v>
      </c>
      <c r="AF539" s="1">
        <v>1516881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4316983</v>
      </c>
      <c r="AM539" s="1">
        <v>0</v>
      </c>
      <c r="AN539" s="1">
        <v>0</v>
      </c>
      <c r="AO539" s="1">
        <v>43192806</v>
      </c>
      <c r="AP539" s="1">
        <v>6729428</v>
      </c>
      <c r="AQ539" s="1">
        <v>36463378</v>
      </c>
      <c r="AR539" s="1">
        <v>8335185</v>
      </c>
      <c r="AS539" s="1">
        <v>1250278</v>
      </c>
      <c r="AT539" s="1">
        <f t="shared" si="54"/>
        <v>52778269</v>
      </c>
    </row>
    <row r="540" spans="1:46" x14ac:dyDescent="0.2">
      <c r="A540" s="1" t="str">
        <f>"00622"</f>
        <v>00622</v>
      </c>
      <c r="B540" s="1" t="str">
        <f>"حسين"</f>
        <v>حسين</v>
      </c>
      <c r="C540" s="1" t="str">
        <f>"رشيدي بد"</f>
        <v>رشيدي بد</v>
      </c>
      <c r="D540" s="1" t="str">
        <f t="shared" si="55"/>
        <v>قراردادي بهره بردار</v>
      </c>
      <c r="E540" s="1" t="str">
        <f t="shared" si="57"/>
        <v>پروژه بهره برداري نيروگاه بوشهر</v>
      </c>
      <c r="F540" s="1">
        <v>13926068</v>
      </c>
      <c r="G540" s="1">
        <v>4313503</v>
      </c>
      <c r="H540" s="1">
        <v>0</v>
      </c>
      <c r="I540" s="1">
        <v>10981663</v>
      </c>
      <c r="J540" s="1">
        <v>0</v>
      </c>
      <c r="K540" s="1">
        <v>3465000</v>
      </c>
      <c r="L540" s="1">
        <v>0</v>
      </c>
      <c r="M540" s="1">
        <v>1000000</v>
      </c>
      <c r="N540" s="1">
        <v>2593092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16778090</v>
      </c>
      <c r="W540" s="1">
        <v>1900000</v>
      </c>
      <c r="X540" s="1">
        <v>2021526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1852209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9440240</v>
      </c>
      <c r="AM540" s="1">
        <v>0</v>
      </c>
      <c r="AN540" s="1">
        <v>0</v>
      </c>
      <c r="AO540" s="1">
        <v>68271391</v>
      </c>
      <c r="AP540" s="1">
        <v>30564008</v>
      </c>
      <c r="AQ540" s="1">
        <v>37707383</v>
      </c>
      <c r="AR540" s="1">
        <v>13654278</v>
      </c>
      <c r="AS540" s="1">
        <v>2048142</v>
      </c>
      <c r="AT540" s="1">
        <f t="shared" si="54"/>
        <v>83973811</v>
      </c>
    </row>
    <row r="541" spans="1:46" x14ac:dyDescent="0.2">
      <c r="A541" s="1" t="str">
        <f>"00623"</f>
        <v>00623</v>
      </c>
      <c r="B541" s="1" t="str">
        <f>"فضل اله"</f>
        <v>فضل اله</v>
      </c>
      <c r="C541" s="1" t="str">
        <f>"رضواني نيا"</f>
        <v>رضواني نيا</v>
      </c>
      <c r="D541" s="1" t="str">
        <f t="shared" si="55"/>
        <v>قراردادي بهره بردار</v>
      </c>
      <c r="E541" s="1" t="str">
        <f t="shared" si="57"/>
        <v>پروژه بهره برداري نيروگاه بوشهر</v>
      </c>
      <c r="F541" s="1">
        <v>17534097</v>
      </c>
      <c r="G541" s="1">
        <v>10881399</v>
      </c>
      <c r="H541" s="1">
        <v>0</v>
      </c>
      <c r="I541" s="1">
        <v>13933779</v>
      </c>
      <c r="J541" s="1">
        <v>0</v>
      </c>
      <c r="K541" s="1">
        <v>0</v>
      </c>
      <c r="L541" s="1">
        <v>0</v>
      </c>
      <c r="M541" s="1">
        <v>1000000</v>
      </c>
      <c r="N541" s="1">
        <v>2889817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1606000</v>
      </c>
      <c r="U541" s="1">
        <v>0</v>
      </c>
      <c r="V541" s="1">
        <v>16787060</v>
      </c>
      <c r="W541" s="1">
        <v>1900000</v>
      </c>
      <c r="X541" s="1">
        <v>2545272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2064157</v>
      </c>
      <c r="AF541" s="1">
        <v>1516881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12591468</v>
      </c>
      <c r="AM541" s="1">
        <v>0</v>
      </c>
      <c r="AN541" s="1">
        <v>0</v>
      </c>
      <c r="AO541" s="1">
        <v>85249930</v>
      </c>
      <c r="AP541" s="1">
        <v>14052324</v>
      </c>
      <c r="AQ541" s="1">
        <v>71197606</v>
      </c>
      <c r="AR541" s="1">
        <v>16425409</v>
      </c>
      <c r="AS541" s="1">
        <v>2463810</v>
      </c>
      <c r="AT541" s="1">
        <f t="shared" si="54"/>
        <v>104139149</v>
      </c>
    </row>
    <row r="542" spans="1:46" x14ac:dyDescent="0.2">
      <c r="A542" s="1" t="str">
        <f>"00624"</f>
        <v>00624</v>
      </c>
      <c r="B542" s="1" t="str">
        <f>"مينا"</f>
        <v>مينا</v>
      </c>
      <c r="C542" s="1" t="str">
        <f>"زائري"</f>
        <v>زائري</v>
      </c>
      <c r="D542" s="1" t="str">
        <f t="shared" si="55"/>
        <v>قراردادي بهره بردار</v>
      </c>
      <c r="E542" s="1" t="str">
        <f t="shared" si="57"/>
        <v>پروژه بهره برداري نيروگاه بوشهر</v>
      </c>
      <c r="F542" s="1">
        <v>1993779</v>
      </c>
      <c r="G542" s="1">
        <v>80970</v>
      </c>
      <c r="H542" s="1">
        <v>0</v>
      </c>
      <c r="I542" s="1">
        <v>1716444</v>
      </c>
      <c r="J542" s="1">
        <v>0</v>
      </c>
      <c r="K542" s="1">
        <v>0</v>
      </c>
      <c r="L542" s="1">
        <v>0</v>
      </c>
      <c r="M542" s="1">
        <v>754839</v>
      </c>
      <c r="N542" s="1">
        <v>497510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1240357</v>
      </c>
      <c r="W542" s="1">
        <v>1006452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355364</v>
      </c>
      <c r="AF542" s="1">
        <v>7691082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1414526</v>
      </c>
      <c r="AM542" s="1">
        <v>0</v>
      </c>
      <c r="AN542" s="1">
        <v>0</v>
      </c>
      <c r="AO542" s="1">
        <v>16751323</v>
      </c>
      <c r="AP542" s="1">
        <v>16751323</v>
      </c>
      <c r="AQ542" s="1">
        <v>0</v>
      </c>
      <c r="AR542" s="1">
        <v>1812048</v>
      </c>
      <c r="AS542" s="1">
        <v>271807</v>
      </c>
      <c r="AT542" s="1">
        <f t="shared" si="54"/>
        <v>18835178</v>
      </c>
    </row>
    <row r="543" spans="1:46" x14ac:dyDescent="0.2">
      <c r="A543" s="1" t="str">
        <f>"00625"</f>
        <v>00625</v>
      </c>
      <c r="B543" s="1" t="str">
        <f>"رضا"</f>
        <v>رضا</v>
      </c>
      <c r="C543" s="1" t="str">
        <f>"زنده بودي"</f>
        <v>زنده بودي</v>
      </c>
      <c r="D543" s="1" t="str">
        <f t="shared" si="55"/>
        <v>قراردادي بهره بردار</v>
      </c>
      <c r="E543" s="1" t="str">
        <f t="shared" si="57"/>
        <v>پروژه بهره برداري نيروگاه بوشهر</v>
      </c>
      <c r="F543" s="1">
        <v>19308536</v>
      </c>
      <c r="G543" s="1">
        <v>13565873</v>
      </c>
      <c r="H543" s="1">
        <v>0</v>
      </c>
      <c r="I543" s="1">
        <v>15196399</v>
      </c>
      <c r="J543" s="1">
        <v>0</v>
      </c>
      <c r="K543" s="1">
        <v>5500000</v>
      </c>
      <c r="L543" s="1">
        <v>0</v>
      </c>
      <c r="M543" s="1">
        <v>1000000</v>
      </c>
      <c r="N543" s="1">
        <v>3399696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11218043</v>
      </c>
      <c r="W543" s="1">
        <v>1900000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2428354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4992442</v>
      </c>
      <c r="AM543" s="1">
        <v>0</v>
      </c>
      <c r="AN543" s="1">
        <v>0</v>
      </c>
      <c r="AO543" s="1">
        <v>78509343</v>
      </c>
      <c r="AP543" s="1">
        <v>28854871</v>
      </c>
      <c r="AQ543" s="1">
        <v>49654472</v>
      </c>
      <c r="AR543" s="1">
        <v>15701869</v>
      </c>
      <c r="AS543" s="1">
        <v>2355280</v>
      </c>
      <c r="AT543" s="1">
        <f t="shared" si="54"/>
        <v>96566492</v>
      </c>
    </row>
    <row r="544" spans="1:46" x14ac:dyDescent="0.2">
      <c r="A544" s="1" t="str">
        <f>"00626"</f>
        <v>00626</v>
      </c>
      <c r="B544" s="1" t="str">
        <f>"عباد الله"</f>
        <v>عباد الله</v>
      </c>
      <c r="C544" s="1" t="str">
        <f>"سلطاني"</f>
        <v>سلطاني</v>
      </c>
      <c r="D544" s="1" t="str">
        <f t="shared" si="55"/>
        <v>قراردادي بهره بردار</v>
      </c>
      <c r="E544" s="1" t="str">
        <f t="shared" si="57"/>
        <v>پروژه بهره برداري نيروگاه بوشهر</v>
      </c>
      <c r="F544" s="1">
        <v>14372964</v>
      </c>
      <c r="G544" s="1">
        <v>6784266</v>
      </c>
      <c r="H544" s="1">
        <v>0</v>
      </c>
      <c r="I544" s="1">
        <v>11481301</v>
      </c>
      <c r="J544" s="1">
        <v>0</v>
      </c>
      <c r="K544" s="1">
        <v>0</v>
      </c>
      <c r="L544" s="1">
        <v>0</v>
      </c>
      <c r="M544" s="1">
        <v>1000000</v>
      </c>
      <c r="N544" s="1">
        <v>2749506</v>
      </c>
      <c r="O544" s="1">
        <v>0</v>
      </c>
      <c r="P544" s="1">
        <v>0</v>
      </c>
      <c r="Q544" s="1">
        <v>0</v>
      </c>
      <c r="R544" s="1">
        <v>161225</v>
      </c>
      <c r="S544" s="1">
        <v>0</v>
      </c>
      <c r="T544" s="1">
        <v>0</v>
      </c>
      <c r="U544" s="1">
        <v>0</v>
      </c>
      <c r="V544" s="1">
        <v>13530788</v>
      </c>
      <c r="W544" s="1">
        <v>1900000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1963933</v>
      </c>
      <c r="AF544" s="1">
        <v>1516881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6502951</v>
      </c>
      <c r="AM544" s="1">
        <v>0</v>
      </c>
      <c r="AN544" s="1">
        <v>0</v>
      </c>
      <c r="AO544" s="1">
        <v>61963815</v>
      </c>
      <c r="AP544" s="1">
        <v>15227111</v>
      </c>
      <c r="AQ544" s="1">
        <v>46736704</v>
      </c>
      <c r="AR544" s="1">
        <v>12057142</v>
      </c>
      <c r="AS544" s="1">
        <v>1808571</v>
      </c>
      <c r="AT544" s="1">
        <f t="shared" si="54"/>
        <v>75829528</v>
      </c>
    </row>
    <row r="545" spans="1:46" x14ac:dyDescent="0.2">
      <c r="A545" s="1" t="str">
        <f>"00627"</f>
        <v>00627</v>
      </c>
      <c r="B545" s="1" t="str">
        <f>"مريم"</f>
        <v>مريم</v>
      </c>
      <c r="C545" s="1" t="str">
        <f>"صفاريان"</f>
        <v>صفاريان</v>
      </c>
      <c r="D545" s="1" t="str">
        <f t="shared" si="55"/>
        <v>قراردادي بهره بردار</v>
      </c>
      <c r="E545" s="1" t="str">
        <f t="shared" si="57"/>
        <v>پروژه بهره برداري نيروگاه بوشهر</v>
      </c>
      <c r="F545" s="1">
        <v>23133440</v>
      </c>
      <c r="G545" s="1">
        <v>0</v>
      </c>
      <c r="H545" s="1">
        <v>0</v>
      </c>
      <c r="I545" s="1">
        <v>16459574</v>
      </c>
      <c r="J545" s="1">
        <v>0</v>
      </c>
      <c r="K545" s="1">
        <v>4125000</v>
      </c>
      <c r="L545" s="1">
        <v>0</v>
      </c>
      <c r="M545" s="1">
        <v>1000000</v>
      </c>
      <c r="N545" s="1">
        <v>3424998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8710283</v>
      </c>
      <c r="W545" s="1">
        <v>1900000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2446427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4308603</v>
      </c>
      <c r="AM545" s="1">
        <v>0</v>
      </c>
      <c r="AN545" s="1">
        <v>0</v>
      </c>
      <c r="AO545" s="1">
        <v>65508325</v>
      </c>
      <c r="AP545" s="1">
        <v>25513463</v>
      </c>
      <c r="AQ545" s="1">
        <v>39994862</v>
      </c>
      <c r="AR545" s="1">
        <v>13101665</v>
      </c>
      <c r="AS545" s="1">
        <v>1965250</v>
      </c>
      <c r="AT545" s="1">
        <f t="shared" si="54"/>
        <v>80575240</v>
      </c>
    </row>
    <row r="546" spans="1:46" x14ac:dyDescent="0.2">
      <c r="A546" s="1" t="str">
        <f>"00628"</f>
        <v>00628</v>
      </c>
      <c r="B546" s="1" t="str">
        <f>"رضا"</f>
        <v>رضا</v>
      </c>
      <c r="C546" s="1" t="str">
        <f>"صفري"</f>
        <v>صفري</v>
      </c>
      <c r="D546" s="1" t="str">
        <f t="shared" si="55"/>
        <v>قراردادي بهره بردار</v>
      </c>
      <c r="E546" s="1" t="str">
        <f t="shared" si="57"/>
        <v>پروژه بهره برداري نيروگاه بوشهر</v>
      </c>
      <c r="F546" s="1">
        <v>16381805</v>
      </c>
      <c r="G546" s="1">
        <v>5054525</v>
      </c>
      <c r="H546" s="1">
        <v>0</v>
      </c>
      <c r="I546" s="1">
        <v>12167069</v>
      </c>
      <c r="J546" s="1">
        <v>0</v>
      </c>
      <c r="K546" s="1">
        <v>4620000</v>
      </c>
      <c r="L546" s="1">
        <v>0</v>
      </c>
      <c r="M546" s="1">
        <v>1000000</v>
      </c>
      <c r="N546" s="1">
        <v>3211079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8929464</v>
      </c>
      <c r="W546" s="1">
        <v>1900000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2293628</v>
      </c>
      <c r="AF546" s="1">
        <v>3033762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4770177</v>
      </c>
      <c r="AM546" s="1">
        <v>0</v>
      </c>
      <c r="AN546" s="1">
        <v>0</v>
      </c>
      <c r="AO546" s="1">
        <v>63361509</v>
      </c>
      <c r="AP546" s="1">
        <v>27463173</v>
      </c>
      <c r="AQ546" s="1">
        <v>35898336</v>
      </c>
      <c r="AR546" s="1">
        <v>12065549</v>
      </c>
      <c r="AS546" s="1">
        <v>1809832</v>
      </c>
      <c r="AT546" s="1">
        <f t="shared" si="54"/>
        <v>77236890</v>
      </c>
    </row>
    <row r="547" spans="1:46" x14ac:dyDescent="0.2">
      <c r="A547" s="1" t="str">
        <f>"00629"</f>
        <v>00629</v>
      </c>
      <c r="B547" s="1" t="str">
        <f>"علي اکبر"</f>
        <v>علي اکبر</v>
      </c>
      <c r="C547" s="1" t="str">
        <f>"غلامي چنگلوايي"</f>
        <v>غلامي چنگلوايي</v>
      </c>
      <c r="D547" s="1" t="str">
        <f t="shared" si="55"/>
        <v>قراردادي بهره بردار</v>
      </c>
      <c r="E547" s="1" t="str">
        <f t="shared" si="57"/>
        <v>پروژه بهره برداري نيروگاه بوشهر</v>
      </c>
      <c r="F547" s="1">
        <v>18552756</v>
      </c>
      <c r="G547" s="1">
        <v>10781689</v>
      </c>
      <c r="H547" s="1">
        <v>0</v>
      </c>
      <c r="I547" s="1">
        <v>13728695</v>
      </c>
      <c r="J547" s="1">
        <v>0</v>
      </c>
      <c r="K547" s="1">
        <v>4125000</v>
      </c>
      <c r="L547" s="1">
        <v>0</v>
      </c>
      <c r="M547" s="1">
        <v>1000000</v>
      </c>
      <c r="N547" s="1">
        <v>3135173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13718692</v>
      </c>
      <c r="W547" s="1">
        <v>1900000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2239409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5214882</v>
      </c>
      <c r="AM547" s="1">
        <v>0</v>
      </c>
      <c r="AN547" s="1">
        <v>0</v>
      </c>
      <c r="AO547" s="1">
        <v>74396296</v>
      </c>
      <c r="AP547" s="1">
        <v>35642522</v>
      </c>
      <c r="AQ547" s="1">
        <v>38753774</v>
      </c>
      <c r="AR547" s="1">
        <v>14879259</v>
      </c>
      <c r="AS547" s="1">
        <v>2231889</v>
      </c>
      <c r="AT547" s="1">
        <f t="shared" si="54"/>
        <v>91507444</v>
      </c>
    </row>
    <row r="548" spans="1:46" x14ac:dyDescent="0.2">
      <c r="A548" s="1" t="str">
        <f>"00630"</f>
        <v>00630</v>
      </c>
      <c r="B548" s="1" t="str">
        <f>"عباس"</f>
        <v>عباس</v>
      </c>
      <c r="C548" s="1" t="str">
        <f>"قادري"</f>
        <v>قادري</v>
      </c>
      <c r="D548" s="1" t="str">
        <f t="shared" si="55"/>
        <v>قراردادي بهره بردار</v>
      </c>
      <c r="E548" s="1" t="str">
        <f t="shared" si="57"/>
        <v>پروژه بهره برداري نيروگاه بوشهر</v>
      </c>
      <c r="F548" s="1">
        <v>23683297</v>
      </c>
      <c r="G548" s="1">
        <v>7325898</v>
      </c>
      <c r="H548" s="1">
        <v>0</v>
      </c>
      <c r="I548" s="1">
        <v>18186659</v>
      </c>
      <c r="J548" s="1">
        <v>0</v>
      </c>
      <c r="K548" s="1">
        <v>5500000</v>
      </c>
      <c r="L548" s="1">
        <v>0</v>
      </c>
      <c r="M548" s="1">
        <v>1000000</v>
      </c>
      <c r="N548" s="1">
        <v>3617448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15766508</v>
      </c>
      <c r="W548" s="1">
        <v>1900000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2583891</v>
      </c>
      <c r="AF548" s="1">
        <v>1516881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5374494</v>
      </c>
      <c r="AM548" s="1">
        <v>0</v>
      </c>
      <c r="AN548" s="1">
        <v>0</v>
      </c>
      <c r="AO548" s="1">
        <v>86455076</v>
      </c>
      <c r="AP548" s="1">
        <v>25257234</v>
      </c>
      <c r="AQ548" s="1">
        <v>61197842</v>
      </c>
      <c r="AR548" s="1">
        <v>16987639</v>
      </c>
      <c r="AS548" s="1">
        <v>2548146</v>
      </c>
      <c r="AT548" s="1">
        <f t="shared" si="54"/>
        <v>105990861</v>
      </c>
    </row>
    <row r="549" spans="1:46" x14ac:dyDescent="0.2">
      <c r="A549" s="1" t="str">
        <f>"00631"</f>
        <v>00631</v>
      </c>
      <c r="B549" s="1" t="str">
        <f>"احمد"</f>
        <v>احمد</v>
      </c>
      <c r="C549" s="1" t="str">
        <f>"كشت ريز"</f>
        <v>كشت ريز</v>
      </c>
      <c r="D549" s="1" t="str">
        <f t="shared" si="55"/>
        <v>قراردادي بهره بردار</v>
      </c>
      <c r="E549" s="1" t="str">
        <f>"پروژه تعميرات نيروگاه بوشهر"</f>
        <v>پروژه تعميرات نيروگاه بوشهر</v>
      </c>
      <c r="F549" s="1">
        <v>16896612</v>
      </c>
      <c r="G549" s="1">
        <v>9491075</v>
      </c>
      <c r="H549" s="1">
        <v>0</v>
      </c>
      <c r="I549" s="1">
        <v>16810854</v>
      </c>
      <c r="J549" s="1">
        <v>0</v>
      </c>
      <c r="K549" s="1">
        <v>4620000</v>
      </c>
      <c r="L549" s="1">
        <v>0</v>
      </c>
      <c r="M549" s="1">
        <v>1000000</v>
      </c>
      <c r="N549" s="1">
        <v>3391262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11695834</v>
      </c>
      <c r="W549" s="1">
        <v>1900000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2422330</v>
      </c>
      <c r="AF549" s="1">
        <v>3033762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7262279</v>
      </c>
      <c r="AM549" s="1">
        <v>0</v>
      </c>
      <c r="AN549" s="1">
        <v>0</v>
      </c>
      <c r="AO549" s="1">
        <v>78524008</v>
      </c>
      <c r="AP549" s="1">
        <v>12943935</v>
      </c>
      <c r="AQ549" s="1">
        <v>65580073</v>
      </c>
      <c r="AR549" s="1">
        <v>15098049</v>
      </c>
      <c r="AS549" s="1">
        <v>2264707</v>
      </c>
      <c r="AT549" s="1">
        <f t="shared" si="54"/>
        <v>95886764</v>
      </c>
    </row>
    <row r="550" spans="1:46" x14ac:dyDescent="0.2">
      <c r="A550" s="1" t="str">
        <f>"00632"</f>
        <v>00632</v>
      </c>
      <c r="B550" s="1" t="str">
        <f>"احمدرضا"</f>
        <v>احمدرضا</v>
      </c>
      <c r="C550" s="1" t="str">
        <f>"گل بهار حقيقي"</f>
        <v>گل بهار حقيقي</v>
      </c>
      <c r="D550" s="1" t="str">
        <f t="shared" si="55"/>
        <v>قراردادي بهره بردار</v>
      </c>
      <c r="E550" s="1" t="str">
        <f>"پروژه تعميرات نيروگاه بوشهر"</f>
        <v>پروژه تعميرات نيروگاه بوشهر</v>
      </c>
      <c r="F550" s="1">
        <v>21017256</v>
      </c>
      <c r="G550" s="1">
        <v>10326407</v>
      </c>
      <c r="H550" s="1">
        <v>0</v>
      </c>
      <c r="I550" s="1">
        <v>18953935</v>
      </c>
      <c r="J550" s="1">
        <v>0</v>
      </c>
      <c r="K550" s="1">
        <v>5500000</v>
      </c>
      <c r="L550" s="1">
        <v>0</v>
      </c>
      <c r="M550" s="1">
        <v>1000000</v>
      </c>
      <c r="N550" s="1">
        <v>3618215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1606000</v>
      </c>
      <c r="U550" s="1">
        <v>0</v>
      </c>
      <c r="V550" s="1">
        <v>14141654</v>
      </c>
      <c r="W550" s="1">
        <v>1900000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2584439</v>
      </c>
      <c r="AF550" s="1">
        <v>1516881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6202654</v>
      </c>
      <c r="AM550" s="1">
        <v>0</v>
      </c>
      <c r="AN550" s="1">
        <v>0</v>
      </c>
      <c r="AO550" s="1">
        <v>88367441</v>
      </c>
      <c r="AP550" s="1">
        <v>18774370</v>
      </c>
      <c r="AQ550" s="1">
        <v>69593071</v>
      </c>
      <c r="AR550" s="1">
        <v>17048912</v>
      </c>
      <c r="AS550" s="1">
        <v>2557337</v>
      </c>
      <c r="AT550" s="1">
        <f t="shared" si="54"/>
        <v>107973690</v>
      </c>
    </row>
    <row r="551" spans="1:46" x14ac:dyDescent="0.2">
      <c r="A551" s="1" t="str">
        <f>"00634"</f>
        <v>00634</v>
      </c>
      <c r="B551" s="1" t="str">
        <f>"امير"</f>
        <v>امير</v>
      </c>
      <c r="C551" s="1" t="str">
        <f>"ماهوتي"</f>
        <v>ماهوتي</v>
      </c>
      <c r="D551" s="1" t="str">
        <f t="shared" si="55"/>
        <v>قراردادي بهره بردار</v>
      </c>
      <c r="E551" s="1" t="str">
        <f>"پروژه بهره برداري نيروگاه بوشهر"</f>
        <v>پروژه بهره برداري نيروگاه بوشهر</v>
      </c>
      <c r="F551" s="1">
        <v>14096940</v>
      </c>
      <c r="G551" s="1">
        <v>8012521</v>
      </c>
      <c r="H551" s="1">
        <v>0</v>
      </c>
      <c r="I551" s="1">
        <v>10886248</v>
      </c>
      <c r="J551" s="1">
        <v>0</v>
      </c>
      <c r="K551" s="1">
        <v>4620000</v>
      </c>
      <c r="L551" s="1">
        <v>0</v>
      </c>
      <c r="M551" s="1">
        <v>1000000</v>
      </c>
      <c r="N551" s="1">
        <v>2652897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9639579</v>
      </c>
      <c r="W551" s="1">
        <v>1900000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1894927</v>
      </c>
      <c r="AF551" s="1">
        <v>1516881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-1386254</v>
      </c>
      <c r="AM551" s="1">
        <v>0</v>
      </c>
      <c r="AN551" s="1">
        <v>0</v>
      </c>
      <c r="AO551" s="1">
        <v>54833739</v>
      </c>
      <c r="AP551" s="1">
        <v>29450923</v>
      </c>
      <c r="AQ551" s="1">
        <v>25382816</v>
      </c>
      <c r="AR551" s="1">
        <v>10663371</v>
      </c>
      <c r="AS551" s="1">
        <v>1599506</v>
      </c>
      <c r="AT551" s="1">
        <f t="shared" si="54"/>
        <v>67096616</v>
      </c>
    </row>
    <row r="552" spans="1:46" x14ac:dyDescent="0.2">
      <c r="A552" s="1" t="str">
        <f>"00635"</f>
        <v>00635</v>
      </c>
      <c r="B552" s="1" t="str">
        <f>"احسان"</f>
        <v>احسان</v>
      </c>
      <c r="C552" s="1" t="str">
        <f>"محبي"</f>
        <v>محبي</v>
      </c>
      <c r="D552" s="1" t="str">
        <f t="shared" si="55"/>
        <v>قراردادي بهره بردار</v>
      </c>
      <c r="E552" s="1" t="str">
        <f>"پروژه بهره برداري نيروگاه بوشهر"</f>
        <v>پروژه بهره برداري نيروگاه بوشهر</v>
      </c>
      <c r="F552" s="1">
        <v>18178152</v>
      </c>
      <c r="G552" s="1">
        <v>7458744</v>
      </c>
      <c r="H552" s="1">
        <v>0</v>
      </c>
      <c r="I552" s="1">
        <v>13275420</v>
      </c>
      <c r="J552" s="1">
        <v>0</v>
      </c>
      <c r="K552" s="1">
        <v>5500000</v>
      </c>
      <c r="L552" s="1">
        <v>0</v>
      </c>
      <c r="M552" s="1">
        <v>1000000</v>
      </c>
      <c r="N552" s="1">
        <v>3004061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13486579</v>
      </c>
      <c r="W552" s="1">
        <v>1900000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2145758</v>
      </c>
      <c r="AF552" s="1">
        <v>1516881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5542168</v>
      </c>
      <c r="AM552" s="1">
        <v>0</v>
      </c>
      <c r="AN552" s="1">
        <v>0</v>
      </c>
      <c r="AO552" s="1">
        <v>73007763</v>
      </c>
      <c r="AP552" s="1">
        <v>10324137</v>
      </c>
      <c r="AQ552" s="1">
        <v>62683626</v>
      </c>
      <c r="AR552" s="1">
        <v>14298176</v>
      </c>
      <c r="AS552" s="1">
        <v>2144726</v>
      </c>
      <c r="AT552" s="1">
        <f t="shared" si="54"/>
        <v>89450665</v>
      </c>
    </row>
    <row r="553" spans="1:46" x14ac:dyDescent="0.2">
      <c r="A553" s="1" t="str">
        <f>"00636"</f>
        <v>00636</v>
      </c>
      <c r="B553" s="1" t="str">
        <f>"حميد"</f>
        <v>حميد</v>
      </c>
      <c r="C553" s="1" t="str">
        <f>"محمدي"</f>
        <v>محمدي</v>
      </c>
      <c r="D553" s="1" t="str">
        <f t="shared" si="55"/>
        <v>قراردادي بهره بردار</v>
      </c>
      <c r="E553" s="1" t="str">
        <f>"پروژه بهره برداري نيروگاه بوشهر"</f>
        <v>پروژه بهره برداري نيروگاه بوشهر</v>
      </c>
      <c r="F553" s="1">
        <v>17915272</v>
      </c>
      <c r="G553" s="1">
        <v>13991384</v>
      </c>
      <c r="H553" s="1">
        <v>0</v>
      </c>
      <c r="I553" s="1">
        <v>14429483</v>
      </c>
      <c r="J553" s="1">
        <v>0</v>
      </c>
      <c r="K553" s="1">
        <v>5500000</v>
      </c>
      <c r="L553" s="1">
        <v>0</v>
      </c>
      <c r="M553" s="1">
        <v>1000000</v>
      </c>
      <c r="N553" s="1">
        <v>2912053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1606000</v>
      </c>
      <c r="U553" s="1">
        <v>0</v>
      </c>
      <c r="V553" s="1">
        <v>10435679</v>
      </c>
      <c r="W553" s="1">
        <v>1900000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2080038</v>
      </c>
      <c r="AF553" s="1">
        <v>4297829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4405869</v>
      </c>
      <c r="AM553" s="1">
        <v>0</v>
      </c>
      <c r="AN553" s="1">
        <v>0</v>
      </c>
      <c r="AO553" s="1">
        <v>80473607</v>
      </c>
      <c r="AP553" s="1">
        <v>16888637</v>
      </c>
      <c r="AQ553" s="1">
        <v>63584970</v>
      </c>
      <c r="AR553" s="1">
        <v>14913956</v>
      </c>
      <c r="AS553" s="1">
        <v>2237093</v>
      </c>
      <c r="AT553" s="1">
        <f t="shared" si="54"/>
        <v>97624656</v>
      </c>
    </row>
    <row r="554" spans="1:46" x14ac:dyDescent="0.2">
      <c r="A554" s="1" t="str">
        <f>"00637"</f>
        <v>00637</v>
      </c>
      <c r="B554" s="1" t="str">
        <f>"مصطفي"</f>
        <v>مصطفي</v>
      </c>
      <c r="C554" s="1" t="str">
        <f>"مرادپور"</f>
        <v>مرادپور</v>
      </c>
      <c r="D554" s="1" t="str">
        <f t="shared" si="55"/>
        <v>قراردادي بهره بردار</v>
      </c>
      <c r="E554" s="1" t="str">
        <f>"پروژه تعميرات نيروگاه بوشهر"</f>
        <v>پروژه تعميرات نيروگاه بوشهر</v>
      </c>
      <c r="F554" s="1">
        <v>18931741</v>
      </c>
      <c r="G554" s="1">
        <v>9194645</v>
      </c>
      <c r="H554" s="1">
        <v>0</v>
      </c>
      <c r="I554" s="1">
        <v>15233028</v>
      </c>
      <c r="J554" s="1">
        <v>0</v>
      </c>
      <c r="K554" s="1">
        <v>5500000</v>
      </c>
      <c r="L554" s="1">
        <v>0</v>
      </c>
      <c r="M554" s="1">
        <v>1000000</v>
      </c>
      <c r="N554" s="1">
        <v>3267817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11690245</v>
      </c>
      <c r="W554" s="1">
        <v>1900000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2334155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5195735</v>
      </c>
      <c r="AM554" s="1">
        <v>0</v>
      </c>
      <c r="AN554" s="1">
        <v>0</v>
      </c>
      <c r="AO554" s="1">
        <v>74247366</v>
      </c>
      <c r="AP554" s="1">
        <v>18864256</v>
      </c>
      <c r="AQ554" s="1">
        <v>55383110</v>
      </c>
      <c r="AR554" s="1">
        <v>14849473</v>
      </c>
      <c r="AS554" s="1">
        <v>2227421</v>
      </c>
      <c r="AT554" s="1">
        <f t="shared" si="54"/>
        <v>91324260</v>
      </c>
    </row>
    <row r="555" spans="1:46" x14ac:dyDescent="0.2">
      <c r="A555" s="1" t="str">
        <f>"00638"</f>
        <v>00638</v>
      </c>
      <c r="B555" s="1" t="str">
        <f>"عبدالرسول"</f>
        <v>عبدالرسول</v>
      </c>
      <c r="C555" s="1" t="str">
        <f>"مهدي پور"</f>
        <v>مهدي پور</v>
      </c>
      <c r="D555" s="1" t="str">
        <f t="shared" si="55"/>
        <v>قراردادي بهره بردار</v>
      </c>
      <c r="E555" s="1" t="str">
        <f>"پروژه تعميرات نيروگاه بوشهر"</f>
        <v>پروژه تعميرات نيروگاه بوشهر</v>
      </c>
      <c r="F555" s="1">
        <v>30130433</v>
      </c>
      <c r="G555" s="1">
        <v>5146613</v>
      </c>
      <c r="H555" s="1">
        <v>0</v>
      </c>
      <c r="I555" s="1">
        <v>17434440</v>
      </c>
      <c r="J555" s="1">
        <v>0</v>
      </c>
      <c r="K555" s="1">
        <v>5500000</v>
      </c>
      <c r="L555" s="1">
        <v>0</v>
      </c>
      <c r="M555" s="1">
        <v>1000000</v>
      </c>
      <c r="N555" s="1">
        <v>7359875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6816612</v>
      </c>
      <c r="W555" s="1">
        <v>1900000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5257056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7984323</v>
      </c>
      <c r="AM555" s="1">
        <v>0</v>
      </c>
      <c r="AN555" s="1">
        <v>0</v>
      </c>
      <c r="AO555" s="1">
        <v>88529352</v>
      </c>
      <c r="AP555" s="1">
        <v>15080205</v>
      </c>
      <c r="AQ555" s="1">
        <v>73449147</v>
      </c>
      <c r="AR555" s="1">
        <v>17705869</v>
      </c>
      <c r="AS555" s="1">
        <v>2655882</v>
      </c>
      <c r="AT555" s="1">
        <f t="shared" si="54"/>
        <v>108891103</v>
      </c>
    </row>
    <row r="556" spans="1:46" x14ac:dyDescent="0.2">
      <c r="A556" s="1" t="str">
        <f>"00639"</f>
        <v>00639</v>
      </c>
      <c r="B556" s="1" t="str">
        <f>"امين"</f>
        <v>امين</v>
      </c>
      <c r="C556" s="1" t="str">
        <f>"ناصرپور"</f>
        <v>ناصرپور</v>
      </c>
      <c r="D556" s="1" t="str">
        <f t="shared" si="55"/>
        <v>قراردادي بهره بردار</v>
      </c>
      <c r="E556" s="1" t="str">
        <f t="shared" ref="E556:E563" si="58">"پروژه بهره برداري نيروگاه بوشهر"</f>
        <v>پروژه بهره برداري نيروگاه بوشهر</v>
      </c>
      <c r="F556" s="1">
        <v>14353248</v>
      </c>
      <c r="G556" s="1">
        <v>7173043</v>
      </c>
      <c r="H556" s="1">
        <v>0</v>
      </c>
      <c r="I556" s="1">
        <v>11704007</v>
      </c>
      <c r="J556" s="1">
        <v>0</v>
      </c>
      <c r="K556" s="1">
        <v>4620000</v>
      </c>
      <c r="L556" s="1">
        <v>0</v>
      </c>
      <c r="M556" s="1">
        <v>1000000</v>
      </c>
      <c r="N556" s="1">
        <v>2742605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1606000</v>
      </c>
      <c r="U556" s="1">
        <v>0</v>
      </c>
      <c r="V556" s="1">
        <v>13590871</v>
      </c>
      <c r="W556" s="1">
        <v>1900000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1959004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6476399</v>
      </c>
      <c r="AM556" s="1">
        <v>0</v>
      </c>
      <c r="AN556" s="1">
        <v>0</v>
      </c>
      <c r="AO556" s="1">
        <v>67125177</v>
      </c>
      <c r="AP556" s="1">
        <v>25539937</v>
      </c>
      <c r="AQ556" s="1">
        <v>41585240</v>
      </c>
      <c r="AR556" s="1">
        <v>13103835</v>
      </c>
      <c r="AS556" s="1">
        <v>1965575</v>
      </c>
      <c r="AT556" s="1">
        <f t="shared" si="54"/>
        <v>82194587</v>
      </c>
    </row>
    <row r="557" spans="1:46" x14ac:dyDescent="0.2">
      <c r="A557" s="1" t="str">
        <f>"00640"</f>
        <v>00640</v>
      </c>
      <c r="B557" s="1" t="str">
        <f>"فرزاد"</f>
        <v>فرزاد</v>
      </c>
      <c r="C557" s="1" t="str">
        <f>"نجمي جعفرلو"</f>
        <v>نجمي جعفرلو</v>
      </c>
      <c r="D557" s="1" t="str">
        <f t="shared" si="55"/>
        <v>قراردادي بهره بردار</v>
      </c>
      <c r="E557" s="1" t="str">
        <f t="shared" si="58"/>
        <v>پروژه بهره برداري نيروگاه بوشهر</v>
      </c>
      <c r="F557" s="1">
        <v>13884445</v>
      </c>
      <c r="G557" s="1">
        <v>7806813</v>
      </c>
      <c r="H557" s="1">
        <v>0</v>
      </c>
      <c r="I557" s="1">
        <v>10908048</v>
      </c>
      <c r="J557" s="1">
        <v>0</v>
      </c>
      <c r="K557" s="1">
        <v>4620000</v>
      </c>
      <c r="L557" s="1">
        <v>0</v>
      </c>
      <c r="M557" s="1">
        <v>1000000</v>
      </c>
      <c r="N557" s="1">
        <v>2578524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16701247</v>
      </c>
      <c r="W557" s="1">
        <v>1900000</v>
      </c>
      <c r="X557" s="1">
        <v>2015484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1841803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9402779</v>
      </c>
      <c r="AM557" s="1">
        <v>0</v>
      </c>
      <c r="AN557" s="1">
        <v>0</v>
      </c>
      <c r="AO557" s="1">
        <v>72659143</v>
      </c>
      <c r="AP557" s="1">
        <v>33844534</v>
      </c>
      <c r="AQ557" s="1">
        <v>38814609</v>
      </c>
      <c r="AR557" s="1">
        <v>14531829</v>
      </c>
      <c r="AS557" s="1">
        <v>2179774</v>
      </c>
      <c r="AT557" s="1">
        <f t="shared" si="54"/>
        <v>89370746</v>
      </c>
    </row>
    <row r="558" spans="1:46" x14ac:dyDescent="0.2">
      <c r="A558" s="1" t="str">
        <f>"00641"</f>
        <v>00641</v>
      </c>
      <c r="B558" s="1" t="str">
        <f>"سيدمحمد"</f>
        <v>سيدمحمد</v>
      </c>
      <c r="C558" s="1" t="str">
        <f>"نصيري سلوشي"</f>
        <v>نصيري سلوشي</v>
      </c>
      <c r="D558" s="1" t="str">
        <f t="shared" si="55"/>
        <v>قراردادي بهره بردار</v>
      </c>
      <c r="E558" s="1" t="str">
        <f t="shared" si="58"/>
        <v>پروژه بهره برداري نيروگاه بوشهر</v>
      </c>
      <c r="F558" s="1">
        <v>18487036</v>
      </c>
      <c r="G558" s="1">
        <v>1789880</v>
      </c>
      <c r="H558" s="1">
        <v>0</v>
      </c>
      <c r="I558" s="1">
        <v>12868107</v>
      </c>
      <c r="J558" s="1">
        <v>0</v>
      </c>
      <c r="K558" s="1">
        <v>5500000</v>
      </c>
      <c r="L558" s="1">
        <v>0</v>
      </c>
      <c r="M558" s="1">
        <v>1000000</v>
      </c>
      <c r="N558" s="1">
        <v>3112171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9317812</v>
      </c>
      <c r="W558" s="1">
        <v>1900000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2222979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4722201</v>
      </c>
      <c r="AM558" s="1">
        <v>0</v>
      </c>
      <c r="AN558" s="1">
        <v>0</v>
      </c>
      <c r="AO558" s="1">
        <v>60920186</v>
      </c>
      <c r="AP558" s="1">
        <v>16370454</v>
      </c>
      <c r="AQ558" s="1">
        <v>44549732</v>
      </c>
      <c r="AR558" s="1">
        <v>12184037</v>
      </c>
      <c r="AS558" s="1">
        <v>1827606</v>
      </c>
      <c r="AT558" s="1">
        <f t="shared" si="54"/>
        <v>74931829</v>
      </c>
    </row>
    <row r="559" spans="1:46" x14ac:dyDescent="0.2">
      <c r="A559" s="1" t="str">
        <f>"00642"</f>
        <v>00642</v>
      </c>
      <c r="B559" s="1" t="str">
        <f>"رضا"</f>
        <v>رضا</v>
      </c>
      <c r="C559" s="1" t="str">
        <f>"همتي"</f>
        <v>همتي</v>
      </c>
      <c r="D559" s="1" t="str">
        <f t="shared" si="55"/>
        <v>قراردادي بهره بردار</v>
      </c>
      <c r="E559" s="1" t="str">
        <f t="shared" si="58"/>
        <v>پروژه بهره برداري نيروگاه بوشهر</v>
      </c>
      <c r="F559" s="1">
        <v>14000551</v>
      </c>
      <c r="G559" s="1">
        <v>6773471</v>
      </c>
      <c r="H559" s="1">
        <v>0</v>
      </c>
      <c r="I559" s="1">
        <v>10610639</v>
      </c>
      <c r="J559" s="1">
        <v>0</v>
      </c>
      <c r="K559" s="1">
        <v>4620000</v>
      </c>
      <c r="L559" s="1">
        <v>0</v>
      </c>
      <c r="M559" s="1">
        <v>1000000</v>
      </c>
      <c r="N559" s="1">
        <v>2619161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1606000</v>
      </c>
      <c r="U559" s="1">
        <v>0</v>
      </c>
      <c r="V559" s="1">
        <v>17253060</v>
      </c>
      <c r="W559" s="1">
        <v>1900000</v>
      </c>
      <c r="X559" s="1">
        <v>2032338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1870829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10110321</v>
      </c>
      <c r="AM559" s="1">
        <v>0</v>
      </c>
      <c r="AN559" s="1">
        <v>0</v>
      </c>
      <c r="AO559" s="1">
        <v>74396370</v>
      </c>
      <c r="AP559" s="1">
        <v>13851794</v>
      </c>
      <c r="AQ559" s="1">
        <v>60544576</v>
      </c>
      <c r="AR559" s="1">
        <v>14558074</v>
      </c>
      <c r="AS559" s="1">
        <v>2183711</v>
      </c>
      <c r="AT559" s="1">
        <f t="shared" si="54"/>
        <v>91138155</v>
      </c>
    </row>
    <row r="560" spans="1:46" x14ac:dyDescent="0.2">
      <c r="A560" s="1" t="str">
        <f>"00643"</f>
        <v>00643</v>
      </c>
      <c r="B560" s="1" t="str">
        <f>"طيبه"</f>
        <v>طيبه</v>
      </c>
      <c r="C560" s="1" t="str">
        <f>"هنري فر"</f>
        <v>هنري فر</v>
      </c>
      <c r="D560" s="1" t="str">
        <f t="shared" si="55"/>
        <v>قراردادي بهره بردار</v>
      </c>
      <c r="E560" s="1" t="str">
        <f t="shared" si="58"/>
        <v>پروژه بهره برداري نيروگاه بوشهر</v>
      </c>
      <c r="F560" s="1">
        <v>13849395</v>
      </c>
      <c r="G560" s="1">
        <v>534041</v>
      </c>
      <c r="H560" s="1">
        <v>0</v>
      </c>
      <c r="I560" s="1">
        <v>11205045</v>
      </c>
      <c r="J560" s="1">
        <v>0</v>
      </c>
      <c r="K560" s="1">
        <v>3465000</v>
      </c>
      <c r="L560" s="1">
        <v>0</v>
      </c>
      <c r="M560" s="1">
        <v>1000000</v>
      </c>
      <c r="N560" s="1">
        <v>2566256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1606000</v>
      </c>
      <c r="U560" s="1">
        <v>0</v>
      </c>
      <c r="V560" s="1">
        <v>3440059</v>
      </c>
      <c r="W560" s="1">
        <v>1900000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1833040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4946854</v>
      </c>
      <c r="AM560" s="1">
        <v>0</v>
      </c>
      <c r="AN560" s="1">
        <v>0</v>
      </c>
      <c r="AO560" s="1">
        <v>46345690</v>
      </c>
      <c r="AP560" s="1">
        <v>27877600</v>
      </c>
      <c r="AQ560" s="1">
        <v>18468090</v>
      </c>
      <c r="AR560" s="1">
        <v>8947938</v>
      </c>
      <c r="AS560" s="1">
        <v>1342191</v>
      </c>
      <c r="AT560" s="1">
        <f t="shared" si="54"/>
        <v>56635819</v>
      </c>
    </row>
    <row r="561" spans="1:46" x14ac:dyDescent="0.2">
      <c r="A561" s="1" t="str">
        <f>"00644"</f>
        <v>00644</v>
      </c>
      <c r="B561" s="1" t="str">
        <f>"امير"</f>
        <v>امير</v>
      </c>
      <c r="C561" s="1" t="str">
        <f>"ابراهيمي کلهرودي"</f>
        <v>ابراهيمي کلهرودي</v>
      </c>
      <c r="D561" s="1" t="str">
        <f t="shared" si="55"/>
        <v>قراردادي بهره بردار</v>
      </c>
      <c r="E561" s="1" t="str">
        <f t="shared" si="58"/>
        <v>پروژه بهره برداري نيروگاه بوشهر</v>
      </c>
      <c r="F561" s="1">
        <v>34419755</v>
      </c>
      <c r="G561" s="1">
        <v>15475817</v>
      </c>
      <c r="H561" s="1">
        <v>0</v>
      </c>
      <c r="I561" s="1">
        <v>27697642</v>
      </c>
      <c r="J561" s="1">
        <v>0</v>
      </c>
      <c r="K561" s="1">
        <v>0</v>
      </c>
      <c r="L561" s="1">
        <v>0</v>
      </c>
      <c r="M561" s="1">
        <v>1000000</v>
      </c>
      <c r="N561" s="1">
        <v>4556696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1606000</v>
      </c>
      <c r="U561" s="1">
        <v>0</v>
      </c>
      <c r="V561" s="1">
        <v>28565305</v>
      </c>
      <c r="W561" s="1">
        <v>1900000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3254782</v>
      </c>
      <c r="AF561" s="1">
        <v>1516881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8332244</v>
      </c>
      <c r="AM561" s="1">
        <v>0</v>
      </c>
      <c r="AN561" s="1">
        <v>0</v>
      </c>
      <c r="AO561" s="1">
        <v>128325122</v>
      </c>
      <c r="AP561" s="1">
        <v>54960716</v>
      </c>
      <c r="AQ561" s="1">
        <v>73364406</v>
      </c>
      <c r="AR561" s="1">
        <v>23898930</v>
      </c>
      <c r="AS561" s="1">
        <v>3584842</v>
      </c>
      <c r="AT561" s="1">
        <f t="shared" si="54"/>
        <v>155808894</v>
      </c>
    </row>
    <row r="562" spans="1:46" x14ac:dyDescent="0.2">
      <c r="A562" s="1" t="str">
        <f>"00645"</f>
        <v>00645</v>
      </c>
      <c r="B562" s="1" t="str">
        <f>"جليل"</f>
        <v>جليل</v>
      </c>
      <c r="C562" s="1" t="str">
        <f>"محرزي"</f>
        <v>محرزي</v>
      </c>
      <c r="D562" s="1" t="str">
        <f t="shared" si="55"/>
        <v>قراردادي بهره بردار</v>
      </c>
      <c r="E562" s="1" t="str">
        <f t="shared" si="58"/>
        <v>پروژه بهره برداري نيروگاه بوشهر</v>
      </c>
      <c r="F562" s="1">
        <v>14491260</v>
      </c>
      <c r="G562" s="1">
        <v>14039441</v>
      </c>
      <c r="H562" s="1">
        <v>0</v>
      </c>
      <c r="I562" s="1">
        <v>11505457</v>
      </c>
      <c r="J562" s="1">
        <v>0</v>
      </c>
      <c r="K562" s="1">
        <v>4620000</v>
      </c>
      <c r="L562" s="1">
        <v>0</v>
      </c>
      <c r="M562" s="1">
        <v>1000000</v>
      </c>
      <c r="N562" s="1">
        <v>2817745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3546505</v>
      </c>
      <c r="W562" s="1">
        <v>1900000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2012675</v>
      </c>
      <c r="AF562" s="1">
        <v>4550643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4637915</v>
      </c>
      <c r="AM562" s="1">
        <v>0</v>
      </c>
      <c r="AN562" s="1">
        <v>0</v>
      </c>
      <c r="AO562" s="1">
        <v>65121641</v>
      </c>
      <c r="AP562" s="1">
        <v>11812701</v>
      </c>
      <c r="AQ562" s="1">
        <v>53308940</v>
      </c>
      <c r="AR562" s="1">
        <v>12114200</v>
      </c>
      <c r="AS562" s="1">
        <v>1817130</v>
      </c>
      <c r="AT562" s="1">
        <f t="shared" si="54"/>
        <v>79052971</v>
      </c>
    </row>
    <row r="563" spans="1:46" x14ac:dyDescent="0.2">
      <c r="A563" s="1" t="str">
        <f>"00646"</f>
        <v>00646</v>
      </c>
      <c r="B563" s="1" t="str">
        <f>"نعيم"</f>
        <v>نعيم</v>
      </c>
      <c r="C563" s="1" t="str">
        <f>"غنچه"</f>
        <v>غنچه</v>
      </c>
      <c r="D563" s="1" t="str">
        <f t="shared" si="55"/>
        <v>قراردادي بهره بردار</v>
      </c>
      <c r="E563" s="1" t="str">
        <f t="shared" si="58"/>
        <v>پروژه بهره برداري نيروگاه بوشهر</v>
      </c>
      <c r="F563" s="1">
        <v>14230571</v>
      </c>
      <c r="G563" s="1">
        <v>6268801</v>
      </c>
      <c r="H563" s="1">
        <v>0</v>
      </c>
      <c r="I563" s="1">
        <v>11927774</v>
      </c>
      <c r="J563" s="1">
        <v>0</v>
      </c>
      <c r="K563" s="1">
        <v>0</v>
      </c>
      <c r="L563" s="1">
        <v>0</v>
      </c>
      <c r="M563" s="1">
        <v>1000000</v>
      </c>
      <c r="N563" s="1">
        <v>2699668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1606000</v>
      </c>
      <c r="U563" s="1">
        <v>0</v>
      </c>
      <c r="V563" s="1">
        <v>8305979</v>
      </c>
      <c r="W563" s="1">
        <v>1900000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1928334</v>
      </c>
      <c r="AF563" s="1">
        <v>1516881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5326606</v>
      </c>
      <c r="AM563" s="1">
        <v>0</v>
      </c>
      <c r="AN563" s="1">
        <v>0</v>
      </c>
      <c r="AO563" s="1">
        <v>56710614</v>
      </c>
      <c r="AP563" s="1">
        <v>13731021</v>
      </c>
      <c r="AQ563" s="1">
        <v>42979593</v>
      </c>
      <c r="AR563" s="1">
        <v>10717547</v>
      </c>
      <c r="AS563" s="1">
        <v>1607632</v>
      </c>
      <c r="AT563" s="1">
        <f t="shared" si="54"/>
        <v>69035793</v>
      </c>
    </row>
    <row r="564" spans="1:46" x14ac:dyDescent="0.2">
      <c r="A564" s="1" t="str">
        <f>"00648"</f>
        <v>00648</v>
      </c>
      <c r="B564" s="1" t="str">
        <f>"مسعود"</f>
        <v>مسعود</v>
      </c>
      <c r="C564" s="1" t="str">
        <f>"سليماني"</f>
        <v>سليماني</v>
      </c>
      <c r="D564" s="1" t="str">
        <f>"قراردادي کارگري"</f>
        <v>قراردادي کارگري</v>
      </c>
      <c r="E564" s="1" t="str">
        <f>"پروژه تعميرات نيروگاه بوشهر"</f>
        <v>پروژه تعميرات نيروگاه بوشهر</v>
      </c>
      <c r="F564" s="1">
        <v>11997391</v>
      </c>
      <c r="G564" s="1">
        <v>16247403</v>
      </c>
      <c r="H564" s="1">
        <v>0</v>
      </c>
      <c r="I564" s="1">
        <v>9957834</v>
      </c>
      <c r="J564" s="1">
        <v>0</v>
      </c>
      <c r="K564" s="1">
        <v>0</v>
      </c>
      <c r="L564" s="1">
        <v>7462913</v>
      </c>
      <c r="M564" s="1">
        <v>1000000</v>
      </c>
      <c r="N564" s="1">
        <v>6398609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3881342</v>
      </c>
      <c r="W564" s="1">
        <v>1900000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3033762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61879254</v>
      </c>
      <c r="AP564" s="1">
        <v>8483354</v>
      </c>
      <c r="AQ564" s="1">
        <v>53395900</v>
      </c>
      <c r="AR564" s="1">
        <v>11769098</v>
      </c>
      <c r="AS564" s="1">
        <v>1765365</v>
      </c>
      <c r="AT564" s="1">
        <f t="shared" si="54"/>
        <v>75413717</v>
      </c>
    </row>
    <row r="565" spans="1:46" x14ac:dyDescent="0.2">
      <c r="A565" s="1" t="str">
        <f>"00649"</f>
        <v>00649</v>
      </c>
      <c r="B565" s="1" t="str">
        <f>"فريبا"</f>
        <v>فريبا</v>
      </c>
      <c r="C565" s="1" t="str">
        <f>"صيانت"</f>
        <v>صيانت</v>
      </c>
      <c r="D565" s="1" t="str">
        <f>"قراردادي بهره بردار"</f>
        <v>قراردادي بهره بردار</v>
      </c>
      <c r="E565" s="1" t="str">
        <f>"پروژه بهره برداري نيروگاه بوشهر"</f>
        <v>پروژه بهره برداري نيروگاه بوشهر</v>
      </c>
      <c r="F565" s="1">
        <v>19113567</v>
      </c>
      <c r="G565" s="1">
        <v>7826923</v>
      </c>
      <c r="H565" s="1">
        <v>0</v>
      </c>
      <c r="I565" s="1">
        <v>18104833</v>
      </c>
      <c r="J565" s="1">
        <v>0</v>
      </c>
      <c r="K565" s="1">
        <v>3465000</v>
      </c>
      <c r="L565" s="1">
        <v>0</v>
      </c>
      <c r="M565" s="1">
        <v>1000000</v>
      </c>
      <c r="N565" s="1">
        <v>3630482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1606000</v>
      </c>
      <c r="U565" s="1">
        <v>0</v>
      </c>
      <c r="V565" s="1">
        <v>4801675</v>
      </c>
      <c r="W565" s="1">
        <v>1900000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2593202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4574660</v>
      </c>
      <c r="AM565" s="1">
        <v>0</v>
      </c>
      <c r="AN565" s="1">
        <v>0</v>
      </c>
      <c r="AO565" s="1">
        <v>68616342</v>
      </c>
      <c r="AP565" s="1">
        <v>9030285</v>
      </c>
      <c r="AQ565" s="1">
        <v>59586057</v>
      </c>
      <c r="AR565" s="1">
        <v>13402068</v>
      </c>
      <c r="AS565" s="1">
        <v>2010310</v>
      </c>
      <c r="AT565" s="1">
        <f t="shared" si="54"/>
        <v>84028720</v>
      </c>
    </row>
    <row r="566" spans="1:46" x14ac:dyDescent="0.2">
      <c r="A566" s="1" t="str">
        <f>"00650"</f>
        <v>00650</v>
      </c>
      <c r="B566" s="1" t="str">
        <f>"ليلا"</f>
        <v>ليلا</v>
      </c>
      <c r="C566" s="1" t="str">
        <f>"قاسمي فر"</f>
        <v>قاسمي فر</v>
      </c>
      <c r="D566" s="1" t="str">
        <f>"قراردادي بهره بردار"</f>
        <v>قراردادي بهره بردار</v>
      </c>
      <c r="E566" s="1" t="str">
        <f>"پروژه بهره برداري نيروگاه بوشهر"</f>
        <v>پروژه بهره برداري نيروگاه بوشهر</v>
      </c>
      <c r="F566" s="1">
        <v>14787000</v>
      </c>
      <c r="G566" s="1">
        <v>299232</v>
      </c>
      <c r="H566" s="1">
        <v>0</v>
      </c>
      <c r="I566" s="1">
        <v>14098739</v>
      </c>
      <c r="J566" s="1">
        <v>0</v>
      </c>
      <c r="K566" s="1">
        <v>0</v>
      </c>
      <c r="L566" s="1">
        <v>0</v>
      </c>
      <c r="M566" s="1">
        <v>1000000</v>
      </c>
      <c r="N566" s="1">
        <v>2921254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1606000</v>
      </c>
      <c r="U566" s="1">
        <v>0</v>
      </c>
      <c r="V566" s="1">
        <v>3855041</v>
      </c>
      <c r="W566" s="1">
        <v>1900000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2086610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4656810</v>
      </c>
      <c r="AM566" s="1">
        <v>0</v>
      </c>
      <c r="AN566" s="1">
        <v>0</v>
      </c>
      <c r="AO566" s="1">
        <v>47210686</v>
      </c>
      <c r="AP566" s="1">
        <v>20737198</v>
      </c>
      <c r="AQ566" s="1">
        <v>26473488</v>
      </c>
      <c r="AR566" s="1">
        <v>9120937</v>
      </c>
      <c r="AS566" s="1">
        <v>1368141</v>
      </c>
      <c r="AT566" s="1">
        <f t="shared" si="54"/>
        <v>57699764</v>
      </c>
    </row>
    <row r="567" spans="1:46" x14ac:dyDescent="0.2">
      <c r="A567" s="1" t="str">
        <f>"00651"</f>
        <v>00651</v>
      </c>
      <c r="B567" s="1" t="str">
        <f>"عبدالرسول"</f>
        <v>عبدالرسول</v>
      </c>
      <c r="C567" s="1" t="str">
        <f>"حاجياني"</f>
        <v>حاجياني</v>
      </c>
      <c r="D567" s="1" t="str">
        <f t="shared" ref="D567:D572" si="59">"قراردادي کارگري"</f>
        <v>قراردادي کارگري</v>
      </c>
      <c r="E567" s="1" t="str">
        <f t="shared" ref="E567:E572" si="60">"پروژه تعميرات نيروگاه بوشهر"</f>
        <v>پروژه تعميرات نيروگاه بوشهر</v>
      </c>
      <c r="F567" s="1">
        <v>7064487</v>
      </c>
      <c r="G567" s="1">
        <v>10796427</v>
      </c>
      <c r="H567" s="1">
        <v>0</v>
      </c>
      <c r="I567" s="1">
        <v>5086430</v>
      </c>
      <c r="J567" s="1">
        <v>0</v>
      </c>
      <c r="K567" s="1">
        <v>0</v>
      </c>
      <c r="L567" s="1">
        <v>7628143</v>
      </c>
      <c r="M567" s="1">
        <v>1000000</v>
      </c>
      <c r="N567" s="1">
        <v>3742776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8353328</v>
      </c>
      <c r="W567" s="1">
        <v>1900000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1021881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46593472</v>
      </c>
      <c r="AP567" s="1">
        <v>17847378</v>
      </c>
      <c r="AQ567" s="1">
        <v>28746094</v>
      </c>
      <c r="AR567" s="1">
        <v>9114318</v>
      </c>
      <c r="AS567" s="1">
        <v>1367148</v>
      </c>
      <c r="AT567" s="1">
        <f t="shared" si="54"/>
        <v>57074938</v>
      </c>
    </row>
    <row r="568" spans="1:46" x14ac:dyDescent="0.2">
      <c r="A568" s="1" t="str">
        <f>"00652"</f>
        <v>00652</v>
      </c>
      <c r="B568" s="1" t="str">
        <f>"حسين"</f>
        <v>حسين</v>
      </c>
      <c r="C568" s="1" t="str">
        <f>"انصاري"</f>
        <v>انصاري</v>
      </c>
      <c r="D568" s="1" t="str">
        <f t="shared" si="59"/>
        <v>قراردادي کارگري</v>
      </c>
      <c r="E568" s="1" t="str">
        <f t="shared" si="60"/>
        <v>پروژه تعميرات نيروگاه بوشهر</v>
      </c>
      <c r="F568" s="1">
        <v>9632275</v>
      </c>
      <c r="G568" s="1">
        <v>10132764</v>
      </c>
      <c r="H568" s="1">
        <v>0</v>
      </c>
      <c r="I568" s="1">
        <v>7127884</v>
      </c>
      <c r="J568" s="1">
        <v>0</v>
      </c>
      <c r="K568" s="1">
        <v>0</v>
      </c>
      <c r="L568" s="1">
        <v>7628143</v>
      </c>
      <c r="M568" s="1">
        <v>1000000</v>
      </c>
      <c r="N568" s="1">
        <v>5103192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10396211</v>
      </c>
      <c r="W568" s="1">
        <v>1900000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3033762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55954231</v>
      </c>
      <c r="AP568" s="1">
        <v>11175897</v>
      </c>
      <c r="AQ568" s="1">
        <v>44778334</v>
      </c>
      <c r="AR568" s="1">
        <v>10584094</v>
      </c>
      <c r="AS568" s="1">
        <v>1587614</v>
      </c>
      <c r="AT568" s="1">
        <f t="shared" si="54"/>
        <v>68125939</v>
      </c>
    </row>
    <row r="569" spans="1:46" x14ac:dyDescent="0.2">
      <c r="A569" s="1" t="str">
        <f>"00653"</f>
        <v>00653</v>
      </c>
      <c r="B569" s="1" t="str">
        <f>"حسين"</f>
        <v>حسين</v>
      </c>
      <c r="C569" s="1" t="str">
        <f>"حسن احمدي"</f>
        <v>حسن احمدي</v>
      </c>
      <c r="D569" s="1" t="str">
        <f t="shared" si="59"/>
        <v>قراردادي کارگري</v>
      </c>
      <c r="E569" s="1" t="str">
        <f t="shared" si="60"/>
        <v>پروژه تعميرات نيروگاه بوشهر</v>
      </c>
      <c r="F569" s="1">
        <v>8799426</v>
      </c>
      <c r="G569" s="1">
        <v>18129901</v>
      </c>
      <c r="H569" s="1">
        <v>0</v>
      </c>
      <c r="I569" s="1">
        <v>6423581</v>
      </c>
      <c r="J569" s="1">
        <v>0</v>
      </c>
      <c r="K569" s="1">
        <v>0</v>
      </c>
      <c r="L569" s="1">
        <v>7628143</v>
      </c>
      <c r="M569" s="1">
        <v>1000000</v>
      </c>
      <c r="N569" s="1">
        <v>4631278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9753310</v>
      </c>
      <c r="W569" s="1">
        <v>1900000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4550643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62816282</v>
      </c>
      <c r="AP569" s="1">
        <v>13695594</v>
      </c>
      <c r="AQ569" s="1">
        <v>49120688</v>
      </c>
      <c r="AR569" s="1">
        <v>11653128</v>
      </c>
      <c r="AS569" s="1">
        <v>1747969</v>
      </c>
      <c r="AT569" s="1">
        <f t="shared" si="54"/>
        <v>76217379</v>
      </c>
    </row>
    <row r="570" spans="1:46" x14ac:dyDescent="0.2">
      <c r="A570" s="1" t="str">
        <f>"00654"</f>
        <v>00654</v>
      </c>
      <c r="B570" s="1" t="str">
        <f>"محمدرضا"</f>
        <v>محمدرضا</v>
      </c>
      <c r="C570" s="1" t="str">
        <f>"تاجي اشکفتکي"</f>
        <v>تاجي اشکفتکي</v>
      </c>
      <c r="D570" s="1" t="str">
        <f t="shared" si="59"/>
        <v>قراردادي کارگري</v>
      </c>
      <c r="E570" s="1" t="str">
        <f t="shared" si="60"/>
        <v>پروژه تعميرات نيروگاه بوشهر</v>
      </c>
      <c r="F570" s="1">
        <v>7664552</v>
      </c>
      <c r="G570" s="1">
        <v>8633034</v>
      </c>
      <c r="H570" s="1">
        <v>0</v>
      </c>
      <c r="I570" s="1">
        <v>4598731</v>
      </c>
      <c r="J570" s="1">
        <v>0</v>
      </c>
      <c r="K570" s="1">
        <v>0</v>
      </c>
      <c r="L570" s="1">
        <v>6016887</v>
      </c>
      <c r="M570" s="1">
        <v>1000000</v>
      </c>
      <c r="N570" s="1">
        <v>4087761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4819273</v>
      </c>
      <c r="W570" s="1">
        <v>1900000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3033762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41754000</v>
      </c>
      <c r="AP570" s="1">
        <v>8478641</v>
      </c>
      <c r="AQ570" s="1">
        <v>33275359</v>
      </c>
      <c r="AR570" s="1">
        <v>7744048</v>
      </c>
      <c r="AS570" s="1">
        <v>1161607</v>
      </c>
      <c r="AT570" s="1">
        <f t="shared" si="54"/>
        <v>50659655</v>
      </c>
    </row>
    <row r="571" spans="1:46" x14ac:dyDescent="0.2">
      <c r="A571" s="1" t="str">
        <f>"00655"</f>
        <v>00655</v>
      </c>
      <c r="B571" s="1" t="str">
        <f>"عادل"</f>
        <v>عادل</v>
      </c>
      <c r="C571" s="1" t="str">
        <f>"رهامي"</f>
        <v>رهامي</v>
      </c>
      <c r="D571" s="1" t="str">
        <f t="shared" si="59"/>
        <v>قراردادي کارگري</v>
      </c>
      <c r="E571" s="1" t="str">
        <f t="shared" si="60"/>
        <v>پروژه تعميرات نيروگاه بوشهر</v>
      </c>
      <c r="F571" s="1">
        <v>9504370</v>
      </c>
      <c r="G571" s="1">
        <v>13663195</v>
      </c>
      <c r="H571" s="1">
        <v>0</v>
      </c>
      <c r="I571" s="1">
        <v>7698539</v>
      </c>
      <c r="J571" s="1">
        <v>0</v>
      </c>
      <c r="K571" s="1">
        <v>0</v>
      </c>
      <c r="L571" s="1">
        <v>7628143</v>
      </c>
      <c r="M571" s="1">
        <v>1000000</v>
      </c>
      <c r="N571" s="1">
        <v>5002298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10505606</v>
      </c>
      <c r="W571" s="1">
        <v>1900000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1516881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58419032</v>
      </c>
      <c r="AP571" s="1">
        <v>20924338</v>
      </c>
      <c r="AQ571" s="1">
        <v>37494694</v>
      </c>
      <c r="AR571" s="1">
        <v>11380430</v>
      </c>
      <c r="AS571" s="1">
        <v>1707065</v>
      </c>
      <c r="AT571" s="1">
        <f t="shared" si="54"/>
        <v>71506527</v>
      </c>
    </row>
    <row r="572" spans="1:46" x14ac:dyDescent="0.2">
      <c r="A572" s="1" t="str">
        <f>"00656"</f>
        <v>00656</v>
      </c>
      <c r="B572" s="1" t="str">
        <f>"صادق"</f>
        <v>صادق</v>
      </c>
      <c r="C572" s="1" t="str">
        <f>"زارعي"</f>
        <v>زارعي</v>
      </c>
      <c r="D572" s="1" t="str">
        <f t="shared" si="59"/>
        <v>قراردادي کارگري</v>
      </c>
      <c r="E572" s="1" t="str">
        <f t="shared" si="60"/>
        <v>پروژه تعميرات نيروگاه بوشهر</v>
      </c>
      <c r="F572" s="1">
        <v>7117455</v>
      </c>
      <c r="G572" s="1">
        <v>4057455</v>
      </c>
      <c r="H572" s="1">
        <v>0</v>
      </c>
      <c r="I572" s="1">
        <v>4982219</v>
      </c>
      <c r="J572" s="1">
        <v>0</v>
      </c>
      <c r="K572" s="1">
        <v>0</v>
      </c>
      <c r="L572" s="1">
        <v>7628143</v>
      </c>
      <c r="M572" s="1">
        <v>1000000</v>
      </c>
      <c r="N572" s="1">
        <v>3746030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8470564</v>
      </c>
      <c r="W572" s="1">
        <v>1900000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3521077</v>
      </c>
      <c r="AE572" s="1">
        <v>0</v>
      </c>
      <c r="AF572" s="1">
        <v>1516881</v>
      </c>
      <c r="AG572" s="1">
        <v>0</v>
      </c>
      <c r="AH572" s="1">
        <v>0</v>
      </c>
      <c r="AI572" s="1">
        <v>0</v>
      </c>
      <c r="AJ572" s="1">
        <v>2885302</v>
      </c>
      <c r="AK572" s="1">
        <v>0</v>
      </c>
      <c r="AL572" s="1">
        <v>0</v>
      </c>
      <c r="AM572" s="1">
        <v>0</v>
      </c>
      <c r="AN572" s="1">
        <v>0</v>
      </c>
      <c r="AO572" s="1">
        <v>46825126</v>
      </c>
      <c r="AP572" s="1">
        <v>5617496</v>
      </c>
      <c r="AQ572" s="1">
        <v>41207630</v>
      </c>
      <c r="AR572" s="1">
        <v>9061649</v>
      </c>
      <c r="AS572" s="1">
        <v>1359247</v>
      </c>
      <c r="AT572" s="1">
        <f t="shared" si="54"/>
        <v>57246022</v>
      </c>
    </row>
    <row r="573" spans="1:46" x14ac:dyDescent="0.2">
      <c r="A573" s="1" t="str">
        <f>"00657"</f>
        <v>00657</v>
      </c>
      <c r="B573" s="1" t="str">
        <f>"اسماعيل"</f>
        <v>اسماعيل</v>
      </c>
      <c r="C573" s="1" t="str">
        <f>"شهرياري"</f>
        <v>شهرياري</v>
      </c>
      <c r="D573" s="1" t="str">
        <f>"قراردادي بهره بردار"</f>
        <v>قراردادي بهره بردار</v>
      </c>
      <c r="E573" s="1" t="str">
        <f>"پروژه بهره برداري نيروگاه بوشهر"</f>
        <v>پروژه بهره برداري نيروگاه بوشهر</v>
      </c>
      <c r="F573" s="1">
        <v>18412553</v>
      </c>
      <c r="G573" s="1">
        <v>9634054</v>
      </c>
      <c r="H573" s="1">
        <v>0</v>
      </c>
      <c r="I573" s="1">
        <v>13973783</v>
      </c>
      <c r="J573" s="1">
        <v>0</v>
      </c>
      <c r="K573" s="1">
        <v>5500000</v>
      </c>
      <c r="L573" s="1">
        <v>0</v>
      </c>
      <c r="M573" s="1">
        <v>1000000</v>
      </c>
      <c r="N573" s="1">
        <v>3086102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9819109</v>
      </c>
      <c r="W573" s="1">
        <v>1900000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2204358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5014984</v>
      </c>
      <c r="AM573" s="1">
        <v>0</v>
      </c>
      <c r="AN573" s="1">
        <v>0</v>
      </c>
      <c r="AO573" s="1">
        <v>70544943</v>
      </c>
      <c r="AP573" s="1">
        <v>9826025</v>
      </c>
      <c r="AQ573" s="1">
        <v>60718918</v>
      </c>
      <c r="AR573" s="1">
        <v>14108989</v>
      </c>
      <c r="AS573" s="1">
        <v>2116348</v>
      </c>
      <c r="AT573" s="1">
        <f t="shared" si="54"/>
        <v>86770280</v>
      </c>
    </row>
    <row r="574" spans="1:46" x14ac:dyDescent="0.2">
      <c r="A574" s="1" t="str">
        <f>"00658"</f>
        <v>00658</v>
      </c>
      <c r="B574" s="1" t="str">
        <f>"محمدرضا"</f>
        <v>محمدرضا</v>
      </c>
      <c r="C574" s="1" t="str">
        <f>"افشارنژاد"</f>
        <v>افشارنژاد</v>
      </c>
      <c r="D574" s="1" t="str">
        <f>"قراردادي کارگري"</f>
        <v>قراردادي کارگري</v>
      </c>
      <c r="E574" s="1" t="str">
        <f>"پروژه تعميرات نيروگاه بوشهر"</f>
        <v>پروژه تعميرات نيروگاه بوشهر</v>
      </c>
      <c r="F574" s="1">
        <v>11131808</v>
      </c>
      <c r="G574" s="1">
        <v>8385423</v>
      </c>
      <c r="H574" s="1">
        <v>0</v>
      </c>
      <c r="I574" s="1">
        <v>10463899</v>
      </c>
      <c r="J574" s="1">
        <v>0</v>
      </c>
      <c r="K574" s="1">
        <v>0</v>
      </c>
      <c r="L574" s="1">
        <v>7462913</v>
      </c>
      <c r="M574" s="1">
        <v>1000000</v>
      </c>
      <c r="N574" s="1">
        <v>6679085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3873437</v>
      </c>
      <c r="W574" s="1">
        <v>1900000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3033762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53930327</v>
      </c>
      <c r="AP574" s="1">
        <v>10476881</v>
      </c>
      <c r="AQ574" s="1">
        <v>43453446</v>
      </c>
      <c r="AR574" s="1">
        <v>10179313</v>
      </c>
      <c r="AS574" s="1">
        <v>1526897</v>
      </c>
      <c r="AT574" s="1">
        <f t="shared" si="54"/>
        <v>65636537</v>
      </c>
    </row>
    <row r="575" spans="1:46" x14ac:dyDescent="0.2">
      <c r="A575" s="1" t="str">
        <f>"00659"</f>
        <v>00659</v>
      </c>
      <c r="B575" s="1" t="str">
        <f>"فاضل"</f>
        <v>فاضل</v>
      </c>
      <c r="C575" s="1" t="str">
        <f>"فرخ زاد"</f>
        <v>فرخ زاد</v>
      </c>
      <c r="D575" s="1" t="str">
        <f>"قراردادي کارگري"</f>
        <v>قراردادي کارگري</v>
      </c>
      <c r="E575" s="1" t="str">
        <f>"پروژه تعميرات نيروگاه بوشهر"</f>
        <v>پروژه تعميرات نيروگاه بوشهر</v>
      </c>
      <c r="F575" s="1">
        <v>10652019</v>
      </c>
      <c r="G575" s="1">
        <v>12279236</v>
      </c>
      <c r="H575" s="1">
        <v>0</v>
      </c>
      <c r="I575" s="1">
        <v>7669453</v>
      </c>
      <c r="J575" s="1">
        <v>0</v>
      </c>
      <c r="K575" s="1">
        <v>0</v>
      </c>
      <c r="L575" s="1">
        <v>7628143</v>
      </c>
      <c r="M575" s="1">
        <v>1000000</v>
      </c>
      <c r="N575" s="1">
        <v>5643455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7955639</v>
      </c>
      <c r="W575" s="1">
        <v>1900000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3033762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57761707</v>
      </c>
      <c r="AP575" s="1">
        <v>8224401</v>
      </c>
      <c r="AQ575" s="1">
        <v>49537306</v>
      </c>
      <c r="AR575" s="1">
        <v>10945589</v>
      </c>
      <c r="AS575" s="1">
        <v>1641838</v>
      </c>
      <c r="AT575" s="1">
        <f t="shared" si="54"/>
        <v>70349134</v>
      </c>
    </row>
    <row r="576" spans="1:46" x14ac:dyDescent="0.2">
      <c r="A576" s="1" t="str">
        <f>"00660"</f>
        <v>00660</v>
      </c>
      <c r="B576" s="1" t="str">
        <f>"عبدالرسول"</f>
        <v>عبدالرسول</v>
      </c>
      <c r="C576" s="1" t="str">
        <f>"محمدي"</f>
        <v>محمدي</v>
      </c>
      <c r="D576" s="1" t="str">
        <f>"قراردادي بهره بردار"</f>
        <v>قراردادي بهره بردار</v>
      </c>
      <c r="E576" s="1" t="str">
        <f>"پروژه بهره برداري نيروگاه بوشهر"</f>
        <v>پروژه بهره برداري نيروگاه بوشهر</v>
      </c>
      <c r="F576" s="1">
        <v>12480228</v>
      </c>
      <c r="G576" s="1">
        <v>1473250</v>
      </c>
      <c r="H576" s="1">
        <v>0</v>
      </c>
      <c r="I576" s="1">
        <v>8745832</v>
      </c>
      <c r="J576" s="1">
        <v>0</v>
      </c>
      <c r="K576" s="1">
        <v>0</v>
      </c>
      <c r="L576" s="1">
        <v>0</v>
      </c>
      <c r="M576" s="1">
        <v>1000000</v>
      </c>
      <c r="N576" s="1">
        <v>2113884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5432407</v>
      </c>
      <c r="W576" s="1">
        <v>1900000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1509917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4514504</v>
      </c>
      <c r="AM576" s="1">
        <v>0</v>
      </c>
      <c r="AN576" s="1">
        <v>0</v>
      </c>
      <c r="AO576" s="1">
        <v>39170022</v>
      </c>
      <c r="AP576" s="1">
        <v>15016506</v>
      </c>
      <c r="AQ576" s="1">
        <v>24153516</v>
      </c>
      <c r="AR576" s="1">
        <v>7834004</v>
      </c>
      <c r="AS576" s="1">
        <v>1175101</v>
      </c>
      <c r="AT576" s="1">
        <f t="shared" si="54"/>
        <v>48179127</v>
      </c>
    </row>
    <row r="577" spans="1:46" x14ac:dyDescent="0.2">
      <c r="A577" s="1" t="str">
        <f>"00661"</f>
        <v>00661</v>
      </c>
      <c r="B577" s="1" t="str">
        <f>"جواد"</f>
        <v>جواد</v>
      </c>
      <c r="C577" s="1" t="str">
        <f>"حسين زاده"</f>
        <v>حسين زاده</v>
      </c>
      <c r="D577" s="1" t="str">
        <f>"قراردادي بهره بردار"</f>
        <v>قراردادي بهره بردار</v>
      </c>
      <c r="E577" s="1" t="str">
        <f>"پروژه بهره برداري نيروگاه بوشهر"</f>
        <v>پروژه بهره برداري نيروگاه بوشهر</v>
      </c>
      <c r="F577" s="1">
        <v>19431213</v>
      </c>
      <c r="G577" s="1">
        <v>10343493</v>
      </c>
      <c r="H577" s="1">
        <v>0</v>
      </c>
      <c r="I577" s="1">
        <v>15866002</v>
      </c>
      <c r="J577" s="1">
        <v>0</v>
      </c>
      <c r="K577" s="1">
        <v>4125000</v>
      </c>
      <c r="L577" s="1">
        <v>0</v>
      </c>
      <c r="M577" s="1">
        <v>1000000</v>
      </c>
      <c r="N577" s="1">
        <v>3442633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8475600</v>
      </c>
      <c r="W577" s="1">
        <v>1900000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2459023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4615187</v>
      </c>
      <c r="AM577" s="1">
        <v>0</v>
      </c>
      <c r="AN577" s="1">
        <v>0</v>
      </c>
      <c r="AO577" s="1">
        <v>71658151</v>
      </c>
      <c r="AP577" s="1">
        <v>34992547</v>
      </c>
      <c r="AQ577" s="1">
        <v>36665604</v>
      </c>
      <c r="AR577" s="1">
        <v>14331630</v>
      </c>
      <c r="AS577" s="1">
        <v>2149745</v>
      </c>
      <c r="AT577" s="1">
        <f t="shared" si="54"/>
        <v>88139526</v>
      </c>
    </row>
    <row r="578" spans="1:46" x14ac:dyDescent="0.2">
      <c r="A578" s="1" t="str">
        <f>"00662"</f>
        <v>00662</v>
      </c>
      <c r="B578" s="1" t="str">
        <f>"نجف"</f>
        <v>نجف</v>
      </c>
      <c r="C578" s="1" t="str">
        <f>"ابراهيم زاده"</f>
        <v>ابراهيم زاده</v>
      </c>
      <c r="D578" s="1" t="str">
        <f>"قراردادي کارگري"</f>
        <v>قراردادي کارگري</v>
      </c>
      <c r="E578" s="1" t="str">
        <f>"پروژه تعميرات نيروگاه بوشهر"</f>
        <v>پروژه تعميرات نيروگاه بوشهر</v>
      </c>
      <c r="F578" s="1">
        <v>10749340</v>
      </c>
      <c r="G578" s="1">
        <v>0</v>
      </c>
      <c r="H578" s="1">
        <v>0</v>
      </c>
      <c r="I578" s="1">
        <v>8706965</v>
      </c>
      <c r="J578" s="1">
        <v>0</v>
      </c>
      <c r="K578" s="1">
        <v>0</v>
      </c>
      <c r="L578" s="1">
        <v>7462913</v>
      </c>
      <c r="M578" s="1">
        <v>1000000</v>
      </c>
      <c r="N578" s="1">
        <v>5732981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7842751</v>
      </c>
      <c r="W578" s="1">
        <v>1900000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1516881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44911831</v>
      </c>
      <c r="AP578" s="1">
        <v>10860334</v>
      </c>
      <c r="AQ578" s="1">
        <v>34051497</v>
      </c>
      <c r="AR578" s="1">
        <v>8678990</v>
      </c>
      <c r="AS578" s="1">
        <v>1301849</v>
      </c>
      <c r="AT578" s="1">
        <f t="shared" si="54"/>
        <v>54892670</v>
      </c>
    </row>
    <row r="579" spans="1:46" x14ac:dyDescent="0.2">
      <c r="A579" s="1" t="str">
        <f>"00663"</f>
        <v>00663</v>
      </c>
      <c r="B579" s="1" t="str">
        <f>"بهرام"</f>
        <v>بهرام</v>
      </c>
      <c r="C579" s="1" t="str">
        <f>"زارعي"</f>
        <v>زارعي</v>
      </c>
      <c r="D579" s="1" t="str">
        <f>"قراردادي بهره بردار"</f>
        <v>قراردادي بهره بردار</v>
      </c>
      <c r="E579" s="1" t="str">
        <f>"پروژه بهره برداري نيروگاه بوشهر"</f>
        <v>پروژه بهره برداري نيروگاه بوشهر</v>
      </c>
      <c r="F579" s="1">
        <v>12644528</v>
      </c>
      <c r="G579" s="1">
        <v>24312792</v>
      </c>
      <c r="H579" s="1">
        <v>0</v>
      </c>
      <c r="I579" s="1">
        <v>13153095</v>
      </c>
      <c r="J579" s="1">
        <v>0</v>
      </c>
      <c r="K579" s="1">
        <v>4620000</v>
      </c>
      <c r="L579" s="1">
        <v>0</v>
      </c>
      <c r="M579" s="1">
        <v>1000000</v>
      </c>
      <c r="N579" s="1">
        <v>2171389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8613674</v>
      </c>
      <c r="W579" s="1">
        <v>1900000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1550992</v>
      </c>
      <c r="AF579" s="1">
        <v>4550643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4934696</v>
      </c>
      <c r="AM579" s="1">
        <v>0</v>
      </c>
      <c r="AN579" s="1">
        <v>0</v>
      </c>
      <c r="AO579" s="1">
        <v>79451809</v>
      </c>
      <c r="AP579" s="1">
        <v>27506285</v>
      </c>
      <c r="AQ579" s="1">
        <v>51945524</v>
      </c>
      <c r="AR579" s="1">
        <v>14980233</v>
      </c>
      <c r="AS579" s="1">
        <v>2247035</v>
      </c>
      <c r="AT579" s="1">
        <f t="shared" ref="AT579:AT642" si="61">AO579+AR579+AS579</f>
        <v>96679077</v>
      </c>
    </row>
    <row r="580" spans="1:46" x14ac:dyDescent="0.2">
      <c r="A580" s="1" t="str">
        <f>"00664"</f>
        <v>00664</v>
      </c>
      <c r="B580" s="1" t="str">
        <f>"حميد رضا"</f>
        <v>حميد رضا</v>
      </c>
      <c r="C580" s="1" t="str">
        <f>"دهقاني"</f>
        <v>دهقاني</v>
      </c>
      <c r="D580" s="1" t="str">
        <f>"قراردادي بهره بردار"</f>
        <v>قراردادي بهره بردار</v>
      </c>
      <c r="E580" s="1" t="str">
        <f>"پروژه بهره برداري نيروگاه بوشهر"</f>
        <v>پروژه بهره برداري نيروگاه بوشهر</v>
      </c>
      <c r="F580" s="1">
        <v>14278765</v>
      </c>
      <c r="G580" s="1">
        <v>6038156</v>
      </c>
      <c r="H580" s="1">
        <v>0</v>
      </c>
      <c r="I580" s="1">
        <v>11873893</v>
      </c>
      <c r="J580" s="1">
        <v>0</v>
      </c>
      <c r="K580" s="1">
        <v>4620000</v>
      </c>
      <c r="L580" s="1">
        <v>0</v>
      </c>
      <c r="M580" s="1">
        <v>1000000</v>
      </c>
      <c r="N580" s="1">
        <v>2716536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8421455</v>
      </c>
      <c r="W580" s="1">
        <v>1900000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1940383</v>
      </c>
      <c r="AF580" s="1">
        <v>1516881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5805442</v>
      </c>
      <c r="AM580" s="1">
        <v>0</v>
      </c>
      <c r="AN580" s="1">
        <v>0</v>
      </c>
      <c r="AO580" s="1">
        <v>60111511</v>
      </c>
      <c r="AP580" s="1">
        <v>12026496</v>
      </c>
      <c r="AQ580" s="1">
        <v>48085015</v>
      </c>
      <c r="AR580" s="1">
        <v>11718926</v>
      </c>
      <c r="AS580" s="1">
        <v>1757839</v>
      </c>
      <c r="AT580" s="1">
        <f t="shared" si="61"/>
        <v>73588276</v>
      </c>
    </row>
    <row r="581" spans="1:46" x14ac:dyDescent="0.2">
      <c r="A581" s="1" t="str">
        <f>"00665"</f>
        <v>00665</v>
      </c>
      <c r="B581" s="1" t="str">
        <f>"مجيد"</f>
        <v>مجيد</v>
      </c>
      <c r="C581" s="1" t="str">
        <f>"سميعي قصرالدشتي"</f>
        <v>سميعي قصرالدشتي</v>
      </c>
      <c r="D581" s="1" t="str">
        <f>"قراردادي بهره بردار"</f>
        <v>قراردادي بهره بردار</v>
      </c>
      <c r="E581" s="1" t="str">
        <f>"پروژه بهره برداري نيروگاه بوشهر"</f>
        <v>پروژه بهره برداري نيروگاه بوشهر</v>
      </c>
      <c r="F581" s="1">
        <v>13820916</v>
      </c>
      <c r="G581" s="1">
        <v>6388752</v>
      </c>
      <c r="H581" s="1">
        <v>0</v>
      </c>
      <c r="I581" s="1">
        <v>11518521</v>
      </c>
      <c r="J581" s="1">
        <v>0</v>
      </c>
      <c r="K581" s="1">
        <v>4620000</v>
      </c>
      <c r="L581" s="1">
        <v>0</v>
      </c>
      <c r="M581" s="1">
        <v>1000000</v>
      </c>
      <c r="N581" s="1">
        <v>2556289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1606000</v>
      </c>
      <c r="U581" s="1">
        <v>0</v>
      </c>
      <c r="V581" s="1">
        <v>7482458</v>
      </c>
      <c r="W581" s="1">
        <v>1900000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1825921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5909104</v>
      </c>
      <c r="AM581" s="1">
        <v>0</v>
      </c>
      <c r="AN581" s="1">
        <v>0</v>
      </c>
      <c r="AO581" s="1">
        <v>58627961</v>
      </c>
      <c r="AP581" s="1">
        <v>8600980</v>
      </c>
      <c r="AQ581" s="1">
        <v>50026981</v>
      </c>
      <c r="AR581" s="1">
        <v>11404392</v>
      </c>
      <c r="AS581" s="1">
        <v>1710659</v>
      </c>
      <c r="AT581" s="1">
        <f t="shared" si="61"/>
        <v>71743012</v>
      </c>
    </row>
    <row r="582" spans="1:46" x14ac:dyDescent="0.2">
      <c r="A582" s="1" t="str">
        <f>"00666"</f>
        <v>00666</v>
      </c>
      <c r="B582" s="1" t="str">
        <f>"زهرا"</f>
        <v>زهرا</v>
      </c>
      <c r="C582" s="1" t="str">
        <f>"دانشور"</f>
        <v>دانشور</v>
      </c>
      <c r="D582" s="1" t="str">
        <f>"قراردادي بهره بردار"</f>
        <v>قراردادي بهره بردار</v>
      </c>
      <c r="E582" s="1" t="str">
        <f>"پروژه بهره برداري نيروگاه بوشهر"</f>
        <v>پروژه بهره برداري نيروگاه بوشهر</v>
      </c>
      <c r="F582" s="1">
        <v>15457344</v>
      </c>
      <c r="G582" s="1">
        <v>6485830</v>
      </c>
      <c r="H582" s="1">
        <v>0</v>
      </c>
      <c r="I582" s="1">
        <v>10077190</v>
      </c>
      <c r="J582" s="1">
        <v>0</v>
      </c>
      <c r="K582" s="1">
        <v>4125000</v>
      </c>
      <c r="L582" s="1">
        <v>0</v>
      </c>
      <c r="M582" s="1">
        <v>1000000</v>
      </c>
      <c r="N582" s="1">
        <v>2224293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1606000</v>
      </c>
      <c r="U582" s="1">
        <v>0</v>
      </c>
      <c r="V582" s="1">
        <v>3342308</v>
      </c>
      <c r="W582" s="1">
        <v>1900000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1588781</v>
      </c>
      <c r="AF582" s="1">
        <v>1516881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4075473</v>
      </c>
      <c r="AM582" s="1">
        <v>0</v>
      </c>
      <c r="AN582" s="1">
        <v>0</v>
      </c>
      <c r="AO582" s="1">
        <v>53399100</v>
      </c>
      <c r="AP582" s="1">
        <v>22712321</v>
      </c>
      <c r="AQ582" s="1">
        <v>30686779</v>
      </c>
      <c r="AR582" s="1">
        <v>10055244</v>
      </c>
      <c r="AS582" s="1">
        <v>1508287</v>
      </c>
      <c r="AT582" s="1">
        <f t="shared" si="61"/>
        <v>64962631</v>
      </c>
    </row>
    <row r="583" spans="1:46" x14ac:dyDescent="0.2">
      <c r="A583" s="1" t="str">
        <f>"00667"</f>
        <v>00667</v>
      </c>
      <c r="B583" s="1" t="str">
        <f>"نصرالله"</f>
        <v>نصرالله</v>
      </c>
      <c r="C583" s="1" t="str">
        <f>"شکيبي نسب"</f>
        <v>شکيبي نسب</v>
      </c>
      <c r="D583" s="1" t="str">
        <f>"قراردادي کارگري"</f>
        <v>قراردادي کارگري</v>
      </c>
      <c r="E583" s="1" t="str">
        <f t="shared" ref="E583:E594" si="62">"پروژه تعميرات نيروگاه بوشهر"</f>
        <v>پروژه تعميرات نيروگاه بوشهر</v>
      </c>
      <c r="F583" s="1">
        <v>10633589</v>
      </c>
      <c r="G583" s="1">
        <v>7788805</v>
      </c>
      <c r="H583" s="1">
        <v>0</v>
      </c>
      <c r="I583" s="1">
        <v>7868856</v>
      </c>
      <c r="J583" s="1">
        <v>0</v>
      </c>
      <c r="K583" s="1">
        <v>0</v>
      </c>
      <c r="L583" s="1">
        <v>7628143</v>
      </c>
      <c r="M583" s="1">
        <v>1000000</v>
      </c>
      <c r="N583" s="1">
        <v>5633690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10688990</v>
      </c>
      <c r="W583" s="1">
        <v>1900000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1516881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54658954</v>
      </c>
      <c r="AP583" s="1">
        <v>11226112</v>
      </c>
      <c r="AQ583" s="1">
        <v>43432842</v>
      </c>
      <c r="AR583" s="1">
        <v>10628415</v>
      </c>
      <c r="AS583" s="1">
        <v>1594262</v>
      </c>
      <c r="AT583" s="1">
        <f t="shared" si="61"/>
        <v>66881631</v>
      </c>
    </row>
    <row r="584" spans="1:46" x14ac:dyDescent="0.2">
      <c r="A584" s="1" t="str">
        <f>"00668"</f>
        <v>00668</v>
      </c>
      <c r="B584" s="1" t="str">
        <f>"عبدالکريم"</f>
        <v>عبدالکريم</v>
      </c>
      <c r="C584" s="1" t="str">
        <f>"صادقي پور"</f>
        <v>صادقي پور</v>
      </c>
      <c r="D584" s="1" t="str">
        <f>"قراردادي کارگري"</f>
        <v>قراردادي کارگري</v>
      </c>
      <c r="E584" s="1" t="str">
        <f t="shared" si="62"/>
        <v>پروژه تعميرات نيروگاه بوشهر</v>
      </c>
      <c r="F584" s="1">
        <v>9414060</v>
      </c>
      <c r="G584" s="1">
        <v>7098097</v>
      </c>
      <c r="H584" s="1">
        <v>0</v>
      </c>
      <c r="I584" s="1">
        <v>7248826</v>
      </c>
      <c r="J584" s="1">
        <v>0</v>
      </c>
      <c r="K584" s="1">
        <v>0</v>
      </c>
      <c r="L584" s="1">
        <v>7462913</v>
      </c>
      <c r="M584" s="1">
        <v>1000000</v>
      </c>
      <c r="N584" s="1">
        <v>5020832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11089438</v>
      </c>
      <c r="W584" s="1">
        <v>1900000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3033762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53267928</v>
      </c>
      <c r="AP584" s="1">
        <v>16731484</v>
      </c>
      <c r="AQ584" s="1">
        <v>36536444</v>
      </c>
      <c r="AR584" s="1">
        <v>10046833</v>
      </c>
      <c r="AS584" s="1">
        <v>1507025</v>
      </c>
      <c r="AT584" s="1">
        <f t="shared" si="61"/>
        <v>64821786</v>
      </c>
    </row>
    <row r="585" spans="1:46" x14ac:dyDescent="0.2">
      <c r="A585" s="1" t="str">
        <f>"00669"</f>
        <v>00669</v>
      </c>
      <c r="B585" s="1" t="str">
        <f>"وحيد"</f>
        <v>وحيد</v>
      </c>
      <c r="C585" s="1" t="str">
        <f>"صالحي"</f>
        <v>صالحي</v>
      </c>
      <c r="D585" s="1" t="str">
        <f>"قراردادي کارگري"</f>
        <v>قراردادي کارگري</v>
      </c>
      <c r="E585" s="1" t="str">
        <f t="shared" si="62"/>
        <v>پروژه تعميرات نيروگاه بوشهر</v>
      </c>
      <c r="F585" s="1">
        <v>6591840</v>
      </c>
      <c r="G585" s="1">
        <v>5439611</v>
      </c>
      <c r="H585" s="1">
        <v>0</v>
      </c>
      <c r="I585" s="1">
        <v>4943880</v>
      </c>
      <c r="J585" s="1">
        <v>0</v>
      </c>
      <c r="K585" s="1">
        <v>0</v>
      </c>
      <c r="L585" s="1">
        <v>7628143</v>
      </c>
      <c r="M585" s="1">
        <v>1000000</v>
      </c>
      <c r="N585" s="1">
        <v>3469388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8201574</v>
      </c>
      <c r="W585" s="1">
        <v>1900000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3394988</v>
      </c>
      <c r="AE585" s="1">
        <v>0</v>
      </c>
      <c r="AF585" s="1">
        <v>3033762</v>
      </c>
      <c r="AG585" s="1">
        <v>0</v>
      </c>
      <c r="AH585" s="1">
        <v>0</v>
      </c>
      <c r="AI585" s="1">
        <v>0</v>
      </c>
      <c r="AJ585" s="1">
        <v>2785081</v>
      </c>
      <c r="AK585" s="1">
        <v>0</v>
      </c>
      <c r="AL585" s="1">
        <v>0</v>
      </c>
      <c r="AM585" s="1">
        <v>0</v>
      </c>
      <c r="AN585" s="1">
        <v>0</v>
      </c>
      <c r="AO585" s="1">
        <v>48388267</v>
      </c>
      <c r="AP585" s="1">
        <v>19045390</v>
      </c>
      <c r="AQ585" s="1">
        <v>29342877</v>
      </c>
      <c r="AR585" s="1">
        <v>9070901</v>
      </c>
      <c r="AS585" s="1">
        <v>1360635</v>
      </c>
      <c r="AT585" s="1">
        <f t="shared" si="61"/>
        <v>58819803</v>
      </c>
    </row>
    <row r="586" spans="1:46" x14ac:dyDescent="0.2">
      <c r="A586" s="1" t="str">
        <f>"00670"</f>
        <v>00670</v>
      </c>
      <c r="B586" s="1" t="str">
        <f>"احمد"</f>
        <v>احمد</v>
      </c>
      <c r="C586" s="1" t="str">
        <f>"صفا"</f>
        <v>صفا</v>
      </c>
      <c r="D586" s="1" t="str">
        <f>"قراردادي بهره بردار"</f>
        <v>قراردادي بهره بردار</v>
      </c>
      <c r="E586" s="1" t="str">
        <f t="shared" si="62"/>
        <v>پروژه تعميرات نيروگاه بوشهر</v>
      </c>
      <c r="F586" s="1">
        <v>14861483</v>
      </c>
      <c r="G586" s="1">
        <v>821141</v>
      </c>
      <c r="H586" s="1">
        <v>0</v>
      </c>
      <c r="I586" s="1">
        <v>8825925</v>
      </c>
      <c r="J586" s="1">
        <v>0</v>
      </c>
      <c r="K586" s="1">
        <v>4620000</v>
      </c>
      <c r="L586" s="1">
        <v>0</v>
      </c>
      <c r="M586" s="1">
        <v>1000000</v>
      </c>
      <c r="N586" s="1">
        <v>3177343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3465564</v>
      </c>
      <c r="W586" s="1">
        <v>1900000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2269531</v>
      </c>
      <c r="AF586" s="1">
        <v>1516881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5521356</v>
      </c>
      <c r="AM586" s="1">
        <v>0</v>
      </c>
      <c r="AN586" s="1">
        <v>0</v>
      </c>
      <c r="AO586" s="1">
        <v>47979224</v>
      </c>
      <c r="AP586" s="1">
        <v>16330846</v>
      </c>
      <c r="AQ586" s="1">
        <v>31648378</v>
      </c>
      <c r="AR586" s="1">
        <v>9292469</v>
      </c>
      <c r="AS586" s="1">
        <v>1393871</v>
      </c>
      <c r="AT586" s="1">
        <f t="shared" si="61"/>
        <v>58665564</v>
      </c>
    </row>
    <row r="587" spans="1:46" x14ac:dyDescent="0.2">
      <c r="A587" s="1" t="str">
        <f>"00671"</f>
        <v>00671</v>
      </c>
      <c r="B587" s="1" t="str">
        <f>"مهدي"</f>
        <v>مهدي</v>
      </c>
      <c r="C587" s="1" t="str">
        <f>"طاهري نيا"</f>
        <v>طاهري نيا</v>
      </c>
      <c r="D587" s="1" t="str">
        <f>"قراردادي کارگري"</f>
        <v>قراردادي کارگري</v>
      </c>
      <c r="E587" s="1" t="str">
        <f t="shared" si="62"/>
        <v>پروژه تعميرات نيروگاه بوشهر</v>
      </c>
      <c r="F587" s="1">
        <v>7890338</v>
      </c>
      <c r="G587" s="1">
        <v>0</v>
      </c>
      <c r="H587" s="1">
        <v>0</v>
      </c>
      <c r="I587" s="1">
        <v>5602140</v>
      </c>
      <c r="J587" s="1">
        <v>0</v>
      </c>
      <c r="K587" s="1">
        <v>0</v>
      </c>
      <c r="L587" s="1">
        <v>7628143</v>
      </c>
      <c r="M587" s="1">
        <v>1000000</v>
      </c>
      <c r="N587" s="1">
        <v>4208180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6302417</v>
      </c>
      <c r="W587" s="1">
        <v>1900000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1516881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36048099</v>
      </c>
      <c r="AP587" s="1">
        <v>3480276</v>
      </c>
      <c r="AQ587" s="1">
        <v>32567823</v>
      </c>
      <c r="AR587" s="1">
        <v>6906244</v>
      </c>
      <c r="AS587" s="1">
        <v>1035937</v>
      </c>
      <c r="AT587" s="1">
        <f t="shared" si="61"/>
        <v>43990280</v>
      </c>
    </row>
    <row r="588" spans="1:46" x14ac:dyDescent="0.2">
      <c r="A588" s="1" t="str">
        <f>"00672"</f>
        <v>00672</v>
      </c>
      <c r="B588" s="1" t="str">
        <f>"محسن"</f>
        <v>محسن</v>
      </c>
      <c r="C588" s="1" t="str">
        <f>"عباس پور بحراني"</f>
        <v>عباس پور بحراني</v>
      </c>
      <c r="D588" s="1" t="str">
        <f>"قراردادي بهره بردار"</f>
        <v>قراردادي بهره بردار</v>
      </c>
      <c r="E588" s="1" t="str">
        <f t="shared" si="62"/>
        <v>پروژه تعميرات نيروگاه بوشهر</v>
      </c>
      <c r="F588" s="1">
        <v>14464972</v>
      </c>
      <c r="G588" s="1">
        <v>0</v>
      </c>
      <c r="H588" s="1">
        <v>0</v>
      </c>
      <c r="I588" s="1">
        <v>12639329</v>
      </c>
      <c r="J588" s="1">
        <v>0</v>
      </c>
      <c r="K588" s="1">
        <v>3465000</v>
      </c>
      <c r="L588" s="1">
        <v>0</v>
      </c>
      <c r="M588" s="1">
        <v>1000000</v>
      </c>
      <c r="N588" s="1">
        <v>2781709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11843409</v>
      </c>
      <c r="W588" s="1">
        <v>1900000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1986935</v>
      </c>
      <c r="AF588" s="1">
        <v>0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8966399</v>
      </c>
      <c r="AM588" s="1">
        <v>0</v>
      </c>
      <c r="AN588" s="1">
        <v>0</v>
      </c>
      <c r="AO588" s="1">
        <v>59047753</v>
      </c>
      <c r="AP588" s="1">
        <v>11099214</v>
      </c>
      <c r="AQ588" s="1">
        <v>47948539</v>
      </c>
      <c r="AR588" s="1">
        <v>11809551</v>
      </c>
      <c r="AS588" s="1">
        <v>1771433</v>
      </c>
      <c r="AT588" s="1">
        <f t="shared" si="61"/>
        <v>72628737</v>
      </c>
    </row>
    <row r="589" spans="1:46" x14ac:dyDescent="0.2">
      <c r="A589" s="1" t="str">
        <f>"00673"</f>
        <v>00673</v>
      </c>
      <c r="B589" s="1" t="str">
        <f>"حسن"</f>
        <v>حسن</v>
      </c>
      <c r="C589" s="1" t="str">
        <f>"عبدالله زاده"</f>
        <v>عبدالله زاده</v>
      </c>
      <c r="D589" s="1" t="str">
        <f t="shared" ref="D589:D594" si="63">"قراردادي کارگري"</f>
        <v>قراردادي کارگري</v>
      </c>
      <c r="E589" s="1" t="str">
        <f t="shared" si="62"/>
        <v>پروژه تعميرات نيروگاه بوشهر</v>
      </c>
      <c r="F589" s="1">
        <v>8937095</v>
      </c>
      <c r="G589" s="1">
        <v>0</v>
      </c>
      <c r="H589" s="1">
        <v>0</v>
      </c>
      <c r="I589" s="1">
        <v>5451628</v>
      </c>
      <c r="J589" s="1">
        <v>0</v>
      </c>
      <c r="K589" s="1">
        <v>0</v>
      </c>
      <c r="L589" s="1">
        <v>7672721</v>
      </c>
      <c r="M589" s="1">
        <v>1000000</v>
      </c>
      <c r="N589" s="1">
        <v>4468547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6643498</v>
      </c>
      <c r="W589" s="1">
        <v>1900000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3033762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39107251</v>
      </c>
      <c r="AP589" s="1">
        <v>7119102</v>
      </c>
      <c r="AQ589" s="1">
        <v>31988149</v>
      </c>
      <c r="AR589" s="1">
        <v>7214698</v>
      </c>
      <c r="AS589" s="1">
        <v>1082205</v>
      </c>
      <c r="AT589" s="1">
        <f t="shared" si="61"/>
        <v>47404154</v>
      </c>
    </row>
    <row r="590" spans="1:46" x14ac:dyDescent="0.2">
      <c r="A590" s="1" t="str">
        <f>"00674"</f>
        <v>00674</v>
      </c>
      <c r="B590" s="1" t="str">
        <f>"علي"</f>
        <v>علي</v>
      </c>
      <c r="C590" s="1" t="str">
        <f>"عدالت پور"</f>
        <v>عدالت پور</v>
      </c>
      <c r="D590" s="1" t="str">
        <f t="shared" si="63"/>
        <v>قراردادي کارگري</v>
      </c>
      <c r="E590" s="1" t="str">
        <f t="shared" si="62"/>
        <v>پروژه تعميرات نيروگاه بوشهر</v>
      </c>
      <c r="F590" s="1">
        <v>6622758</v>
      </c>
      <c r="G590" s="1">
        <v>7638401</v>
      </c>
      <c r="H590" s="1">
        <v>0</v>
      </c>
      <c r="I590" s="1">
        <v>4967069</v>
      </c>
      <c r="J590" s="1">
        <v>0</v>
      </c>
      <c r="K590" s="1">
        <v>0</v>
      </c>
      <c r="L590" s="1">
        <v>7628143</v>
      </c>
      <c r="M590" s="1">
        <v>1000000</v>
      </c>
      <c r="N590" s="1">
        <v>3485663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8224095</v>
      </c>
      <c r="W590" s="1">
        <v>1900000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41466129</v>
      </c>
      <c r="AP590" s="1">
        <v>5563143</v>
      </c>
      <c r="AQ590" s="1">
        <v>35902986</v>
      </c>
      <c r="AR590" s="1">
        <v>8293226</v>
      </c>
      <c r="AS590" s="1">
        <v>1243984</v>
      </c>
      <c r="AT590" s="1">
        <f t="shared" si="61"/>
        <v>51003339</v>
      </c>
    </row>
    <row r="591" spans="1:46" x14ac:dyDescent="0.2">
      <c r="A591" s="1" t="str">
        <f>"00675"</f>
        <v>00675</v>
      </c>
      <c r="B591" s="1" t="str">
        <f>"قاسم"</f>
        <v>قاسم</v>
      </c>
      <c r="C591" s="1" t="str">
        <f>"علوي"</f>
        <v>علوي</v>
      </c>
      <c r="D591" s="1" t="str">
        <f t="shared" si="63"/>
        <v>قراردادي کارگري</v>
      </c>
      <c r="E591" s="1" t="str">
        <f t="shared" si="62"/>
        <v>پروژه تعميرات نيروگاه بوشهر</v>
      </c>
      <c r="F591" s="1">
        <v>6511452</v>
      </c>
      <c r="G591" s="1">
        <v>4317600</v>
      </c>
      <c r="H591" s="1">
        <v>0</v>
      </c>
      <c r="I591" s="1">
        <v>4883589</v>
      </c>
      <c r="J591" s="1">
        <v>0</v>
      </c>
      <c r="K591" s="1">
        <v>0</v>
      </c>
      <c r="L591" s="1">
        <v>7628143</v>
      </c>
      <c r="M591" s="1">
        <v>1000000</v>
      </c>
      <c r="N591" s="1">
        <v>3427079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8143018</v>
      </c>
      <c r="W591" s="1">
        <v>1900000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1516881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39327762</v>
      </c>
      <c r="AP591" s="1">
        <v>7918226</v>
      </c>
      <c r="AQ591" s="1">
        <v>31409536</v>
      </c>
      <c r="AR591" s="1">
        <v>7562176</v>
      </c>
      <c r="AS591" s="1">
        <v>1134326</v>
      </c>
      <c r="AT591" s="1">
        <f t="shared" si="61"/>
        <v>48024264</v>
      </c>
    </row>
    <row r="592" spans="1:46" x14ac:dyDescent="0.2">
      <c r="A592" s="1" t="str">
        <f>"00676"</f>
        <v>00676</v>
      </c>
      <c r="B592" s="1" t="str">
        <f>"ياسين"</f>
        <v>ياسين</v>
      </c>
      <c r="C592" s="1" t="str">
        <f>"علوي راد"</f>
        <v>علوي راد</v>
      </c>
      <c r="D592" s="1" t="str">
        <f t="shared" si="63"/>
        <v>قراردادي کارگري</v>
      </c>
      <c r="E592" s="1" t="str">
        <f t="shared" si="62"/>
        <v>پروژه تعميرات نيروگاه بوشهر</v>
      </c>
      <c r="F592" s="1">
        <v>6431064</v>
      </c>
      <c r="G592" s="1">
        <v>1499229</v>
      </c>
      <c r="H592" s="1">
        <v>0</v>
      </c>
      <c r="I592" s="1">
        <v>4823297</v>
      </c>
      <c r="J592" s="1">
        <v>0</v>
      </c>
      <c r="K592" s="1">
        <v>0</v>
      </c>
      <c r="L592" s="1">
        <v>7628143</v>
      </c>
      <c r="M592" s="1">
        <v>1000000</v>
      </c>
      <c r="N592" s="1">
        <v>3384770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8084461</v>
      </c>
      <c r="W592" s="1">
        <v>1900000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3340091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2741447</v>
      </c>
      <c r="AK592" s="1">
        <v>0</v>
      </c>
      <c r="AL592" s="1">
        <v>0</v>
      </c>
      <c r="AM592" s="1">
        <v>0</v>
      </c>
      <c r="AN592" s="1">
        <v>0</v>
      </c>
      <c r="AO592" s="1">
        <v>40832502</v>
      </c>
      <c r="AP592" s="1">
        <v>7509661</v>
      </c>
      <c r="AQ592" s="1">
        <v>33322841</v>
      </c>
      <c r="AR592" s="1">
        <v>8166500</v>
      </c>
      <c r="AS592" s="1">
        <v>1224975</v>
      </c>
      <c r="AT592" s="1">
        <f t="shared" si="61"/>
        <v>50223977</v>
      </c>
    </row>
    <row r="593" spans="1:46" x14ac:dyDescent="0.2">
      <c r="A593" s="1" t="str">
        <f>"00677"</f>
        <v>00677</v>
      </c>
      <c r="B593" s="1" t="str">
        <f>"رضا"</f>
        <v>رضا</v>
      </c>
      <c r="C593" s="1" t="str">
        <f>"ابراهيمي"</f>
        <v>ابراهيمي</v>
      </c>
      <c r="D593" s="1" t="str">
        <f t="shared" si="63"/>
        <v>قراردادي کارگري</v>
      </c>
      <c r="E593" s="1" t="str">
        <f t="shared" si="62"/>
        <v>پروژه تعميرات نيروگاه بوشهر</v>
      </c>
      <c r="F593" s="1">
        <v>9044521</v>
      </c>
      <c r="G593" s="1">
        <v>0</v>
      </c>
      <c r="H593" s="1">
        <v>0</v>
      </c>
      <c r="I593" s="1">
        <v>7416507</v>
      </c>
      <c r="J593" s="1">
        <v>0</v>
      </c>
      <c r="K593" s="1">
        <v>0</v>
      </c>
      <c r="L593" s="1">
        <v>7462913</v>
      </c>
      <c r="M593" s="1">
        <v>1000000</v>
      </c>
      <c r="N593" s="1">
        <v>4791800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10147970</v>
      </c>
      <c r="W593" s="1">
        <v>1900000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41763711</v>
      </c>
      <c r="AP593" s="1">
        <v>5343754</v>
      </c>
      <c r="AQ593" s="1">
        <v>36419957</v>
      </c>
      <c r="AR593" s="1">
        <v>8352742</v>
      </c>
      <c r="AS593" s="1">
        <v>1252911</v>
      </c>
      <c r="AT593" s="1">
        <f t="shared" si="61"/>
        <v>51369364</v>
      </c>
    </row>
    <row r="594" spans="1:46" x14ac:dyDescent="0.2">
      <c r="A594" s="1" t="str">
        <f>"00680"</f>
        <v>00680</v>
      </c>
      <c r="B594" s="1" t="str">
        <f>"سجاد"</f>
        <v>سجاد</v>
      </c>
      <c r="C594" s="1" t="str">
        <f>"ارمي"</f>
        <v>ارمي</v>
      </c>
      <c r="D594" s="1" t="str">
        <f t="shared" si="63"/>
        <v>قراردادي کارگري</v>
      </c>
      <c r="E594" s="1" t="str">
        <f t="shared" si="62"/>
        <v>پروژه تعميرات نيروگاه بوشهر</v>
      </c>
      <c r="F594" s="1">
        <v>6882474</v>
      </c>
      <c r="G594" s="1">
        <v>2173360</v>
      </c>
      <c r="H594" s="1">
        <v>0</v>
      </c>
      <c r="I594" s="1">
        <v>4473608</v>
      </c>
      <c r="J594" s="1">
        <v>0</v>
      </c>
      <c r="K594" s="1">
        <v>0</v>
      </c>
      <c r="L594" s="1">
        <v>7628143</v>
      </c>
      <c r="M594" s="1">
        <v>1000000</v>
      </c>
      <c r="N594" s="1">
        <v>3622354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8193040</v>
      </c>
      <c r="W594" s="1">
        <v>1900000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3390987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2781901</v>
      </c>
      <c r="AK594" s="1">
        <v>0</v>
      </c>
      <c r="AL594" s="1">
        <v>0</v>
      </c>
      <c r="AM594" s="1">
        <v>0</v>
      </c>
      <c r="AN594" s="1">
        <v>0</v>
      </c>
      <c r="AO594" s="1">
        <v>42045867</v>
      </c>
      <c r="AP594" s="1">
        <v>10615366</v>
      </c>
      <c r="AQ594" s="1">
        <v>31430501</v>
      </c>
      <c r="AR594" s="1">
        <v>8409173</v>
      </c>
      <c r="AS594" s="1">
        <v>1261376</v>
      </c>
      <c r="AT594" s="1">
        <f t="shared" si="61"/>
        <v>51716416</v>
      </c>
    </row>
    <row r="595" spans="1:46" x14ac:dyDescent="0.2">
      <c r="A595" s="1" t="str">
        <f>"00681"</f>
        <v>00681</v>
      </c>
      <c r="B595" s="1" t="str">
        <f>"علي"</f>
        <v>علي</v>
      </c>
      <c r="C595" s="1" t="str">
        <f>"اسمعيلي"</f>
        <v>اسمعيلي</v>
      </c>
      <c r="D595" s="1" t="str">
        <f>"قراردادي بهره بردار"</f>
        <v>قراردادي بهره بردار</v>
      </c>
      <c r="E595" s="1" t="str">
        <f>"پروژه بهره برداري نيروگاه بوشهر"</f>
        <v>پروژه بهره برداري نيروگاه بوشهر</v>
      </c>
      <c r="F595" s="1">
        <v>17713002</v>
      </c>
      <c r="G595" s="1">
        <v>1726054</v>
      </c>
      <c r="H595" s="1">
        <v>0</v>
      </c>
      <c r="I595" s="1">
        <v>10296865</v>
      </c>
      <c r="J595" s="1">
        <v>0</v>
      </c>
      <c r="K595" s="1">
        <v>4620000</v>
      </c>
      <c r="L595" s="1">
        <v>0</v>
      </c>
      <c r="M595" s="1">
        <v>1000000</v>
      </c>
      <c r="N595" s="1">
        <v>4175372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4146142</v>
      </c>
      <c r="W595" s="1">
        <v>1900000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2982411</v>
      </c>
      <c r="AF595" s="1">
        <v>1516881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6293751</v>
      </c>
      <c r="AM595" s="1">
        <v>0</v>
      </c>
      <c r="AN595" s="1">
        <v>0</v>
      </c>
      <c r="AO595" s="1">
        <v>56370478</v>
      </c>
      <c r="AP595" s="1">
        <v>18620184</v>
      </c>
      <c r="AQ595" s="1">
        <v>37750294</v>
      </c>
      <c r="AR595" s="1">
        <v>10970720</v>
      </c>
      <c r="AS595" s="1">
        <v>1645609</v>
      </c>
      <c r="AT595" s="1">
        <f t="shared" si="61"/>
        <v>68986807</v>
      </c>
    </row>
    <row r="596" spans="1:46" x14ac:dyDescent="0.2">
      <c r="A596" s="1" t="str">
        <f>"00682"</f>
        <v>00682</v>
      </c>
      <c r="B596" s="1" t="str">
        <f>"محمد"</f>
        <v>محمد</v>
      </c>
      <c r="C596" s="1" t="str">
        <f>"افتخار"</f>
        <v>افتخار</v>
      </c>
      <c r="D596" s="1" t="str">
        <f t="shared" ref="D596:D609" si="64">"قراردادي کارگري"</f>
        <v>قراردادي کارگري</v>
      </c>
      <c r="E596" s="1" t="str">
        <f t="shared" ref="E596:E609" si="65">"پروژه تعميرات نيروگاه بوشهر"</f>
        <v>پروژه تعميرات نيروگاه بوشهر</v>
      </c>
      <c r="F596" s="1">
        <v>7865685</v>
      </c>
      <c r="G596" s="1">
        <v>9578598</v>
      </c>
      <c r="H596" s="1">
        <v>0</v>
      </c>
      <c r="I596" s="1">
        <v>5348666</v>
      </c>
      <c r="J596" s="1">
        <v>0</v>
      </c>
      <c r="K596" s="1">
        <v>0</v>
      </c>
      <c r="L596" s="1">
        <v>7628143</v>
      </c>
      <c r="M596" s="1">
        <v>1000000</v>
      </c>
      <c r="N596" s="1">
        <v>4139834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8953278</v>
      </c>
      <c r="W596" s="1">
        <v>1900000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1516881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47931085</v>
      </c>
      <c r="AP596" s="1">
        <v>11609270</v>
      </c>
      <c r="AQ596" s="1">
        <v>36321815</v>
      </c>
      <c r="AR596" s="1">
        <v>9282841</v>
      </c>
      <c r="AS596" s="1">
        <v>1392426</v>
      </c>
      <c r="AT596" s="1">
        <f t="shared" si="61"/>
        <v>58606352</v>
      </c>
    </row>
    <row r="597" spans="1:46" x14ac:dyDescent="0.2">
      <c r="A597" s="1" t="str">
        <f>"00684"</f>
        <v>00684</v>
      </c>
      <c r="B597" s="1" t="str">
        <f>"مسعود"</f>
        <v>مسعود</v>
      </c>
      <c r="C597" s="1" t="str">
        <f>"اميني"</f>
        <v>اميني</v>
      </c>
      <c r="D597" s="1" t="str">
        <f t="shared" si="64"/>
        <v>قراردادي کارگري</v>
      </c>
      <c r="E597" s="1" t="str">
        <f t="shared" si="65"/>
        <v>پروژه تعميرات نيروگاه بوشهر</v>
      </c>
      <c r="F597" s="1">
        <v>8441117</v>
      </c>
      <c r="G597" s="1">
        <v>6875583</v>
      </c>
      <c r="H597" s="1">
        <v>0</v>
      </c>
      <c r="I597" s="1">
        <v>6837305</v>
      </c>
      <c r="J597" s="1">
        <v>0</v>
      </c>
      <c r="K597" s="1">
        <v>0</v>
      </c>
      <c r="L597" s="1">
        <v>7628143</v>
      </c>
      <c r="M597" s="1">
        <v>1000000</v>
      </c>
      <c r="N597" s="1">
        <v>4501927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3040516</v>
      </c>
      <c r="W597" s="1">
        <v>1900000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1516881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41741472</v>
      </c>
      <c r="AP597" s="1">
        <v>7792993</v>
      </c>
      <c r="AQ597" s="1">
        <v>33948479</v>
      </c>
      <c r="AR597" s="1">
        <v>8044918</v>
      </c>
      <c r="AS597" s="1">
        <v>1206738</v>
      </c>
      <c r="AT597" s="1">
        <f t="shared" si="61"/>
        <v>50993128</v>
      </c>
    </row>
    <row r="598" spans="1:46" x14ac:dyDescent="0.2">
      <c r="A598" s="1" t="str">
        <f>"00685"</f>
        <v>00685</v>
      </c>
      <c r="B598" s="1" t="str">
        <f>"مهران"</f>
        <v>مهران</v>
      </c>
      <c r="C598" s="1" t="str">
        <f>"اميني"</f>
        <v>اميني</v>
      </c>
      <c r="D598" s="1" t="str">
        <f t="shared" si="64"/>
        <v>قراردادي کارگري</v>
      </c>
      <c r="E598" s="1" t="str">
        <f t="shared" si="65"/>
        <v>پروژه تعميرات نيروگاه بوشهر</v>
      </c>
      <c r="F598" s="1">
        <v>10393712</v>
      </c>
      <c r="G598" s="1">
        <v>0</v>
      </c>
      <c r="H598" s="1">
        <v>0</v>
      </c>
      <c r="I598" s="1">
        <v>8626781</v>
      </c>
      <c r="J598" s="1">
        <v>0</v>
      </c>
      <c r="K598" s="1">
        <v>0</v>
      </c>
      <c r="L598" s="1">
        <v>7462913</v>
      </c>
      <c r="M598" s="1">
        <v>1000000</v>
      </c>
      <c r="N598" s="1">
        <v>5543313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12083068</v>
      </c>
      <c r="W598" s="1">
        <v>1900000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1516881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48526668</v>
      </c>
      <c r="AP598" s="1">
        <v>7311883</v>
      </c>
      <c r="AQ598" s="1">
        <v>41214785</v>
      </c>
      <c r="AR598" s="1">
        <v>9401957</v>
      </c>
      <c r="AS598" s="1">
        <v>1410294</v>
      </c>
      <c r="AT598" s="1">
        <f t="shared" si="61"/>
        <v>59338919</v>
      </c>
    </row>
    <row r="599" spans="1:46" x14ac:dyDescent="0.2">
      <c r="A599" s="1" t="str">
        <f>"00686"</f>
        <v>00686</v>
      </c>
      <c r="B599" s="1" t="str">
        <f>"مهدي"</f>
        <v>مهدي</v>
      </c>
      <c r="C599" s="1" t="str">
        <f>"باغباني"</f>
        <v>باغباني</v>
      </c>
      <c r="D599" s="1" t="str">
        <f t="shared" si="64"/>
        <v>قراردادي کارگري</v>
      </c>
      <c r="E599" s="1" t="str">
        <f t="shared" si="65"/>
        <v>پروژه تعميرات نيروگاه بوشهر</v>
      </c>
      <c r="F599" s="1">
        <v>8512779</v>
      </c>
      <c r="G599" s="1">
        <v>0</v>
      </c>
      <c r="H599" s="1">
        <v>0</v>
      </c>
      <c r="I599" s="1">
        <v>5873817</v>
      </c>
      <c r="J599" s="1">
        <v>0</v>
      </c>
      <c r="K599" s="1">
        <v>0</v>
      </c>
      <c r="L599" s="1">
        <v>7628143</v>
      </c>
      <c r="M599" s="1">
        <v>1000000</v>
      </c>
      <c r="N599" s="1">
        <v>4540149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10195286</v>
      </c>
      <c r="W599" s="1">
        <v>1900000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3033762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42683936</v>
      </c>
      <c r="AP599" s="1">
        <v>5752148</v>
      </c>
      <c r="AQ599" s="1">
        <v>36931788</v>
      </c>
      <c r="AR599" s="1">
        <v>7930035</v>
      </c>
      <c r="AS599" s="1">
        <v>1189505</v>
      </c>
      <c r="AT599" s="1">
        <f t="shared" si="61"/>
        <v>51803476</v>
      </c>
    </row>
    <row r="600" spans="1:46" x14ac:dyDescent="0.2">
      <c r="A600" s="1" t="str">
        <f>"00687"</f>
        <v>00687</v>
      </c>
      <c r="B600" s="1" t="str">
        <f>"احسان"</f>
        <v>احسان</v>
      </c>
      <c r="C600" s="1" t="str">
        <f>"بختياري فرد"</f>
        <v>بختياري فرد</v>
      </c>
      <c r="D600" s="1" t="str">
        <f t="shared" si="64"/>
        <v>قراردادي کارگري</v>
      </c>
      <c r="E600" s="1" t="str">
        <f t="shared" si="65"/>
        <v>پروژه تعميرات نيروگاه بوشهر</v>
      </c>
      <c r="F600" s="1">
        <v>8772250</v>
      </c>
      <c r="G600" s="1">
        <v>242553</v>
      </c>
      <c r="H600" s="1">
        <v>0</v>
      </c>
      <c r="I600" s="1">
        <v>6316021</v>
      </c>
      <c r="J600" s="1">
        <v>0</v>
      </c>
      <c r="K600" s="1">
        <v>0</v>
      </c>
      <c r="L600" s="1">
        <v>7649483</v>
      </c>
      <c r="M600" s="1">
        <v>1000000</v>
      </c>
      <c r="N600" s="1">
        <v>4647550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6987853</v>
      </c>
      <c r="W600" s="1">
        <v>1900000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3033762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40549472</v>
      </c>
      <c r="AP600" s="1">
        <v>4581023</v>
      </c>
      <c r="AQ600" s="1">
        <v>35968449</v>
      </c>
      <c r="AR600" s="1">
        <v>7503142</v>
      </c>
      <c r="AS600" s="1">
        <v>1125471</v>
      </c>
      <c r="AT600" s="1">
        <f t="shared" si="61"/>
        <v>49178085</v>
      </c>
    </row>
    <row r="601" spans="1:46" x14ac:dyDescent="0.2">
      <c r="A601" s="1" t="str">
        <f>"00688"</f>
        <v>00688</v>
      </c>
      <c r="B601" s="1" t="str">
        <f>"محمد"</f>
        <v>محمد</v>
      </c>
      <c r="C601" s="1" t="str">
        <f>"برگهي"</f>
        <v>برگهي</v>
      </c>
      <c r="D601" s="1" t="str">
        <f t="shared" si="64"/>
        <v>قراردادي کارگري</v>
      </c>
      <c r="E601" s="1" t="str">
        <f t="shared" si="65"/>
        <v>پروژه تعميرات نيروگاه بوشهر</v>
      </c>
      <c r="F601" s="1">
        <v>6393961</v>
      </c>
      <c r="G601" s="1">
        <v>3882300</v>
      </c>
      <c r="H601" s="1">
        <v>0</v>
      </c>
      <c r="I601" s="1">
        <v>4539712</v>
      </c>
      <c r="J601" s="1">
        <v>0</v>
      </c>
      <c r="K601" s="1">
        <v>0</v>
      </c>
      <c r="L601" s="1">
        <v>7657636</v>
      </c>
      <c r="M601" s="1">
        <v>1000000</v>
      </c>
      <c r="N601" s="1">
        <v>3365242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8608860</v>
      </c>
      <c r="W601" s="1">
        <v>1900000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3293483</v>
      </c>
      <c r="AE601" s="1">
        <v>0</v>
      </c>
      <c r="AF601" s="1">
        <v>3033762</v>
      </c>
      <c r="AG601" s="1">
        <v>0</v>
      </c>
      <c r="AH601" s="1">
        <v>0</v>
      </c>
      <c r="AI601" s="1">
        <v>0</v>
      </c>
      <c r="AJ601" s="1">
        <v>2760747</v>
      </c>
      <c r="AK601" s="1">
        <v>0</v>
      </c>
      <c r="AL601" s="1">
        <v>0</v>
      </c>
      <c r="AM601" s="1">
        <v>0</v>
      </c>
      <c r="AN601" s="1">
        <v>0</v>
      </c>
      <c r="AO601" s="1">
        <v>46435703</v>
      </c>
      <c r="AP601" s="1">
        <v>13935986</v>
      </c>
      <c r="AQ601" s="1">
        <v>32499717</v>
      </c>
      <c r="AR601" s="1">
        <v>8680388</v>
      </c>
      <c r="AS601" s="1">
        <v>1302058</v>
      </c>
      <c r="AT601" s="1">
        <f t="shared" si="61"/>
        <v>56418149</v>
      </c>
    </row>
    <row r="602" spans="1:46" x14ac:dyDescent="0.2">
      <c r="A602" s="1" t="str">
        <f>"00689"</f>
        <v>00689</v>
      </c>
      <c r="B602" s="1" t="str">
        <f>"فرشيد"</f>
        <v>فرشيد</v>
      </c>
      <c r="C602" s="1" t="str">
        <f>"بوشهريان"</f>
        <v>بوشهريان</v>
      </c>
      <c r="D602" s="1" t="str">
        <f t="shared" si="64"/>
        <v>قراردادي کارگري</v>
      </c>
      <c r="E602" s="1" t="str">
        <f t="shared" si="65"/>
        <v>پروژه تعميرات نيروگاه بوشهر</v>
      </c>
      <c r="F602" s="1">
        <v>7463175</v>
      </c>
      <c r="G602" s="1">
        <v>6110185</v>
      </c>
      <c r="H602" s="1">
        <v>0</v>
      </c>
      <c r="I602" s="1">
        <v>4701800</v>
      </c>
      <c r="J602" s="1">
        <v>0</v>
      </c>
      <c r="K602" s="1">
        <v>0</v>
      </c>
      <c r="L602" s="1">
        <v>7672721</v>
      </c>
      <c r="M602" s="1">
        <v>1000000</v>
      </c>
      <c r="N602" s="1">
        <v>3731588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8501103</v>
      </c>
      <c r="W602" s="1">
        <v>1900000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4550643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45631215</v>
      </c>
      <c r="AP602" s="1">
        <v>7217863</v>
      </c>
      <c r="AQ602" s="1">
        <v>38413352</v>
      </c>
      <c r="AR602" s="1">
        <v>8216114</v>
      </c>
      <c r="AS602" s="1">
        <v>1232417</v>
      </c>
      <c r="AT602" s="1">
        <f t="shared" si="61"/>
        <v>55079746</v>
      </c>
    </row>
    <row r="603" spans="1:46" x14ac:dyDescent="0.2">
      <c r="A603" s="1" t="str">
        <f>"00690"</f>
        <v>00690</v>
      </c>
      <c r="B603" s="1" t="str">
        <f>"بهروز"</f>
        <v>بهروز</v>
      </c>
      <c r="C603" s="1" t="str">
        <f>"پرويز"</f>
        <v>پرويز</v>
      </c>
      <c r="D603" s="1" t="str">
        <f t="shared" si="64"/>
        <v>قراردادي کارگري</v>
      </c>
      <c r="E603" s="1" t="str">
        <f t="shared" si="65"/>
        <v>پروژه تعميرات نيروگاه بوشهر</v>
      </c>
      <c r="F603" s="1">
        <v>6647493</v>
      </c>
      <c r="G603" s="1">
        <v>1918726</v>
      </c>
      <c r="H603" s="1">
        <v>0</v>
      </c>
      <c r="I603" s="1">
        <v>4387345</v>
      </c>
      <c r="J603" s="1">
        <v>0</v>
      </c>
      <c r="K603" s="1">
        <v>0</v>
      </c>
      <c r="L603" s="1">
        <v>7628143</v>
      </c>
      <c r="M603" s="1">
        <v>1000000</v>
      </c>
      <c r="N603" s="1">
        <v>3498682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8050665</v>
      </c>
      <c r="W603" s="1">
        <v>1900000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35031054</v>
      </c>
      <c r="AP603" s="1">
        <v>3609262</v>
      </c>
      <c r="AQ603" s="1">
        <v>31421792</v>
      </c>
      <c r="AR603" s="1">
        <v>7006211</v>
      </c>
      <c r="AS603" s="1">
        <v>1050932</v>
      </c>
      <c r="AT603" s="1">
        <f t="shared" si="61"/>
        <v>43088197</v>
      </c>
    </row>
    <row r="604" spans="1:46" x14ac:dyDescent="0.2">
      <c r="A604" s="1" t="str">
        <f>"00691"</f>
        <v>00691</v>
      </c>
      <c r="B604" s="1" t="str">
        <f>"محمود"</f>
        <v>محمود</v>
      </c>
      <c r="C604" s="1" t="str">
        <f>"تمجيدي"</f>
        <v>تمجيدي</v>
      </c>
      <c r="D604" s="1" t="str">
        <f t="shared" si="64"/>
        <v>قراردادي کارگري</v>
      </c>
      <c r="E604" s="1" t="str">
        <f t="shared" si="65"/>
        <v>پروژه تعميرات نيروگاه بوشهر</v>
      </c>
      <c r="F604" s="1">
        <v>8187238</v>
      </c>
      <c r="G604" s="1">
        <v>2771023</v>
      </c>
      <c r="H604" s="1">
        <v>0</v>
      </c>
      <c r="I604" s="1">
        <v>5649194</v>
      </c>
      <c r="J604" s="1">
        <v>0</v>
      </c>
      <c r="K604" s="1">
        <v>0</v>
      </c>
      <c r="L604" s="1">
        <v>7628143</v>
      </c>
      <c r="M604" s="1">
        <v>1000000</v>
      </c>
      <c r="N604" s="1">
        <v>4309072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9925759</v>
      </c>
      <c r="W604" s="1">
        <v>1900000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3033762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44404191</v>
      </c>
      <c r="AP604" s="1">
        <v>5669556</v>
      </c>
      <c r="AQ604" s="1">
        <v>38734635</v>
      </c>
      <c r="AR604" s="1">
        <v>8274086</v>
      </c>
      <c r="AS604" s="1">
        <v>1241113</v>
      </c>
      <c r="AT604" s="1">
        <f t="shared" si="61"/>
        <v>53919390</v>
      </c>
    </row>
    <row r="605" spans="1:46" x14ac:dyDescent="0.2">
      <c r="A605" s="1" t="str">
        <f>"00692"</f>
        <v>00692</v>
      </c>
      <c r="B605" s="1" t="str">
        <f>"محمد"</f>
        <v>محمد</v>
      </c>
      <c r="C605" s="1" t="str">
        <f>"تيموري"</f>
        <v>تيموري</v>
      </c>
      <c r="D605" s="1" t="str">
        <f t="shared" si="64"/>
        <v>قراردادي کارگري</v>
      </c>
      <c r="E605" s="1" t="str">
        <f t="shared" si="65"/>
        <v>پروژه تعميرات نيروگاه بوشهر</v>
      </c>
      <c r="F605" s="1">
        <v>9427479</v>
      </c>
      <c r="G605" s="1">
        <v>3122792</v>
      </c>
      <c r="H605" s="1">
        <v>0</v>
      </c>
      <c r="I605" s="1">
        <v>7636259</v>
      </c>
      <c r="J605" s="1">
        <v>0</v>
      </c>
      <c r="K605" s="1">
        <v>0</v>
      </c>
      <c r="L605" s="1">
        <v>7462913</v>
      </c>
      <c r="M605" s="1">
        <v>1000000</v>
      </c>
      <c r="N605" s="1">
        <v>5027988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7324045</v>
      </c>
      <c r="W605" s="1">
        <v>1900000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3033762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45935238</v>
      </c>
      <c r="AP605" s="1">
        <v>15257263</v>
      </c>
      <c r="AQ605" s="1">
        <v>30677975</v>
      </c>
      <c r="AR605" s="1">
        <v>8580295</v>
      </c>
      <c r="AS605" s="1">
        <v>1287044</v>
      </c>
      <c r="AT605" s="1">
        <f t="shared" si="61"/>
        <v>55802577</v>
      </c>
    </row>
    <row r="606" spans="1:46" x14ac:dyDescent="0.2">
      <c r="A606" s="1" t="str">
        <f>"00693"</f>
        <v>00693</v>
      </c>
      <c r="B606" s="1" t="str">
        <f>"قاسم"</f>
        <v>قاسم</v>
      </c>
      <c r="C606" s="1" t="str">
        <f>"جالبوتي"</f>
        <v>جالبوتي</v>
      </c>
      <c r="D606" s="1" t="str">
        <f t="shared" si="64"/>
        <v>قراردادي کارگري</v>
      </c>
      <c r="E606" s="1" t="str">
        <f t="shared" si="65"/>
        <v>پروژه تعميرات نيروگاه بوشهر</v>
      </c>
      <c r="F606" s="1">
        <v>7290600</v>
      </c>
      <c r="G606" s="1">
        <v>3997147</v>
      </c>
      <c r="H606" s="1">
        <v>0</v>
      </c>
      <c r="I606" s="1">
        <v>5249232</v>
      </c>
      <c r="J606" s="1">
        <v>0</v>
      </c>
      <c r="K606" s="1">
        <v>0</v>
      </c>
      <c r="L606" s="1">
        <v>7628143</v>
      </c>
      <c r="M606" s="1">
        <v>1000000</v>
      </c>
      <c r="N606" s="1">
        <v>3837157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9315621</v>
      </c>
      <c r="W606" s="1">
        <v>1900000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3033762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43251662</v>
      </c>
      <c r="AP606" s="1">
        <v>12883332</v>
      </c>
      <c r="AQ606" s="1">
        <v>30368330</v>
      </c>
      <c r="AR606" s="1">
        <v>8043580</v>
      </c>
      <c r="AS606" s="1">
        <v>1206537</v>
      </c>
      <c r="AT606" s="1">
        <f t="shared" si="61"/>
        <v>52501779</v>
      </c>
    </row>
    <row r="607" spans="1:46" x14ac:dyDescent="0.2">
      <c r="A607" s="1" t="str">
        <f>"00695"</f>
        <v>00695</v>
      </c>
      <c r="B607" s="1" t="str">
        <f>"جليل"</f>
        <v>جليل</v>
      </c>
      <c r="C607" s="1" t="str">
        <f>"جمالي"</f>
        <v>جمالي</v>
      </c>
      <c r="D607" s="1" t="str">
        <f t="shared" si="64"/>
        <v>قراردادي کارگري</v>
      </c>
      <c r="E607" s="1" t="str">
        <f t="shared" si="65"/>
        <v>پروژه تعميرات نيروگاه بوشهر</v>
      </c>
      <c r="F607" s="1">
        <v>9118823</v>
      </c>
      <c r="G607" s="1">
        <v>0</v>
      </c>
      <c r="H607" s="1">
        <v>0</v>
      </c>
      <c r="I607" s="1">
        <v>7295057</v>
      </c>
      <c r="J607" s="1">
        <v>0</v>
      </c>
      <c r="K607" s="1">
        <v>0</v>
      </c>
      <c r="L607" s="1">
        <v>7462913</v>
      </c>
      <c r="M607" s="1">
        <v>1000000</v>
      </c>
      <c r="N607" s="1">
        <v>4863373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6982103</v>
      </c>
      <c r="W607" s="1">
        <v>1900000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1516881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40139150</v>
      </c>
      <c r="AP607" s="1">
        <v>3547118</v>
      </c>
      <c r="AQ607" s="1">
        <v>36592032</v>
      </c>
      <c r="AR607" s="1">
        <v>7724454</v>
      </c>
      <c r="AS607" s="1">
        <v>1158668</v>
      </c>
      <c r="AT607" s="1">
        <f t="shared" si="61"/>
        <v>49022272</v>
      </c>
    </row>
    <row r="608" spans="1:46" x14ac:dyDescent="0.2">
      <c r="A608" s="1" t="str">
        <f>"00697"</f>
        <v>00697</v>
      </c>
      <c r="B608" s="1" t="str">
        <f>"افضل"</f>
        <v>افضل</v>
      </c>
      <c r="C608" s="1" t="str">
        <f>"حسن پور"</f>
        <v>حسن پور</v>
      </c>
      <c r="D608" s="1" t="str">
        <f t="shared" si="64"/>
        <v>قراردادي کارگري</v>
      </c>
      <c r="E608" s="1" t="str">
        <f t="shared" si="65"/>
        <v>پروژه تعميرات نيروگاه بوشهر</v>
      </c>
      <c r="F608" s="1">
        <v>9004753</v>
      </c>
      <c r="G608" s="1">
        <v>8087898</v>
      </c>
      <c r="H608" s="1">
        <v>0</v>
      </c>
      <c r="I608" s="1">
        <v>7293849</v>
      </c>
      <c r="J608" s="1">
        <v>0</v>
      </c>
      <c r="K608" s="1">
        <v>0</v>
      </c>
      <c r="L608" s="1">
        <v>7462913</v>
      </c>
      <c r="M608" s="1">
        <v>1000000</v>
      </c>
      <c r="N608" s="1">
        <v>4802537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13886716</v>
      </c>
      <c r="W608" s="1">
        <v>1900000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3033762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56472428</v>
      </c>
      <c r="AP608" s="1">
        <v>7504843</v>
      </c>
      <c r="AQ608" s="1">
        <v>48967585</v>
      </c>
      <c r="AR608" s="1">
        <v>10687733</v>
      </c>
      <c r="AS608" s="1">
        <v>1603160</v>
      </c>
      <c r="AT608" s="1">
        <f t="shared" si="61"/>
        <v>68763321</v>
      </c>
    </row>
    <row r="609" spans="1:46" x14ac:dyDescent="0.2">
      <c r="A609" s="1" t="str">
        <f>"00698"</f>
        <v>00698</v>
      </c>
      <c r="B609" s="1" t="str">
        <f>"سيدعلي"</f>
        <v>سيدعلي</v>
      </c>
      <c r="C609" s="1" t="str">
        <f>"حسيني ملائي"</f>
        <v>حسيني ملائي</v>
      </c>
      <c r="D609" s="1" t="str">
        <f t="shared" si="64"/>
        <v>قراردادي کارگري</v>
      </c>
      <c r="E609" s="1" t="str">
        <f t="shared" si="65"/>
        <v>پروژه تعميرات نيروگاه بوشهر</v>
      </c>
      <c r="F609" s="1">
        <v>9925838</v>
      </c>
      <c r="G609" s="1">
        <v>17964637</v>
      </c>
      <c r="H609" s="1">
        <v>0</v>
      </c>
      <c r="I609" s="1">
        <v>7146604</v>
      </c>
      <c r="J609" s="1">
        <v>0</v>
      </c>
      <c r="K609" s="1">
        <v>0</v>
      </c>
      <c r="L609" s="1">
        <v>7628143</v>
      </c>
      <c r="M609" s="1">
        <v>1000000</v>
      </c>
      <c r="N609" s="1">
        <v>5090173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11012710</v>
      </c>
      <c r="W609" s="1">
        <v>1900000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1627293</v>
      </c>
      <c r="AD609" s="1">
        <v>0</v>
      </c>
      <c r="AE609" s="1">
        <v>0</v>
      </c>
      <c r="AF609" s="1">
        <v>3033762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66329160</v>
      </c>
      <c r="AP609" s="1">
        <v>17846026</v>
      </c>
      <c r="AQ609" s="1">
        <v>48483134</v>
      </c>
      <c r="AR609" s="1">
        <v>12659080</v>
      </c>
      <c r="AS609" s="1">
        <v>1898862</v>
      </c>
      <c r="AT609" s="1">
        <f t="shared" si="61"/>
        <v>80887102</v>
      </c>
    </row>
    <row r="610" spans="1:46" x14ac:dyDescent="0.2">
      <c r="A610" s="1" t="str">
        <f>"00699"</f>
        <v>00699</v>
      </c>
      <c r="B610" s="1" t="str">
        <f>"حسن"</f>
        <v>حسن</v>
      </c>
      <c r="C610" s="1" t="str">
        <f>"حيدريان"</f>
        <v>حيدريان</v>
      </c>
      <c r="D610" s="1" t="str">
        <f>"قراردادي بهره بردار"</f>
        <v>قراردادي بهره بردار</v>
      </c>
      <c r="E610" s="1" t="str">
        <f>"پروژه بهره برداري نيروگاه بوشهر"</f>
        <v>پروژه بهره برداري نيروگاه بوشهر</v>
      </c>
      <c r="F610" s="1">
        <v>15450942</v>
      </c>
      <c r="G610" s="1">
        <v>14069048</v>
      </c>
      <c r="H610" s="1">
        <v>0</v>
      </c>
      <c r="I610" s="1">
        <v>12829698</v>
      </c>
      <c r="J610" s="1">
        <v>0</v>
      </c>
      <c r="K610" s="1">
        <v>4620000</v>
      </c>
      <c r="L610" s="1">
        <v>0</v>
      </c>
      <c r="M610" s="1">
        <v>1000000</v>
      </c>
      <c r="N610" s="1">
        <v>3133421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30083170</v>
      </c>
      <c r="W610" s="1">
        <v>1900000</v>
      </c>
      <c r="X610" s="1">
        <v>2242551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2238153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12841593</v>
      </c>
      <c r="AM610" s="1">
        <v>0</v>
      </c>
      <c r="AN610" s="1">
        <v>0</v>
      </c>
      <c r="AO610" s="1">
        <v>100408576</v>
      </c>
      <c r="AP610" s="1">
        <v>20216728</v>
      </c>
      <c r="AQ610" s="1">
        <v>80191848</v>
      </c>
      <c r="AR610" s="1">
        <v>20081716</v>
      </c>
      <c r="AS610" s="1">
        <v>3012259</v>
      </c>
      <c r="AT610" s="1">
        <f t="shared" si="61"/>
        <v>123502551</v>
      </c>
    </row>
    <row r="611" spans="1:46" x14ac:dyDescent="0.2">
      <c r="A611" s="1" t="str">
        <f>"00700"</f>
        <v>00700</v>
      </c>
      <c r="B611" s="1" t="str">
        <f>"مصطفي"</f>
        <v>مصطفي</v>
      </c>
      <c r="C611" s="1" t="str">
        <f>"خاتومه"</f>
        <v>خاتومه</v>
      </c>
      <c r="D611" s="1" t="str">
        <f>"قراردادي کارگري"</f>
        <v>قراردادي کارگري</v>
      </c>
      <c r="E611" s="1" t="str">
        <f t="shared" ref="E611:E620" si="66">"پروژه تعميرات نيروگاه بوشهر"</f>
        <v>پروژه تعميرات نيروگاه بوشهر</v>
      </c>
      <c r="F611" s="1">
        <v>6517635</v>
      </c>
      <c r="G611" s="1">
        <v>4150673</v>
      </c>
      <c r="H611" s="1">
        <v>0</v>
      </c>
      <c r="I611" s="1">
        <v>3975757</v>
      </c>
      <c r="J611" s="1">
        <v>0</v>
      </c>
      <c r="K611" s="1">
        <v>0</v>
      </c>
      <c r="L611" s="1">
        <v>7630478</v>
      </c>
      <c r="M611" s="1">
        <v>1000000</v>
      </c>
      <c r="N611" s="1">
        <v>3430336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7856279</v>
      </c>
      <c r="W611" s="1">
        <v>1900000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3233131</v>
      </c>
      <c r="AE611" s="1">
        <v>0</v>
      </c>
      <c r="AF611" s="1">
        <v>1516881</v>
      </c>
      <c r="AG611" s="1">
        <v>0</v>
      </c>
      <c r="AH611" s="1">
        <v>0</v>
      </c>
      <c r="AI611" s="1">
        <v>0</v>
      </c>
      <c r="AJ611" s="1">
        <v>5312862</v>
      </c>
      <c r="AK611" s="1">
        <v>0</v>
      </c>
      <c r="AL611" s="1">
        <v>0</v>
      </c>
      <c r="AM611" s="1">
        <v>0</v>
      </c>
      <c r="AN611" s="1">
        <v>0</v>
      </c>
      <c r="AO611" s="1">
        <v>46524032</v>
      </c>
      <c r="AP611" s="1">
        <v>8750032</v>
      </c>
      <c r="AQ611" s="1">
        <v>37774000</v>
      </c>
      <c r="AR611" s="1">
        <v>9001430</v>
      </c>
      <c r="AS611" s="1">
        <v>1350215</v>
      </c>
      <c r="AT611" s="1">
        <f t="shared" si="61"/>
        <v>56875677</v>
      </c>
    </row>
    <row r="612" spans="1:46" x14ac:dyDescent="0.2">
      <c r="A612" s="1" t="str">
        <f>"00701"</f>
        <v>00701</v>
      </c>
      <c r="B612" s="1" t="str">
        <f>"رضا"</f>
        <v>رضا</v>
      </c>
      <c r="C612" s="1" t="str">
        <f>"خدري"</f>
        <v>خدري</v>
      </c>
      <c r="D612" s="1" t="str">
        <f>"قراردادي کارگري"</f>
        <v>قراردادي کارگري</v>
      </c>
      <c r="E612" s="1" t="str">
        <f t="shared" si="66"/>
        <v>پروژه تعميرات نيروگاه بوشهر</v>
      </c>
      <c r="F612" s="1">
        <v>9286571</v>
      </c>
      <c r="G612" s="1">
        <v>0</v>
      </c>
      <c r="H612" s="1">
        <v>0</v>
      </c>
      <c r="I612" s="1">
        <v>7429256</v>
      </c>
      <c r="J612" s="1">
        <v>0</v>
      </c>
      <c r="K612" s="1">
        <v>0</v>
      </c>
      <c r="L612" s="1">
        <v>7462913</v>
      </c>
      <c r="M612" s="1">
        <v>1000000</v>
      </c>
      <c r="N612" s="1">
        <v>4952838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7068214</v>
      </c>
      <c r="W612" s="1">
        <v>1900000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39099792</v>
      </c>
      <c r="AP612" s="1">
        <v>4653427</v>
      </c>
      <c r="AQ612" s="1">
        <v>34446365</v>
      </c>
      <c r="AR612" s="1">
        <v>7819958</v>
      </c>
      <c r="AS612" s="1">
        <v>1172994</v>
      </c>
      <c r="AT612" s="1">
        <f t="shared" si="61"/>
        <v>48092744</v>
      </c>
    </row>
    <row r="613" spans="1:46" x14ac:dyDescent="0.2">
      <c r="A613" s="1" t="str">
        <f>"00702"</f>
        <v>00702</v>
      </c>
      <c r="B613" s="1" t="str">
        <f>"عبدالرسول"</f>
        <v>عبدالرسول</v>
      </c>
      <c r="C613" s="1" t="str">
        <f>"خدري"</f>
        <v>خدري</v>
      </c>
      <c r="D613" s="1" t="str">
        <f>"قراردادي کارگري"</f>
        <v>قراردادي کارگري</v>
      </c>
      <c r="E613" s="1" t="str">
        <f t="shared" si="66"/>
        <v>پروژه تعميرات نيروگاه بوشهر</v>
      </c>
      <c r="F613" s="1">
        <v>6261011</v>
      </c>
      <c r="G613" s="1">
        <v>7707847</v>
      </c>
      <c r="H613" s="1">
        <v>0</v>
      </c>
      <c r="I613" s="1">
        <v>4007048</v>
      </c>
      <c r="J613" s="1">
        <v>0</v>
      </c>
      <c r="K613" s="1">
        <v>0</v>
      </c>
      <c r="L613" s="1">
        <v>7672721</v>
      </c>
      <c r="M613" s="1">
        <v>1000000</v>
      </c>
      <c r="N613" s="1">
        <v>3339204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7465071</v>
      </c>
      <c r="W613" s="1">
        <v>1900000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4550643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43903545</v>
      </c>
      <c r="AP613" s="1">
        <v>8879382</v>
      </c>
      <c r="AQ613" s="1">
        <v>35024163</v>
      </c>
      <c r="AR613" s="1">
        <v>7870580</v>
      </c>
      <c r="AS613" s="1">
        <v>1180587</v>
      </c>
      <c r="AT613" s="1">
        <f t="shared" si="61"/>
        <v>52954712</v>
      </c>
    </row>
    <row r="614" spans="1:46" x14ac:dyDescent="0.2">
      <c r="A614" s="1" t="str">
        <f>"00703"</f>
        <v>00703</v>
      </c>
      <c r="B614" s="1" t="str">
        <f>"محمدحسين"</f>
        <v>محمدحسين</v>
      </c>
      <c r="C614" s="1" t="str">
        <f>"دريابگرد"</f>
        <v>دريابگرد</v>
      </c>
      <c r="D614" s="1" t="str">
        <f>"قراردادي بهره بردار"</f>
        <v>قراردادي بهره بردار</v>
      </c>
      <c r="E614" s="1" t="str">
        <f t="shared" si="66"/>
        <v>پروژه تعميرات نيروگاه بوشهر</v>
      </c>
      <c r="F614" s="1">
        <v>13512032</v>
      </c>
      <c r="G614" s="1">
        <v>0</v>
      </c>
      <c r="H614" s="1">
        <v>0</v>
      </c>
      <c r="I614" s="1">
        <v>10444240</v>
      </c>
      <c r="J614" s="1">
        <v>0</v>
      </c>
      <c r="K614" s="1">
        <v>3465000</v>
      </c>
      <c r="L614" s="1">
        <v>0</v>
      </c>
      <c r="M614" s="1">
        <v>1000000</v>
      </c>
      <c r="N614" s="1">
        <v>2448180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7908315</v>
      </c>
      <c r="W614" s="1">
        <v>1900000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1748700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7793735</v>
      </c>
      <c r="AM614" s="1">
        <v>0</v>
      </c>
      <c r="AN614" s="1">
        <v>0</v>
      </c>
      <c r="AO614" s="1">
        <v>50220202</v>
      </c>
      <c r="AP614" s="1">
        <v>12672226</v>
      </c>
      <c r="AQ614" s="1">
        <v>37547976</v>
      </c>
      <c r="AR614" s="1">
        <v>10044040</v>
      </c>
      <c r="AS614" s="1">
        <v>1506606</v>
      </c>
      <c r="AT614" s="1">
        <f t="shared" si="61"/>
        <v>61770848</v>
      </c>
    </row>
    <row r="615" spans="1:46" x14ac:dyDescent="0.2">
      <c r="A615" s="1" t="str">
        <f>"00704"</f>
        <v>00704</v>
      </c>
      <c r="B615" s="1" t="str">
        <f>"وحيد"</f>
        <v>وحيد</v>
      </c>
      <c r="C615" s="1" t="str">
        <f>"زنده بودي"</f>
        <v>زنده بودي</v>
      </c>
      <c r="D615" s="1" t="str">
        <f t="shared" ref="D615:D620" si="67">"قراردادي کارگري"</f>
        <v>قراردادي کارگري</v>
      </c>
      <c r="E615" s="1" t="str">
        <f t="shared" si="66"/>
        <v>پروژه تعميرات نيروگاه بوشهر</v>
      </c>
      <c r="F615" s="1">
        <v>7197844</v>
      </c>
      <c r="G615" s="1">
        <v>0</v>
      </c>
      <c r="H615" s="1">
        <v>0</v>
      </c>
      <c r="I615" s="1">
        <v>5110469</v>
      </c>
      <c r="J615" s="1">
        <v>0</v>
      </c>
      <c r="K615" s="1">
        <v>0</v>
      </c>
      <c r="L615" s="1">
        <v>7628143</v>
      </c>
      <c r="M615" s="1">
        <v>1000000</v>
      </c>
      <c r="N615" s="1">
        <v>3788338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6012329</v>
      </c>
      <c r="W615" s="1">
        <v>1900000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1516881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34154004</v>
      </c>
      <c r="AP615" s="1">
        <v>5253405</v>
      </c>
      <c r="AQ615" s="1">
        <v>28900599</v>
      </c>
      <c r="AR615" s="1">
        <v>6527425</v>
      </c>
      <c r="AS615" s="1">
        <v>979114</v>
      </c>
      <c r="AT615" s="1">
        <f t="shared" si="61"/>
        <v>41660543</v>
      </c>
    </row>
    <row r="616" spans="1:46" x14ac:dyDescent="0.2">
      <c r="A616" s="1" t="str">
        <f>"00705"</f>
        <v>00705</v>
      </c>
      <c r="B616" s="1" t="str">
        <f>"امين"</f>
        <v>امين</v>
      </c>
      <c r="C616" s="1" t="str">
        <f>"زيارتي"</f>
        <v>زيارتي</v>
      </c>
      <c r="D616" s="1" t="str">
        <f t="shared" si="67"/>
        <v>قراردادي کارگري</v>
      </c>
      <c r="E616" s="1" t="str">
        <f t="shared" si="66"/>
        <v>پروژه تعميرات نيروگاه بوشهر</v>
      </c>
      <c r="F616" s="1">
        <v>7259681</v>
      </c>
      <c r="G616" s="1">
        <v>3465331</v>
      </c>
      <c r="H616" s="1">
        <v>0</v>
      </c>
      <c r="I616" s="1">
        <v>4863986</v>
      </c>
      <c r="J616" s="1">
        <v>0</v>
      </c>
      <c r="K616" s="1">
        <v>0</v>
      </c>
      <c r="L616" s="1">
        <v>7628143</v>
      </c>
      <c r="M616" s="1">
        <v>1000000</v>
      </c>
      <c r="N616" s="1">
        <v>3820886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9166430</v>
      </c>
      <c r="W616" s="1">
        <v>1900000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39104457</v>
      </c>
      <c r="AP616" s="1">
        <v>9052991</v>
      </c>
      <c r="AQ616" s="1">
        <v>30051466</v>
      </c>
      <c r="AR616" s="1">
        <v>7820891</v>
      </c>
      <c r="AS616" s="1">
        <v>1173134</v>
      </c>
      <c r="AT616" s="1">
        <f t="shared" si="61"/>
        <v>48098482</v>
      </c>
    </row>
    <row r="617" spans="1:46" x14ac:dyDescent="0.2">
      <c r="A617" s="1" t="str">
        <f>"00706"</f>
        <v>00706</v>
      </c>
      <c r="B617" s="1" t="str">
        <f>"اميد"</f>
        <v>اميد</v>
      </c>
      <c r="C617" s="1" t="str">
        <f>"شکيبايي"</f>
        <v>شکيبايي</v>
      </c>
      <c r="D617" s="1" t="str">
        <f t="shared" si="67"/>
        <v>قراردادي کارگري</v>
      </c>
      <c r="E617" s="1" t="str">
        <f t="shared" si="66"/>
        <v>پروژه تعميرات نيروگاه بوشهر</v>
      </c>
      <c r="F617" s="1">
        <v>7086537</v>
      </c>
      <c r="G617" s="1">
        <v>7668030</v>
      </c>
      <c r="H617" s="1">
        <v>0</v>
      </c>
      <c r="I617" s="1">
        <v>5244038</v>
      </c>
      <c r="J617" s="1">
        <v>0</v>
      </c>
      <c r="K617" s="1">
        <v>0</v>
      </c>
      <c r="L617" s="1">
        <v>7628143</v>
      </c>
      <c r="M617" s="1">
        <v>1000000</v>
      </c>
      <c r="N617" s="1">
        <v>3729755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8272393</v>
      </c>
      <c r="W617" s="1">
        <v>1900000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3033762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45562658</v>
      </c>
      <c r="AP617" s="1">
        <v>6193750</v>
      </c>
      <c r="AQ617" s="1">
        <v>39368908</v>
      </c>
      <c r="AR617" s="1">
        <v>8505779</v>
      </c>
      <c r="AS617" s="1">
        <v>1275867</v>
      </c>
      <c r="AT617" s="1">
        <f t="shared" si="61"/>
        <v>55344304</v>
      </c>
    </row>
    <row r="618" spans="1:46" x14ac:dyDescent="0.2">
      <c r="A618" s="1" t="str">
        <f>"00707"</f>
        <v>00707</v>
      </c>
      <c r="B618" s="1" t="str">
        <f>"حسين"</f>
        <v>حسين</v>
      </c>
      <c r="C618" s="1" t="str">
        <f>"غلام پور"</f>
        <v>غلام پور</v>
      </c>
      <c r="D618" s="1" t="str">
        <f t="shared" si="67"/>
        <v>قراردادي کارگري</v>
      </c>
      <c r="E618" s="1" t="str">
        <f t="shared" si="66"/>
        <v>پروژه تعميرات نيروگاه بوشهر</v>
      </c>
      <c r="F618" s="1">
        <v>8784845</v>
      </c>
      <c r="G618" s="1">
        <v>3801618</v>
      </c>
      <c r="H618" s="1">
        <v>0</v>
      </c>
      <c r="I618" s="1">
        <v>7554967</v>
      </c>
      <c r="J618" s="1">
        <v>0</v>
      </c>
      <c r="K618" s="1">
        <v>0</v>
      </c>
      <c r="L618" s="1">
        <v>7462913</v>
      </c>
      <c r="M618" s="1">
        <v>1000000</v>
      </c>
      <c r="N618" s="1">
        <v>4623602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10055358</v>
      </c>
      <c r="W618" s="1">
        <v>1900000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1516881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46700184</v>
      </c>
      <c r="AP618" s="1">
        <v>4616566</v>
      </c>
      <c r="AQ618" s="1">
        <v>42083618</v>
      </c>
      <c r="AR618" s="1">
        <v>9036661</v>
      </c>
      <c r="AS618" s="1">
        <v>1355499</v>
      </c>
      <c r="AT618" s="1">
        <f t="shared" si="61"/>
        <v>57092344</v>
      </c>
    </row>
    <row r="619" spans="1:46" x14ac:dyDescent="0.2">
      <c r="A619" s="1" t="str">
        <f>"00708"</f>
        <v>00708</v>
      </c>
      <c r="B619" s="1" t="str">
        <f>"محمود"</f>
        <v>محمود</v>
      </c>
      <c r="C619" s="1" t="str">
        <f>"محمدي"</f>
        <v>محمدي</v>
      </c>
      <c r="D619" s="1" t="str">
        <f t="shared" si="67"/>
        <v>قراردادي کارگري</v>
      </c>
      <c r="E619" s="1" t="str">
        <f t="shared" si="66"/>
        <v>پروژه تعميرات نيروگاه بوشهر</v>
      </c>
      <c r="F619" s="1">
        <v>8704677</v>
      </c>
      <c r="G619" s="1">
        <v>2639095</v>
      </c>
      <c r="H619" s="1">
        <v>0</v>
      </c>
      <c r="I619" s="1">
        <v>6093274</v>
      </c>
      <c r="J619" s="1">
        <v>0</v>
      </c>
      <c r="K619" s="1">
        <v>0</v>
      </c>
      <c r="L619" s="1">
        <v>7628143</v>
      </c>
      <c r="M619" s="1">
        <v>1000000</v>
      </c>
      <c r="N619" s="1">
        <v>4611748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10361906</v>
      </c>
      <c r="W619" s="1">
        <v>1900000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3033762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45972605</v>
      </c>
      <c r="AP619" s="1">
        <v>9591873</v>
      </c>
      <c r="AQ619" s="1">
        <v>36380732</v>
      </c>
      <c r="AR619" s="1">
        <v>8587769</v>
      </c>
      <c r="AS619" s="1">
        <v>1288165</v>
      </c>
      <c r="AT619" s="1">
        <f t="shared" si="61"/>
        <v>55848539</v>
      </c>
    </row>
    <row r="620" spans="1:46" x14ac:dyDescent="0.2">
      <c r="A620" s="1" t="str">
        <f>"00709"</f>
        <v>00709</v>
      </c>
      <c r="B620" s="1" t="str">
        <f>"سالار"</f>
        <v>سالار</v>
      </c>
      <c r="C620" s="1" t="str">
        <f>"نيکنام"</f>
        <v>نيکنام</v>
      </c>
      <c r="D620" s="1" t="str">
        <f t="shared" si="67"/>
        <v>قراردادي کارگري</v>
      </c>
      <c r="E620" s="1" t="str">
        <f t="shared" si="66"/>
        <v>پروژه تعميرات نيروگاه بوشهر</v>
      </c>
      <c r="F620" s="1">
        <v>6610391</v>
      </c>
      <c r="G620" s="1">
        <v>2403232</v>
      </c>
      <c r="H620" s="1">
        <v>0</v>
      </c>
      <c r="I620" s="1">
        <v>4627274</v>
      </c>
      <c r="J620" s="1">
        <v>0</v>
      </c>
      <c r="K620" s="1">
        <v>0</v>
      </c>
      <c r="L620" s="1">
        <v>7628143</v>
      </c>
      <c r="M620" s="1">
        <v>1000000</v>
      </c>
      <c r="N620" s="1">
        <v>3479153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8616153</v>
      </c>
      <c r="W620" s="1">
        <v>1900000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36264346</v>
      </c>
      <c r="AP620" s="1">
        <v>3311088</v>
      </c>
      <c r="AQ620" s="1">
        <v>32953258</v>
      </c>
      <c r="AR620" s="1">
        <v>7252869</v>
      </c>
      <c r="AS620" s="1">
        <v>1087930</v>
      </c>
      <c r="AT620" s="1">
        <f t="shared" si="61"/>
        <v>44605145</v>
      </c>
    </row>
    <row r="621" spans="1:46" x14ac:dyDescent="0.2">
      <c r="A621" s="1" t="str">
        <f>"00712"</f>
        <v>00712</v>
      </c>
      <c r="B621" s="1" t="str">
        <f>"محسن"</f>
        <v>محسن</v>
      </c>
      <c r="C621" s="1" t="str">
        <f>"خورشيدي"</f>
        <v>خورشيدي</v>
      </c>
      <c r="D621" s="1" t="str">
        <f>"قراردادي بهره بردار"</f>
        <v>قراردادي بهره بردار</v>
      </c>
      <c r="E621" s="1" t="str">
        <f>"پروژه بهره برداري نيروگاه بوشهر"</f>
        <v>پروژه بهره برداري نيروگاه بوشهر</v>
      </c>
      <c r="F621" s="1">
        <v>18016043</v>
      </c>
      <c r="G621" s="1">
        <v>7702200</v>
      </c>
      <c r="H621" s="1">
        <v>0</v>
      </c>
      <c r="I621" s="1">
        <v>12682760</v>
      </c>
      <c r="J621" s="1">
        <v>0</v>
      </c>
      <c r="K621" s="1">
        <v>5500000</v>
      </c>
      <c r="L621" s="1">
        <v>0</v>
      </c>
      <c r="M621" s="1">
        <v>1000000</v>
      </c>
      <c r="N621" s="1">
        <v>2947323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1606000</v>
      </c>
      <c r="U621" s="1">
        <v>0</v>
      </c>
      <c r="V621" s="1">
        <v>7408904</v>
      </c>
      <c r="W621" s="1">
        <v>1900000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2105231</v>
      </c>
      <c r="AF621" s="1">
        <v>3387701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4296774</v>
      </c>
      <c r="AM621" s="1">
        <v>0</v>
      </c>
      <c r="AN621" s="1">
        <v>0</v>
      </c>
      <c r="AO621" s="1">
        <v>68552936</v>
      </c>
      <c r="AP621" s="1">
        <v>16304591</v>
      </c>
      <c r="AQ621" s="1">
        <v>52248345</v>
      </c>
      <c r="AR621" s="1">
        <v>12711847</v>
      </c>
      <c r="AS621" s="1">
        <v>1906777</v>
      </c>
      <c r="AT621" s="1">
        <f t="shared" si="61"/>
        <v>83171560</v>
      </c>
    </row>
    <row r="622" spans="1:46" x14ac:dyDescent="0.2">
      <c r="A622" s="1" t="str">
        <f>"00713"</f>
        <v>00713</v>
      </c>
      <c r="B622" s="1" t="str">
        <f>"جعفر"</f>
        <v>جعفر</v>
      </c>
      <c r="C622" s="1" t="str">
        <f>"حيدري"</f>
        <v>حيدري</v>
      </c>
      <c r="D622" s="1" t="str">
        <f>"قراردادي کارگري"</f>
        <v>قراردادي کارگري</v>
      </c>
      <c r="E622" s="1" t="str">
        <f>"پروژه تعميرات نيروگاه بوشهر"</f>
        <v>پروژه تعميرات نيروگاه بوشهر</v>
      </c>
      <c r="F622" s="1">
        <v>7420458</v>
      </c>
      <c r="G622" s="1">
        <v>0</v>
      </c>
      <c r="H622" s="1">
        <v>0</v>
      </c>
      <c r="I622" s="1">
        <v>5491139</v>
      </c>
      <c r="J622" s="1">
        <v>0</v>
      </c>
      <c r="K622" s="1">
        <v>0</v>
      </c>
      <c r="L622" s="1">
        <v>7628143</v>
      </c>
      <c r="M622" s="1">
        <v>1000000</v>
      </c>
      <c r="N622" s="1">
        <v>3905504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12074440</v>
      </c>
      <c r="W622" s="1">
        <v>1900000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4550643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>
        <v>43970327</v>
      </c>
      <c r="AP622" s="1">
        <v>7499037</v>
      </c>
      <c r="AQ622" s="1">
        <v>36471290</v>
      </c>
      <c r="AR622" s="1">
        <v>7883937</v>
      </c>
      <c r="AS622" s="1">
        <v>1182591</v>
      </c>
      <c r="AT622" s="1">
        <f t="shared" si="61"/>
        <v>53036855</v>
      </c>
    </row>
    <row r="623" spans="1:46" x14ac:dyDescent="0.2">
      <c r="A623" s="1" t="str">
        <f>"00714"</f>
        <v>00714</v>
      </c>
      <c r="B623" s="1" t="str">
        <f>"محمد"</f>
        <v>محمد</v>
      </c>
      <c r="C623" s="1" t="str">
        <f>"حيدري"</f>
        <v>حيدري</v>
      </c>
      <c r="D623" s="1" t="str">
        <f>"قراردادي کارگري"</f>
        <v>قراردادي کارگري</v>
      </c>
      <c r="E623" s="1" t="str">
        <f>"پروژه تعميرات نيروگاه بوشهر"</f>
        <v>پروژه تعميرات نيروگاه بوشهر</v>
      </c>
      <c r="F623" s="1">
        <v>7691076</v>
      </c>
      <c r="G623" s="1">
        <v>523311</v>
      </c>
      <c r="H623" s="1">
        <v>0</v>
      </c>
      <c r="I623" s="1">
        <v>5537575</v>
      </c>
      <c r="J623" s="1">
        <v>0</v>
      </c>
      <c r="K623" s="1">
        <v>0</v>
      </c>
      <c r="L623" s="1">
        <v>7628143</v>
      </c>
      <c r="M623" s="1">
        <v>1000000</v>
      </c>
      <c r="N623" s="1">
        <v>4074742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12148769</v>
      </c>
      <c r="W623" s="1">
        <v>1900000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3033762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43537378</v>
      </c>
      <c r="AP623" s="1">
        <v>6508829</v>
      </c>
      <c r="AQ623" s="1">
        <v>37028549</v>
      </c>
      <c r="AR623" s="1">
        <v>8100723</v>
      </c>
      <c r="AS623" s="1">
        <v>1215108</v>
      </c>
      <c r="AT623" s="1">
        <f t="shared" si="61"/>
        <v>52853209</v>
      </c>
    </row>
    <row r="624" spans="1:46" x14ac:dyDescent="0.2">
      <c r="A624" s="1" t="str">
        <f>"00715"</f>
        <v>00715</v>
      </c>
      <c r="B624" s="1" t="str">
        <f>"احمد"</f>
        <v>احمد</v>
      </c>
      <c r="C624" s="1" t="str">
        <f>"حيدري"</f>
        <v>حيدري</v>
      </c>
      <c r="D624" s="1" t="str">
        <f>"قراردادي کارگري"</f>
        <v>قراردادي کارگري</v>
      </c>
      <c r="E624" s="1" t="str">
        <f>"پروژه تعميرات نيروگاه بوشهر"</f>
        <v>پروژه تعميرات نيروگاه بوشهر</v>
      </c>
      <c r="F624" s="1">
        <v>9386553</v>
      </c>
      <c r="G624" s="1">
        <v>3033084</v>
      </c>
      <c r="H624" s="1">
        <v>0</v>
      </c>
      <c r="I624" s="1">
        <v>6946049</v>
      </c>
      <c r="J624" s="1">
        <v>0</v>
      </c>
      <c r="K624" s="1">
        <v>0</v>
      </c>
      <c r="L624" s="1">
        <v>7628143</v>
      </c>
      <c r="M624" s="1">
        <v>1000000</v>
      </c>
      <c r="N624" s="1">
        <v>4973009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14049385</v>
      </c>
      <c r="W624" s="1">
        <v>1900000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1516881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0</v>
      </c>
      <c r="AO624" s="1">
        <v>50433104</v>
      </c>
      <c r="AP624" s="1">
        <v>9319433</v>
      </c>
      <c r="AQ624" s="1">
        <v>41113671</v>
      </c>
      <c r="AR624" s="1">
        <v>9783245</v>
      </c>
      <c r="AS624" s="1">
        <v>1467487</v>
      </c>
      <c r="AT624" s="1">
        <f t="shared" si="61"/>
        <v>61683836</v>
      </c>
    </row>
    <row r="625" spans="1:46" x14ac:dyDescent="0.2">
      <c r="A625" s="1" t="str">
        <f>"00716"</f>
        <v>00716</v>
      </c>
      <c r="B625" s="1" t="str">
        <f>"شهربانو"</f>
        <v>شهربانو</v>
      </c>
      <c r="C625" s="1" t="str">
        <f>"قايدزاده مخبلندي"</f>
        <v>قايدزاده مخبلندي</v>
      </c>
      <c r="D625" s="1" t="str">
        <f>"قراردادي بهره بردار"</f>
        <v>قراردادي بهره بردار</v>
      </c>
      <c r="E625" s="1" t="str">
        <f>"پروژه بهره برداري نيروگاه بوشهر"</f>
        <v>پروژه بهره برداري نيروگاه بوشهر</v>
      </c>
      <c r="F625" s="1">
        <v>14462781</v>
      </c>
      <c r="G625" s="1">
        <v>2105389</v>
      </c>
      <c r="H625" s="1">
        <v>0</v>
      </c>
      <c r="I625" s="1">
        <v>9699748</v>
      </c>
      <c r="J625" s="1">
        <v>0</v>
      </c>
      <c r="K625" s="1">
        <v>3465000</v>
      </c>
      <c r="L625" s="1">
        <v>0</v>
      </c>
      <c r="M625" s="1">
        <v>1000000</v>
      </c>
      <c r="N625" s="1">
        <v>2117716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3187368</v>
      </c>
      <c r="W625" s="1">
        <v>1900000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1512655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4080775</v>
      </c>
      <c r="AM625" s="1">
        <v>0</v>
      </c>
      <c r="AN625" s="1">
        <v>0</v>
      </c>
      <c r="AO625" s="1">
        <v>43531432</v>
      </c>
      <c r="AP625" s="1">
        <v>7055027</v>
      </c>
      <c r="AQ625" s="1">
        <v>36476405</v>
      </c>
      <c r="AR625" s="1">
        <v>8706286</v>
      </c>
      <c r="AS625" s="1">
        <v>1305943</v>
      </c>
      <c r="AT625" s="1">
        <f t="shared" si="61"/>
        <v>53543661</v>
      </c>
    </row>
    <row r="626" spans="1:46" x14ac:dyDescent="0.2">
      <c r="A626" s="1" t="str">
        <f>"00717"</f>
        <v>00717</v>
      </c>
      <c r="B626" s="1" t="str">
        <f>"شاپور"</f>
        <v>شاپور</v>
      </c>
      <c r="C626" s="1" t="str">
        <f>"دشتيان"</f>
        <v>دشتيان</v>
      </c>
      <c r="D626" s="1" t="str">
        <f t="shared" ref="D626:D640" si="68">"قراردادي کارگري"</f>
        <v>قراردادي کارگري</v>
      </c>
      <c r="E626" s="1" t="str">
        <f t="shared" ref="E626:E650" si="69">"پروژه تعميرات نيروگاه بوشهر"</f>
        <v>پروژه تعميرات نيروگاه بوشهر</v>
      </c>
      <c r="F626" s="1">
        <v>12836134</v>
      </c>
      <c r="G626" s="1">
        <v>10120266</v>
      </c>
      <c r="H626" s="1">
        <v>0</v>
      </c>
      <c r="I626" s="1">
        <v>10653991</v>
      </c>
      <c r="J626" s="1">
        <v>0</v>
      </c>
      <c r="K626" s="1">
        <v>0</v>
      </c>
      <c r="L626" s="1">
        <v>7462913</v>
      </c>
      <c r="M626" s="1">
        <v>1000000</v>
      </c>
      <c r="N626" s="1">
        <v>6845939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8465097</v>
      </c>
      <c r="W626" s="1">
        <v>1900000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3033762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62318102</v>
      </c>
      <c r="AP626" s="1">
        <v>13494229</v>
      </c>
      <c r="AQ626" s="1">
        <v>48823873</v>
      </c>
      <c r="AR626" s="1">
        <v>11856868</v>
      </c>
      <c r="AS626" s="1">
        <v>1778530</v>
      </c>
      <c r="AT626" s="1">
        <f t="shared" si="61"/>
        <v>75953500</v>
      </c>
    </row>
    <row r="627" spans="1:46" x14ac:dyDescent="0.2">
      <c r="A627" s="1" t="str">
        <f>"00718"</f>
        <v>00718</v>
      </c>
      <c r="B627" s="1" t="str">
        <f>"احسان"</f>
        <v>احسان</v>
      </c>
      <c r="C627" s="1" t="str">
        <f>"صالحي"</f>
        <v>صالحي</v>
      </c>
      <c r="D627" s="1" t="str">
        <f t="shared" si="68"/>
        <v>قراردادي کارگري</v>
      </c>
      <c r="E627" s="1" t="str">
        <f t="shared" si="69"/>
        <v>پروژه تعميرات نيروگاه بوشهر</v>
      </c>
      <c r="F627" s="1">
        <v>8317096</v>
      </c>
      <c r="G627" s="1">
        <v>2213260</v>
      </c>
      <c r="H627" s="1">
        <v>0</v>
      </c>
      <c r="I627" s="1">
        <v>5988309</v>
      </c>
      <c r="J627" s="1">
        <v>0</v>
      </c>
      <c r="K627" s="1">
        <v>0</v>
      </c>
      <c r="L627" s="1">
        <v>7628143</v>
      </c>
      <c r="M627" s="1">
        <v>1000000</v>
      </c>
      <c r="N627" s="1">
        <v>4377418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12895359</v>
      </c>
      <c r="W627" s="1">
        <v>1900000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3946645</v>
      </c>
      <c r="AE627" s="1">
        <v>0</v>
      </c>
      <c r="AF627" s="1">
        <v>3033762</v>
      </c>
      <c r="AG627" s="1">
        <v>0</v>
      </c>
      <c r="AH627" s="1">
        <v>0</v>
      </c>
      <c r="AI627" s="1">
        <v>0</v>
      </c>
      <c r="AJ627" s="1">
        <v>3541217</v>
      </c>
      <c r="AK627" s="1">
        <v>0</v>
      </c>
      <c r="AL627" s="1">
        <v>0</v>
      </c>
      <c r="AM627" s="1">
        <v>0</v>
      </c>
      <c r="AN627" s="1">
        <v>0</v>
      </c>
      <c r="AO627" s="1">
        <v>54841209</v>
      </c>
      <c r="AP627" s="1">
        <v>15055855</v>
      </c>
      <c r="AQ627" s="1">
        <v>39785354</v>
      </c>
      <c r="AR627" s="1">
        <v>10361489</v>
      </c>
      <c r="AS627" s="1">
        <v>1554223</v>
      </c>
      <c r="AT627" s="1">
        <f t="shared" si="61"/>
        <v>66756921</v>
      </c>
    </row>
    <row r="628" spans="1:46" x14ac:dyDescent="0.2">
      <c r="A628" s="1" t="str">
        <f>"00719"</f>
        <v>00719</v>
      </c>
      <c r="B628" s="1" t="str">
        <f>"روح اله"</f>
        <v>روح اله</v>
      </c>
      <c r="C628" s="1" t="str">
        <f>"احمدي"</f>
        <v>احمدي</v>
      </c>
      <c r="D628" s="1" t="str">
        <f t="shared" si="68"/>
        <v>قراردادي کارگري</v>
      </c>
      <c r="E628" s="1" t="str">
        <f t="shared" si="69"/>
        <v>پروژه تعميرات نيروگاه بوشهر</v>
      </c>
      <c r="F628" s="1">
        <v>6309830</v>
      </c>
      <c r="G628" s="1">
        <v>2002983</v>
      </c>
      <c r="H628" s="1">
        <v>0</v>
      </c>
      <c r="I628" s="1">
        <v>3848996</v>
      </c>
      <c r="J628" s="1">
        <v>0</v>
      </c>
      <c r="K628" s="1">
        <v>0</v>
      </c>
      <c r="L628" s="1">
        <v>7672721</v>
      </c>
      <c r="M628" s="1">
        <v>1000000</v>
      </c>
      <c r="N628" s="1">
        <v>3154914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10552577</v>
      </c>
      <c r="W628" s="1">
        <v>1900000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3147969</v>
      </c>
      <c r="AE628" s="1">
        <v>0</v>
      </c>
      <c r="AF628" s="1">
        <v>3033762</v>
      </c>
      <c r="AG628" s="1">
        <v>0</v>
      </c>
      <c r="AH628" s="1">
        <v>0</v>
      </c>
      <c r="AI628" s="1">
        <v>0</v>
      </c>
      <c r="AJ628" s="1">
        <v>2848687</v>
      </c>
      <c r="AK628" s="1">
        <v>0</v>
      </c>
      <c r="AL628" s="1">
        <v>0</v>
      </c>
      <c r="AM628" s="1">
        <v>0</v>
      </c>
      <c r="AN628" s="1">
        <v>0</v>
      </c>
      <c r="AO628" s="1">
        <v>45472439</v>
      </c>
      <c r="AP628" s="1">
        <v>8643272</v>
      </c>
      <c r="AQ628" s="1">
        <v>36829167</v>
      </c>
      <c r="AR628" s="1">
        <v>8487735</v>
      </c>
      <c r="AS628" s="1">
        <v>1273160</v>
      </c>
      <c r="AT628" s="1">
        <f t="shared" si="61"/>
        <v>55233334</v>
      </c>
    </row>
    <row r="629" spans="1:46" x14ac:dyDescent="0.2">
      <c r="A629" s="1" t="str">
        <f>"00720"</f>
        <v>00720</v>
      </c>
      <c r="B629" s="1" t="str">
        <f>"علي کرم"</f>
        <v>علي کرم</v>
      </c>
      <c r="C629" s="1" t="str">
        <f>"جعفري"</f>
        <v>جعفري</v>
      </c>
      <c r="D629" s="1" t="str">
        <f t="shared" si="68"/>
        <v>قراردادي کارگري</v>
      </c>
      <c r="E629" s="1" t="str">
        <f t="shared" si="69"/>
        <v>پروژه تعميرات نيروگاه بوشهر</v>
      </c>
      <c r="F629" s="1">
        <v>6950496</v>
      </c>
      <c r="G629" s="1">
        <v>2219611</v>
      </c>
      <c r="H629" s="1">
        <v>0</v>
      </c>
      <c r="I629" s="1">
        <v>5073862</v>
      </c>
      <c r="J629" s="1">
        <v>0</v>
      </c>
      <c r="K629" s="1">
        <v>0</v>
      </c>
      <c r="L629" s="1">
        <v>7672721</v>
      </c>
      <c r="M629" s="1">
        <v>1000000</v>
      </c>
      <c r="N629" s="1">
        <v>3658155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11594836</v>
      </c>
      <c r="W629" s="1">
        <v>1900000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3503285</v>
      </c>
      <c r="AE629" s="1">
        <v>0</v>
      </c>
      <c r="AF629" s="1">
        <v>4550643</v>
      </c>
      <c r="AG629" s="1">
        <v>0</v>
      </c>
      <c r="AH629" s="1">
        <v>0</v>
      </c>
      <c r="AI629" s="1">
        <v>0</v>
      </c>
      <c r="AJ629" s="1">
        <v>3156780</v>
      </c>
      <c r="AK629" s="1">
        <v>0</v>
      </c>
      <c r="AL629" s="1">
        <v>0</v>
      </c>
      <c r="AM629" s="1">
        <v>0</v>
      </c>
      <c r="AN629" s="1">
        <v>0</v>
      </c>
      <c r="AO629" s="1">
        <v>51280389</v>
      </c>
      <c r="AP629" s="1">
        <v>15600963</v>
      </c>
      <c r="AQ629" s="1">
        <v>35679426</v>
      </c>
      <c r="AR629" s="1">
        <v>9345949</v>
      </c>
      <c r="AS629" s="1">
        <v>1401892</v>
      </c>
      <c r="AT629" s="1">
        <f t="shared" si="61"/>
        <v>62028230</v>
      </c>
    </row>
    <row r="630" spans="1:46" x14ac:dyDescent="0.2">
      <c r="A630" s="1" t="str">
        <f>"00721"</f>
        <v>00721</v>
      </c>
      <c r="B630" s="1" t="str">
        <f>"بهنام"</f>
        <v>بهنام</v>
      </c>
      <c r="C630" s="1" t="str">
        <f>"حسين آبادي چاه عربي"</f>
        <v>حسين آبادي چاه عربي</v>
      </c>
      <c r="D630" s="1" t="str">
        <f t="shared" si="68"/>
        <v>قراردادي کارگري</v>
      </c>
      <c r="E630" s="1" t="str">
        <f t="shared" si="69"/>
        <v>پروژه تعميرات نيروگاه بوشهر</v>
      </c>
      <c r="F630" s="1">
        <v>9165404</v>
      </c>
      <c r="G630" s="1">
        <v>2658725</v>
      </c>
      <c r="H630" s="1">
        <v>0</v>
      </c>
      <c r="I630" s="1">
        <v>6507437</v>
      </c>
      <c r="J630" s="1">
        <v>0</v>
      </c>
      <c r="K630" s="1">
        <v>0</v>
      </c>
      <c r="L630" s="1">
        <v>7628143</v>
      </c>
      <c r="M630" s="1">
        <v>1000000</v>
      </c>
      <c r="N630" s="1">
        <v>4855843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13707538</v>
      </c>
      <c r="W630" s="1">
        <v>1900000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4223524</v>
      </c>
      <c r="AE630" s="1">
        <v>0</v>
      </c>
      <c r="AF630" s="1">
        <v>3033762</v>
      </c>
      <c r="AG630" s="1">
        <v>0</v>
      </c>
      <c r="AH630" s="1">
        <v>0</v>
      </c>
      <c r="AI630" s="1">
        <v>0</v>
      </c>
      <c r="AJ630" s="1">
        <v>3781298</v>
      </c>
      <c r="AK630" s="1">
        <v>0</v>
      </c>
      <c r="AL630" s="1">
        <v>0</v>
      </c>
      <c r="AM630" s="1">
        <v>0</v>
      </c>
      <c r="AN630" s="1">
        <v>0</v>
      </c>
      <c r="AO630" s="1">
        <v>58461674</v>
      </c>
      <c r="AP630" s="1">
        <v>8941490</v>
      </c>
      <c r="AQ630" s="1">
        <v>49520184</v>
      </c>
      <c r="AR630" s="1">
        <v>11085582</v>
      </c>
      <c r="AS630" s="1">
        <v>1662837</v>
      </c>
      <c r="AT630" s="1">
        <f t="shared" si="61"/>
        <v>71210093</v>
      </c>
    </row>
    <row r="631" spans="1:46" x14ac:dyDescent="0.2">
      <c r="A631" s="1" t="str">
        <f>"00722"</f>
        <v>00722</v>
      </c>
      <c r="B631" s="1" t="str">
        <f>"امير"</f>
        <v>امير</v>
      </c>
      <c r="C631" s="1" t="str">
        <f>"داس زرين"</f>
        <v>داس زرين</v>
      </c>
      <c r="D631" s="1" t="str">
        <f t="shared" si="68"/>
        <v>قراردادي کارگري</v>
      </c>
      <c r="E631" s="1" t="str">
        <f t="shared" si="69"/>
        <v>پروژه تعميرات نيروگاه بوشهر</v>
      </c>
      <c r="F631" s="1">
        <v>6529515</v>
      </c>
      <c r="G631" s="1">
        <v>1891895</v>
      </c>
      <c r="H631" s="1">
        <v>0</v>
      </c>
      <c r="I631" s="1">
        <v>4701250</v>
      </c>
      <c r="J631" s="1">
        <v>0</v>
      </c>
      <c r="K631" s="1">
        <v>0</v>
      </c>
      <c r="L631" s="1">
        <v>7644493</v>
      </c>
      <c r="M631" s="1">
        <v>1000000</v>
      </c>
      <c r="N631" s="1">
        <v>3482409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11155906</v>
      </c>
      <c r="W631" s="1">
        <v>1900000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3353650</v>
      </c>
      <c r="AE631" s="1">
        <v>0</v>
      </c>
      <c r="AF631" s="1">
        <v>1516881</v>
      </c>
      <c r="AG631" s="1">
        <v>0</v>
      </c>
      <c r="AH631" s="1">
        <v>0</v>
      </c>
      <c r="AI631" s="1">
        <v>0</v>
      </c>
      <c r="AJ631" s="1">
        <v>4540548</v>
      </c>
      <c r="AK631" s="1">
        <v>0</v>
      </c>
      <c r="AL631" s="1">
        <v>0</v>
      </c>
      <c r="AM631" s="1">
        <v>0</v>
      </c>
      <c r="AN631" s="1">
        <v>0</v>
      </c>
      <c r="AO631" s="1">
        <v>47716547</v>
      </c>
      <c r="AP631" s="1">
        <v>14979681</v>
      </c>
      <c r="AQ631" s="1">
        <v>32736866</v>
      </c>
      <c r="AR631" s="1">
        <v>9239933</v>
      </c>
      <c r="AS631" s="1">
        <v>1385990</v>
      </c>
      <c r="AT631" s="1">
        <f t="shared" si="61"/>
        <v>58342470</v>
      </c>
    </row>
    <row r="632" spans="1:46" x14ac:dyDescent="0.2">
      <c r="A632" s="1" t="str">
        <f>"00723"</f>
        <v>00723</v>
      </c>
      <c r="B632" s="1" t="str">
        <f>"غلامرضا"</f>
        <v>غلامرضا</v>
      </c>
      <c r="C632" s="1" t="str">
        <f>"شاکري"</f>
        <v>شاکري</v>
      </c>
      <c r="D632" s="1" t="str">
        <f t="shared" si="68"/>
        <v>قراردادي کارگري</v>
      </c>
      <c r="E632" s="1" t="str">
        <f t="shared" si="69"/>
        <v>پروژه تعميرات نيروگاه بوشهر</v>
      </c>
      <c r="F632" s="1">
        <v>10486156</v>
      </c>
      <c r="G632" s="1">
        <v>2919669</v>
      </c>
      <c r="H632" s="1">
        <v>0</v>
      </c>
      <c r="I632" s="1">
        <v>7340309</v>
      </c>
      <c r="J632" s="1">
        <v>0</v>
      </c>
      <c r="K632" s="1">
        <v>0</v>
      </c>
      <c r="L632" s="1">
        <v>7628143</v>
      </c>
      <c r="M632" s="1">
        <v>1000000</v>
      </c>
      <c r="N632" s="1">
        <v>5555580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14963016</v>
      </c>
      <c r="W632" s="1">
        <v>1900000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4651528</v>
      </c>
      <c r="AE632" s="1">
        <v>0</v>
      </c>
      <c r="AF632" s="1">
        <v>1516881</v>
      </c>
      <c r="AG632" s="1">
        <v>0</v>
      </c>
      <c r="AH632" s="1">
        <v>0</v>
      </c>
      <c r="AI632" s="1">
        <v>0</v>
      </c>
      <c r="AJ632" s="1">
        <v>6228628</v>
      </c>
      <c r="AK632" s="1">
        <v>0</v>
      </c>
      <c r="AL632" s="1">
        <v>0</v>
      </c>
      <c r="AM632" s="1">
        <v>0</v>
      </c>
      <c r="AN632" s="1">
        <v>0</v>
      </c>
      <c r="AO632" s="1">
        <v>64189910</v>
      </c>
      <c r="AP632" s="1">
        <v>14678517</v>
      </c>
      <c r="AQ632" s="1">
        <v>49511393</v>
      </c>
      <c r="AR632" s="1">
        <v>12534606</v>
      </c>
      <c r="AS632" s="1">
        <v>1880191</v>
      </c>
      <c r="AT632" s="1">
        <f t="shared" si="61"/>
        <v>78604707</v>
      </c>
    </row>
    <row r="633" spans="1:46" x14ac:dyDescent="0.2">
      <c r="A633" s="1" t="str">
        <f>"00724"</f>
        <v>00724</v>
      </c>
      <c r="B633" s="1" t="str">
        <f>"محسن"</f>
        <v>محسن</v>
      </c>
      <c r="C633" s="1" t="str">
        <f>"شيخياني"</f>
        <v>شيخياني</v>
      </c>
      <c r="D633" s="1" t="str">
        <f t="shared" si="68"/>
        <v>قراردادي کارگري</v>
      </c>
      <c r="E633" s="1" t="str">
        <f t="shared" si="69"/>
        <v>پروژه تعميرات نيروگاه بوشهر</v>
      </c>
      <c r="F633" s="1">
        <v>8059658</v>
      </c>
      <c r="G633" s="1">
        <v>2439602</v>
      </c>
      <c r="H633" s="1">
        <v>0</v>
      </c>
      <c r="I633" s="1">
        <v>5802954</v>
      </c>
      <c r="J633" s="1">
        <v>0</v>
      </c>
      <c r="K633" s="1">
        <v>0</v>
      </c>
      <c r="L633" s="1">
        <v>7628143</v>
      </c>
      <c r="M633" s="1">
        <v>1000000</v>
      </c>
      <c r="N633" s="1">
        <v>4270018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12653273</v>
      </c>
      <c r="W633" s="1">
        <v>1900000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3864116</v>
      </c>
      <c r="AE633" s="1">
        <v>0</v>
      </c>
      <c r="AF633" s="1">
        <v>4550643</v>
      </c>
      <c r="AG633" s="1">
        <v>0</v>
      </c>
      <c r="AH633" s="1">
        <v>0</v>
      </c>
      <c r="AI633" s="1">
        <v>0</v>
      </c>
      <c r="AJ633" s="1">
        <v>3469656</v>
      </c>
      <c r="AK633" s="1">
        <v>0</v>
      </c>
      <c r="AL633" s="1">
        <v>0</v>
      </c>
      <c r="AM633" s="1">
        <v>0</v>
      </c>
      <c r="AN633" s="1">
        <v>0</v>
      </c>
      <c r="AO633" s="1">
        <v>55638063</v>
      </c>
      <c r="AP633" s="1">
        <v>9893277</v>
      </c>
      <c r="AQ633" s="1">
        <v>45744786</v>
      </c>
      <c r="AR633" s="1">
        <v>10217484</v>
      </c>
      <c r="AS633" s="1">
        <v>1532623</v>
      </c>
      <c r="AT633" s="1">
        <f t="shared" si="61"/>
        <v>67388170</v>
      </c>
    </row>
    <row r="634" spans="1:46" x14ac:dyDescent="0.2">
      <c r="A634" s="1" t="str">
        <f>"00725"</f>
        <v>00725</v>
      </c>
      <c r="B634" s="1" t="str">
        <f>"سيد مهدي"</f>
        <v>سيد مهدي</v>
      </c>
      <c r="C634" s="1" t="str">
        <f>"عسکري"</f>
        <v>عسکري</v>
      </c>
      <c r="D634" s="1" t="str">
        <f t="shared" si="68"/>
        <v>قراردادي کارگري</v>
      </c>
      <c r="E634" s="1" t="str">
        <f t="shared" si="69"/>
        <v>پروژه تعميرات نيروگاه بوشهر</v>
      </c>
      <c r="F634" s="1">
        <v>8638649</v>
      </c>
      <c r="G634" s="1">
        <v>19463574</v>
      </c>
      <c r="H634" s="1">
        <v>0</v>
      </c>
      <c r="I634" s="1">
        <v>6219828</v>
      </c>
      <c r="J634" s="1">
        <v>0</v>
      </c>
      <c r="K634" s="1">
        <v>0</v>
      </c>
      <c r="L634" s="1">
        <v>7672721</v>
      </c>
      <c r="M634" s="1">
        <v>1000000</v>
      </c>
      <c r="N634" s="1">
        <v>4546656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9699033</v>
      </c>
      <c r="W634" s="1">
        <v>1900000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1516881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60657342</v>
      </c>
      <c r="AP634" s="1">
        <v>8660947</v>
      </c>
      <c r="AQ634" s="1">
        <v>51996395</v>
      </c>
      <c r="AR634" s="1">
        <v>11828092</v>
      </c>
      <c r="AS634" s="1">
        <v>1774214</v>
      </c>
      <c r="AT634" s="1">
        <f t="shared" si="61"/>
        <v>74259648</v>
      </c>
    </row>
    <row r="635" spans="1:46" x14ac:dyDescent="0.2">
      <c r="A635" s="1" t="str">
        <f>"00726"</f>
        <v>00726</v>
      </c>
      <c r="B635" s="1" t="str">
        <f>"مهدي"</f>
        <v>مهدي</v>
      </c>
      <c r="C635" s="1" t="str">
        <f>"زارعي ونوول"</f>
        <v>زارعي ونوول</v>
      </c>
      <c r="D635" s="1" t="str">
        <f t="shared" si="68"/>
        <v>قراردادي کارگري</v>
      </c>
      <c r="E635" s="1" t="str">
        <f t="shared" si="69"/>
        <v>پروژه تعميرات نيروگاه بوشهر</v>
      </c>
      <c r="F635" s="1">
        <v>9036401</v>
      </c>
      <c r="G635" s="1">
        <v>0</v>
      </c>
      <c r="H635" s="1">
        <v>0</v>
      </c>
      <c r="I635" s="1">
        <v>6325481</v>
      </c>
      <c r="J635" s="1">
        <v>0</v>
      </c>
      <c r="K635" s="1">
        <v>0</v>
      </c>
      <c r="L635" s="1">
        <v>7628143</v>
      </c>
      <c r="M635" s="1">
        <v>1000000</v>
      </c>
      <c r="N635" s="1">
        <v>4787497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6924192</v>
      </c>
      <c r="W635" s="1">
        <v>1900000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3033762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40635476</v>
      </c>
      <c r="AP635" s="1">
        <v>11389642</v>
      </c>
      <c r="AQ635" s="1">
        <v>29245834</v>
      </c>
      <c r="AR635" s="1">
        <v>7520343</v>
      </c>
      <c r="AS635" s="1">
        <v>1128051</v>
      </c>
      <c r="AT635" s="1">
        <f t="shared" si="61"/>
        <v>49283870</v>
      </c>
    </row>
    <row r="636" spans="1:46" x14ac:dyDescent="0.2">
      <c r="A636" s="1" t="str">
        <f>"00727"</f>
        <v>00727</v>
      </c>
      <c r="B636" s="1" t="str">
        <f>"عبدالناصر"</f>
        <v>عبدالناصر</v>
      </c>
      <c r="C636" s="1" t="str">
        <f>"بچاچري نژاد"</f>
        <v>بچاچري نژاد</v>
      </c>
      <c r="D636" s="1" t="str">
        <f t="shared" si="68"/>
        <v>قراردادي کارگري</v>
      </c>
      <c r="E636" s="1" t="str">
        <f t="shared" si="69"/>
        <v>پروژه تعميرات نيروگاه بوشهر</v>
      </c>
      <c r="F636" s="1">
        <v>6969046</v>
      </c>
      <c r="G636" s="1">
        <v>0</v>
      </c>
      <c r="H636" s="1">
        <v>0</v>
      </c>
      <c r="I636" s="1">
        <v>5296475</v>
      </c>
      <c r="J636" s="1">
        <v>0</v>
      </c>
      <c r="K636" s="1">
        <v>0</v>
      </c>
      <c r="L636" s="1">
        <v>7672721</v>
      </c>
      <c r="M636" s="1">
        <v>1000000</v>
      </c>
      <c r="N636" s="1">
        <v>3667920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9177976</v>
      </c>
      <c r="W636" s="1">
        <v>1900000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6067524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41751662</v>
      </c>
      <c r="AP636" s="1">
        <v>7819860</v>
      </c>
      <c r="AQ636" s="1">
        <v>33931802</v>
      </c>
      <c r="AR636" s="1">
        <v>7136828</v>
      </c>
      <c r="AS636" s="1">
        <v>1070524</v>
      </c>
      <c r="AT636" s="1">
        <f t="shared" si="61"/>
        <v>49959014</v>
      </c>
    </row>
    <row r="637" spans="1:46" x14ac:dyDescent="0.2">
      <c r="A637" s="1" t="str">
        <f>"00728"</f>
        <v>00728</v>
      </c>
      <c r="B637" s="1" t="str">
        <f>"مهدي"</f>
        <v>مهدي</v>
      </c>
      <c r="C637" s="1" t="str">
        <f>"آبسته"</f>
        <v>آبسته</v>
      </c>
      <c r="D637" s="1" t="str">
        <f t="shared" si="68"/>
        <v>قراردادي کارگري</v>
      </c>
      <c r="E637" s="1" t="str">
        <f t="shared" si="69"/>
        <v>پروژه تعميرات نيروگاه بوشهر</v>
      </c>
      <c r="F637" s="1">
        <v>6505267</v>
      </c>
      <c r="G637" s="1">
        <v>3266488</v>
      </c>
      <c r="H637" s="1">
        <v>0</v>
      </c>
      <c r="I637" s="1">
        <v>4618741</v>
      </c>
      <c r="J637" s="1">
        <v>0</v>
      </c>
      <c r="K637" s="1">
        <v>0</v>
      </c>
      <c r="L637" s="1">
        <v>7628143</v>
      </c>
      <c r="M637" s="1">
        <v>1000000</v>
      </c>
      <c r="N637" s="1">
        <v>3423825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8684562</v>
      </c>
      <c r="W637" s="1">
        <v>1900000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37027026</v>
      </c>
      <c r="AP637" s="1">
        <v>6749361</v>
      </c>
      <c r="AQ637" s="1">
        <v>30277665</v>
      </c>
      <c r="AR637" s="1">
        <v>7405405</v>
      </c>
      <c r="AS637" s="1">
        <v>1110811</v>
      </c>
      <c r="AT637" s="1">
        <f t="shared" si="61"/>
        <v>45543242</v>
      </c>
    </row>
    <row r="638" spans="1:46" x14ac:dyDescent="0.2">
      <c r="A638" s="1" t="str">
        <f>"00729"</f>
        <v>00729</v>
      </c>
      <c r="B638" s="1" t="str">
        <f>"مصطفي"</f>
        <v>مصطفي</v>
      </c>
      <c r="C638" s="1" t="str">
        <f>"ايرج زاده"</f>
        <v>ايرج زاده</v>
      </c>
      <c r="D638" s="1" t="str">
        <f t="shared" si="68"/>
        <v>قراردادي کارگري</v>
      </c>
      <c r="E638" s="1" t="str">
        <f t="shared" si="69"/>
        <v>پروژه تعميرات نيروگاه بوشهر</v>
      </c>
      <c r="F638" s="1">
        <v>6975230</v>
      </c>
      <c r="G638" s="1">
        <v>1135393</v>
      </c>
      <c r="H638" s="1">
        <v>0</v>
      </c>
      <c r="I638" s="1">
        <v>4882661</v>
      </c>
      <c r="J638" s="1">
        <v>0</v>
      </c>
      <c r="K638" s="1">
        <v>0</v>
      </c>
      <c r="L638" s="1">
        <v>7628143</v>
      </c>
      <c r="M638" s="1">
        <v>1000000</v>
      </c>
      <c r="N638" s="1">
        <v>3671174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9023086</v>
      </c>
      <c r="W638" s="1">
        <v>1900000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36215687</v>
      </c>
      <c r="AP638" s="1">
        <v>8945587</v>
      </c>
      <c r="AQ638" s="1">
        <v>27270100</v>
      </c>
      <c r="AR638" s="1">
        <v>7243137</v>
      </c>
      <c r="AS638" s="1">
        <v>1086471</v>
      </c>
      <c r="AT638" s="1">
        <f t="shared" si="61"/>
        <v>44545295</v>
      </c>
    </row>
    <row r="639" spans="1:46" x14ac:dyDescent="0.2">
      <c r="A639" s="1" t="str">
        <f>"00731"</f>
        <v>00731</v>
      </c>
      <c r="B639" s="1" t="str">
        <f>"امير"</f>
        <v>امير</v>
      </c>
      <c r="C639" s="1" t="str">
        <f>"جمالي نژاد"</f>
        <v>جمالي نژاد</v>
      </c>
      <c r="D639" s="1" t="str">
        <f t="shared" si="68"/>
        <v>قراردادي کارگري</v>
      </c>
      <c r="E639" s="1" t="str">
        <f t="shared" si="69"/>
        <v>پروژه تعميرات نيروگاه بوشهر</v>
      </c>
      <c r="F639" s="1">
        <v>8919684</v>
      </c>
      <c r="G639" s="1">
        <v>4847512</v>
      </c>
      <c r="H639" s="1">
        <v>0</v>
      </c>
      <c r="I639" s="1">
        <v>6332975</v>
      </c>
      <c r="J639" s="1">
        <v>0</v>
      </c>
      <c r="K639" s="1">
        <v>0</v>
      </c>
      <c r="L639" s="1">
        <v>7628143</v>
      </c>
      <c r="M639" s="1">
        <v>1000000</v>
      </c>
      <c r="N639" s="1">
        <v>4725660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10558079</v>
      </c>
      <c r="W639" s="1">
        <v>1900000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4140969</v>
      </c>
      <c r="AE639" s="1">
        <v>0</v>
      </c>
      <c r="AF639" s="1">
        <v>3033762</v>
      </c>
      <c r="AG639" s="1">
        <v>0</v>
      </c>
      <c r="AH639" s="1">
        <v>0</v>
      </c>
      <c r="AI639" s="1">
        <v>0</v>
      </c>
      <c r="AJ639" s="1">
        <v>5170680</v>
      </c>
      <c r="AK639" s="1">
        <v>0</v>
      </c>
      <c r="AL639" s="1">
        <v>0</v>
      </c>
      <c r="AM639" s="1">
        <v>0</v>
      </c>
      <c r="AN639" s="1">
        <v>0</v>
      </c>
      <c r="AO639" s="1">
        <v>58257464</v>
      </c>
      <c r="AP639" s="1">
        <v>7385403</v>
      </c>
      <c r="AQ639" s="1">
        <v>50872061</v>
      </c>
      <c r="AR639" s="1">
        <v>11044740</v>
      </c>
      <c r="AS639" s="1">
        <v>1656711</v>
      </c>
      <c r="AT639" s="1">
        <f t="shared" si="61"/>
        <v>70958915</v>
      </c>
    </row>
    <row r="640" spans="1:46" x14ac:dyDescent="0.2">
      <c r="A640" s="1" t="str">
        <f>"00732"</f>
        <v>00732</v>
      </c>
      <c r="B640" s="1" t="str">
        <f>"محمد امين"</f>
        <v>محمد امين</v>
      </c>
      <c r="C640" s="1" t="str">
        <f>"جوي"</f>
        <v>جوي</v>
      </c>
      <c r="D640" s="1" t="str">
        <f t="shared" si="68"/>
        <v>قراردادي کارگري</v>
      </c>
      <c r="E640" s="1" t="str">
        <f t="shared" si="69"/>
        <v>پروژه تعميرات نيروگاه بوشهر</v>
      </c>
      <c r="F640" s="1">
        <v>7370988</v>
      </c>
      <c r="G640" s="1">
        <v>3531615</v>
      </c>
      <c r="H640" s="1">
        <v>0</v>
      </c>
      <c r="I640" s="1">
        <v>5159692</v>
      </c>
      <c r="J640" s="1">
        <v>0</v>
      </c>
      <c r="K640" s="1">
        <v>0</v>
      </c>
      <c r="L640" s="1">
        <v>7628143</v>
      </c>
      <c r="M640" s="1">
        <v>1000000</v>
      </c>
      <c r="N640" s="1">
        <v>3879467</v>
      </c>
      <c r="O640" s="1">
        <v>0</v>
      </c>
      <c r="P640" s="1">
        <v>0</v>
      </c>
      <c r="Q640" s="1">
        <v>0</v>
      </c>
      <c r="R640" s="1">
        <v>551479</v>
      </c>
      <c r="S640" s="1">
        <v>0</v>
      </c>
      <c r="T640" s="1">
        <v>0</v>
      </c>
      <c r="U640" s="1">
        <v>0</v>
      </c>
      <c r="V640" s="1">
        <v>9327060</v>
      </c>
      <c r="W640" s="1">
        <v>1900000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40348444</v>
      </c>
      <c r="AP640" s="1">
        <v>11432536</v>
      </c>
      <c r="AQ640" s="1">
        <v>28915908</v>
      </c>
      <c r="AR640" s="1">
        <v>7959393</v>
      </c>
      <c r="AS640" s="1">
        <v>1193909</v>
      </c>
      <c r="AT640" s="1">
        <f t="shared" si="61"/>
        <v>49501746</v>
      </c>
    </row>
    <row r="641" spans="1:46" x14ac:dyDescent="0.2">
      <c r="A641" s="1" t="str">
        <f>"00733"</f>
        <v>00733</v>
      </c>
      <c r="B641" s="1" t="str">
        <f>"محمد"</f>
        <v>محمد</v>
      </c>
      <c r="C641" s="1" t="str">
        <f>"چم کوري"</f>
        <v>چم کوري</v>
      </c>
      <c r="D641" s="1" t="str">
        <f>"قراردادي بهره بردار"</f>
        <v>قراردادي بهره بردار</v>
      </c>
      <c r="E641" s="1" t="str">
        <f t="shared" si="69"/>
        <v>پروژه تعميرات نيروگاه بوشهر</v>
      </c>
      <c r="F641" s="1">
        <v>14320388</v>
      </c>
      <c r="G641" s="1">
        <v>-2819760</v>
      </c>
      <c r="H641" s="1">
        <v>0</v>
      </c>
      <c r="I641" s="1">
        <v>11374288</v>
      </c>
      <c r="J641" s="1">
        <v>0</v>
      </c>
      <c r="K641" s="1">
        <v>4620000</v>
      </c>
      <c r="L641" s="1">
        <v>0</v>
      </c>
      <c r="M641" s="1">
        <v>1000000</v>
      </c>
      <c r="N641" s="1">
        <v>2731104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7302161</v>
      </c>
      <c r="W641" s="1">
        <v>1900000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1950789</v>
      </c>
      <c r="AF641" s="1">
        <v>1516881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-10092773</v>
      </c>
      <c r="AM641" s="1">
        <v>0</v>
      </c>
      <c r="AN641" s="1">
        <v>0</v>
      </c>
      <c r="AO641" s="1">
        <v>33803078</v>
      </c>
      <c r="AP641" s="1">
        <v>20956210</v>
      </c>
      <c r="AQ641" s="1">
        <v>12846868</v>
      </c>
      <c r="AR641" s="1">
        <v>6457239</v>
      </c>
      <c r="AS641" s="1">
        <v>968587</v>
      </c>
      <c r="AT641" s="1">
        <f t="shared" si="61"/>
        <v>41228904</v>
      </c>
    </row>
    <row r="642" spans="1:46" x14ac:dyDescent="0.2">
      <c r="A642" s="1" t="str">
        <f>"00734"</f>
        <v>00734</v>
      </c>
      <c r="B642" s="1" t="str">
        <f>"حسين"</f>
        <v>حسين</v>
      </c>
      <c r="C642" s="1" t="str">
        <f>"حيدريان"</f>
        <v>حيدريان</v>
      </c>
      <c r="D642" s="1" t="str">
        <f t="shared" ref="D642:D650" si="70">"قراردادي کارگري"</f>
        <v>قراردادي کارگري</v>
      </c>
      <c r="E642" s="1" t="str">
        <f t="shared" si="69"/>
        <v>پروژه تعميرات نيروگاه بوشهر</v>
      </c>
      <c r="F642" s="1">
        <v>6851556</v>
      </c>
      <c r="G642" s="1">
        <v>4040379</v>
      </c>
      <c r="H642" s="1">
        <v>0</v>
      </c>
      <c r="I642" s="1">
        <v>4796090</v>
      </c>
      <c r="J642" s="1">
        <v>0</v>
      </c>
      <c r="K642" s="1">
        <v>0</v>
      </c>
      <c r="L642" s="1">
        <v>7628143</v>
      </c>
      <c r="M642" s="1">
        <v>1000000</v>
      </c>
      <c r="N642" s="1">
        <v>3606082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8928095</v>
      </c>
      <c r="W642" s="1">
        <v>1900000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3432281</v>
      </c>
      <c r="AE642" s="1">
        <v>0</v>
      </c>
      <c r="AF642" s="1">
        <v>1516881</v>
      </c>
      <c r="AG642" s="1">
        <v>0</v>
      </c>
      <c r="AH642" s="1">
        <v>0</v>
      </c>
      <c r="AI642" s="1">
        <v>0</v>
      </c>
      <c r="AJ642" s="1">
        <v>2873158</v>
      </c>
      <c r="AK642" s="1">
        <v>0</v>
      </c>
      <c r="AL642" s="1">
        <v>0</v>
      </c>
      <c r="AM642" s="1">
        <v>0</v>
      </c>
      <c r="AN642" s="1">
        <v>0</v>
      </c>
      <c r="AO642" s="1">
        <v>46572665</v>
      </c>
      <c r="AP642" s="1">
        <v>20382806</v>
      </c>
      <c r="AQ642" s="1">
        <v>26189859</v>
      </c>
      <c r="AR642" s="1">
        <v>9011157</v>
      </c>
      <c r="AS642" s="1">
        <v>1351674</v>
      </c>
      <c r="AT642" s="1">
        <f t="shared" si="61"/>
        <v>56935496</v>
      </c>
    </row>
    <row r="643" spans="1:46" x14ac:dyDescent="0.2">
      <c r="A643" s="1" t="str">
        <f>"00735"</f>
        <v>00735</v>
      </c>
      <c r="B643" s="1" t="str">
        <f>"هادي"</f>
        <v>هادي</v>
      </c>
      <c r="C643" s="1" t="str">
        <f>"خبازي"</f>
        <v>خبازي</v>
      </c>
      <c r="D643" s="1" t="str">
        <f t="shared" si="70"/>
        <v>قراردادي کارگري</v>
      </c>
      <c r="E643" s="1" t="str">
        <f t="shared" si="69"/>
        <v>پروژه تعميرات نيروگاه بوشهر</v>
      </c>
      <c r="F643" s="1">
        <v>7228763</v>
      </c>
      <c r="G643" s="1">
        <v>1162179</v>
      </c>
      <c r="H643" s="1">
        <v>0</v>
      </c>
      <c r="I643" s="1">
        <v>5060134</v>
      </c>
      <c r="J643" s="1">
        <v>0</v>
      </c>
      <c r="K643" s="1">
        <v>0</v>
      </c>
      <c r="L643" s="1">
        <v>7628143</v>
      </c>
      <c r="M643" s="1">
        <v>1000000</v>
      </c>
      <c r="N643" s="1">
        <v>3804611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9217820</v>
      </c>
      <c r="W643" s="1">
        <v>1900000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37001650</v>
      </c>
      <c r="AP643" s="1">
        <v>6577699</v>
      </c>
      <c r="AQ643" s="1">
        <v>30423951</v>
      </c>
      <c r="AR643" s="1">
        <v>7400330</v>
      </c>
      <c r="AS643" s="1">
        <v>1110050</v>
      </c>
      <c r="AT643" s="1">
        <f t="shared" ref="AT643:AT706" si="71">AO643+AR643+AS643</f>
        <v>45512030</v>
      </c>
    </row>
    <row r="644" spans="1:46" x14ac:dyDescent="0.2">
      <c r="A644" s="1" t="str">
        <f>"00736"</f>
        <v>00736</v>
      </c>
      <c r="B644" s="1" t="str">
        <f>"امير"</f>
        <v>امير</v>
      </c>
      <c r="C644" s="1" t="str">
        <f>"روزرخ"</f>
        <v>روزرخ</v>
      </c>
      <c r="D644" s="1" t="str">
        <f t="shared" si="70"/>
        <v>قراردادي کارگري</v>
      </c>
      <c r="E644" s="1" t="str">
        <f t="shared" si="69"/>
        <v>پروژه تعميرات نيروگاه بوشهر</v>
      </c>
      <c r="F644" s="1">
        <v>10239384</v>
      </c>
      <c r="G644" s="1">
        <v>1524408</v>
      </c>
      <c r="H644" s="1">
        <v>0</v>
      </c>
      <c r="I644" s="1">
        <v>8191507</v>
      </c>
      <c r="J644" s="1">
        <v>0</v>
      </c>
      <c r="K644" s="1">
        <v>0</v>
      </c>
      <c r="L644" s="1">
        <v>7462913</v>
      </c>
      <c r="M644" s="1">
        <v>1000000</v>
      </c>
      <c r="N644" s="1">
        <v>5461005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11851259</v>
      </c>
      <c r="W644" s="1">
        <v>1900000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1516881</v>
      </c>
      <c r="AG644" s="1">
        <v>0</v>
      </c>
      <c r="AH644" s="1">
        <v>0</v>
      </c>
      <c r="AI644" s="1">
        <v>2500000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51647357</v>
      </c>
      <c r="AP644" s="1">
        <v>12060286</v>
      </c>
      <c r="AQ644" s="1">
        <v>39587071</v>
      </c>
      <c r="AR644" s="1">
        <v>9526095</v>
      </c>
      <c r="AS644" s="1">
        <v>1428914</v>
      </c>
      <c r="AT644" s="1">
        <f t="shared" si="71"/>
        <v>62602366</v>
      </c>
    </row>
    <row r="645" spans="1:46" x14ac:dyDescent="0.2">
      <c r="A645" s="1" t="str">
        <f>"00737"</f>
        <v>00737</v>
      </c>
      <c r="B645" s="1" t="str">
        <f>"ماشاءاله"</f>
        <v>ماشاءاله</v>
      </c>
      <c r="C645" s="1" t="str">
        <f>"رفيعي"</f>
        <v>رفيعي</v>
      </c>
      <c r="D645" s="1" t="str">
        <f t="shared" si="70"/>
        <v>قراردادي کارگري</v>
      </c>
      <c r="E645" s="1" t="str">
        <f t="shared" si="69"/>
        <v>پروژه تعميرات نيروگاه بوشهر</v>
      </c>
      <c r="F645" s="1">
        <v>10412440</v>
      </c>
      <c r="G645" s="1">
        <v>12092464</v>
      </c>
      <c r="H645" s="1">
        <v>0</v>
      </c>
      <c r="I645" s="1">
        <v>7705205</v>
      </c>
      <c r="J645" s="1">
        <v>0</v>
      </c>
      <c r="K645" s="1">
        <v>0</v>
      </c>
      <c r="L645" s="1">
        <v>7628143</v>
      </c>
      <c r="M645" s="1">
        <v>1000000</v>
      </c>
      <c r="N645" s="1">
        <v>5516525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10534636</v>
      </c>
      <c r="W645" s="1">
        <v>1900000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4550643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61340056</v>
      </c>
      <c r="AP645" s="1">
        <v>20983134</v>
      </c>
      <c r="AQ645" s="1">
        <v>40356922</v>
      </c>
      <c r="AR645" s="1">
        <v>11357883</v>
      </c>
      <c r="AS645" s="1">
        <v>1703682</v>
      </c>
      <c r="AT645" s="1">
        <f t="shared" si="71"/>
        <v>74401621</v>
      </c>
    </row>
    <row r="646" spans="1:46" x14ac:dyDescent="0.2">
      <c r="A646" s="1" t="str">
        <f>"00738"</f>
        <v>00738</v>
      </c>
      <c r="B646" s="1" t="str">
        <f>"احمد"</f>
        <v>احمد</v>
      </c>
      <c r="C646" s="1" t="str">
        <f>"غلامي"</f>
        <v>غلامي</v>
      </c>
      <c r="D646" s="1" t="str">
        <f t="shared" si="70"/>
        <v>قراردادي کارگري</v>
      </c>
      <c r="E646" s="1" t="str">
        <f t="shared" si="69"/>
        <v>پروژه تعميرات نيروگاه بوشهر</v>
      </c>
      <c r="F646" s="1">
        <v>6849481</v>
      </c>
      <c r="G646" s="1">
        <v>1956401</v>
      </c>
      <c r="H646" s="1">
        <v>0</v>
      </c>
      <c r="I646" s="1">
        <v>5000121</v>
      </c>
      <c r="J646" s="1">
        <v>0</v>
      </c>
      <c r="K646" s="1">
        <v>0</v>
      </c>
      <c r="L646" s="1">
        <v>7672721</v>
      </c>
      <c r="M646" s="1">
        <v>1000000</v>
      </c>
      <c r="N646" s="1">
        <v>3628865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11505056</v>
      </c>
      <c r="W646" s="1">
        <v>1900000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3472678</v>
      </c>
      <c r="AE646" s="1">
        <v>0</v>
      </c>
      <c r="AF646" s="1">
        <v>1516881</v>
      </c>
      <c r="AG646" s="1">
        <v>0</v>
      </c>
      <c r="AH646" s="1">
        <v>0</v>
      </c>
      <c r="AI646" s="1">
        <v>0</v>
      </c>
      <c r="AJ646" s="1">
        <v>3130241</v>
      </c>
      <c r="AK646" s="1">
        <v>0</v>
      </c>
      <c r="AL646" s="1">
        <v>0</v>
      </c>
      <c r="AM646" s="1">
        <v>0</v>
      </c>
      <c r="AN646" s="1">
        <v>0</v>
      </c>
      <c r="AO646" s="1">
        <v>47632445</v>
      </c>
      <c r="AP646" s="1">
        <v>16363147</v>
      </c>
      <c r="AQ646" s="1">
        <v>31269298</v>
      </c>
      <c r="AR646" s="1">
        <v>9223113</v>
      </c>
      <c r="AS646" s="1">
        <v>1383467</v>
      </c>
      <c r="AT646" s="1">
        <f t="shared" si="71"/>
        <v>58239025</v>
      </c>
    </row>
    <row r="647" spans="1:46" x14ac:dyDescent="0.2">
      <c r="A647" s="1" t="str">
        <f>"00739"</f>
        <v>00739</v>
      </c>
      <c r="B647" s="1" t="str">
        <f>"سعيد"</f>
        <v>سعيد</v>
      </c>
      <c r="C647" s="1" t="str">
        <f>"آقايي کردشامي"</f>
        <v>آقايي کردشامي</v>
      </c>
      <c r="D647" s="1" t="str">
        <f t="shared" si="70"/>
        <v>قراردادي کارگري</v>
      </c>
      <c r="E647" s="1" t="str">
        <f t="shared" si="69"/>
        <v>پروژه تعميرات نيروگاه بوشهر</v>
      </c>
      <c r="F647" s="1">
        <v>7197844</v>
      </c>
      <c r="G647" s="1">
        <v>5877528</v>
      </c>
      <c r="H647" s="1">
        <v>0</v>
      </c>
      <c r="I647" s="1">
        <v>5182448</v>
      </c>
      <c r="J647" s="1">
        <v>0</v>
      </c>
      <c r="K647" s="1">
        <v>0</v>
      </c>
      <c r="L647" s="1">
        <v>7628143</v>
      </c>
      <c r="M647" s="1">
        <v>1000000</v>
      </c>
      <c r="N647" s="1">
        <v>3788338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8238983</v>
      </c>
      <c r="W647" s="1">
        <v>1900000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3033762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43847046</v>
      </c>
      <c r="AP647" s="1">
        <v>13323550</v>
      </c>
      <c r="AQ647" s="1">
        <v>30523496</v>
      </c>
      <c r="AR647" s="1">
        <v>8162657</v>
      </c>
      <c r="AS647" s="1">
        <v>1224399</v>
      </c>
      <c r="AT647" s="1">
        <f t="shared" si="71"/>
        <v>53234102</v>
      </c>
    </row>
    <row r="648" spans="1:46" x14ac:dyDescent="0.2">
      <c r="A648" s="1" t="str">
        <f>"00740"</f>
        <v>00740</v>
      </c>
      <c r="B648" s="1" t="str">
        <f>"محمد"</f>
        <v>محمد</v>
      </c>
      <c r="C648" s="1" t="str">
        <f>"ماهيني"</f>
        <v>ماهيني</v>
      </c>
      <c r="D648" s="1" t="str">
        <f t="shared" si="70"/>
        <v>قراردادي کارگري</v>
      </c>
      <c r="E648" s="1" t="str">
        <f t="shared" si="69"/>
        <v>پروژه تعميرات نيروگاه بوشهر</v>
      </c>
      <c r="F648" s="1">
        <v>7346253</v>
      </c>
      <c r="G648" s="1">
        <v>11849799</v>
      </c>
      <c r="H648" s="1">
        <v>0</v>
      </c>
      <c r="I648" s="1">
        <v>5509690</v>
      </c>
      <c r="J648" s="1">
        <v>0</v>
      </c>
      <c r="K648" s="1">
        <v>0</v>
      </c>
      <c r="L648" s="1">
        <v>7628143</v>
      </c>
      <c r="M648" s="1">
        <v>1000000</v>
      </c>
      <c r="N648" s="1">
        <v>3866449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2734720</v>
      </c>
      <c r="W648" s="1">
        <v>1900000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41835054</v>
      </c>
      <c r="AP648" s="1">
        <v>7275066</v>
      </c>
      <c r="AQ648" s="1">
        <v>34559988</v>
      </c>
      <c r="AR648" s="1">
        <v>8367011</v>
      </c>
      <c r="AS648" s="1">
        <v>1255052</v>
      </c>
      <c r="AT648" s="1">
        <f t="shared" si="71"/>
        <v>51457117</v>
      </c>
    </row>
    <row r="649" spans="1:46" x14ac:dyDescent="0.2">
      <c r="A649" s="1" t="str">
        <f>"00742"</f>
        <v>00742</v>
      </c>
      <c r="B649" s="1" t="str">
        <f>"امير"</f>
        <v>امير</v>
      </c>
      <c r="C649" s="1" t="str">
        <f>"رستمي پور"</f>
        <v>رستمي پور</v>
      </c>
      <c r="D649" s="1" t="str">
        <f t="shared" si="70"/>
        <v>قراردادي کارگري</v>
      </c>
      <c r="E649" s="1" t="str">
        <f t="shared" si="69"/>
        <v>پروژه تعميرات نيروگاه بوشهر</v>
      </c>
      <c r="F649" s="1">
        <v>6523819</v>
      </c>
      <c r="G649" s="1">
        <v>0</v>
      </c>
      <c r="H649" s="1">
        <v>0</v>
      </c>
      <c r="I649" s="1">
        <v>4958103</v>
      </c>
      <c r="J649" s="1">
        <v>0</v>
      </c>
      <c r="K649" s="1">
        <v>0</v>
      </c>
      <c r="L649" s="1">
        <v>7628143</v>
      </c>
      <c r="M649" s="1">
        <v>1000000</v>
      </c>
      <c r="N649" s="1">
        <v>3433590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2554032</v>
      </c>
      <c r="W649" s="1">
        <v>1900000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27997687</v>
      </c>
      <c r="AP649" s="1">
        <v>4885653</v>
      </c>
      <c r="AQ649" s="1">
        <v>23112034</v>
      </c>
      <c r="AR649" s="1">
        <v>5599537</v>
      </c>
      <c r="AS649" s="1">
        <v>839931</v>
      </c>
      <c r="AT649" s="1">
        <f t="shared" si="71"/>
        <v>34437155</v>
      </c>
    </row>
    <row r="650" spans="1:46" x14ac:dyDescent="0.2">
      <c r="A650" s="1" t="str">
        <f>"00743"</f>
        <v>00743</v>
      </c>
      <c r="B650" s="1" t="str">
        <f>"حسين"</f>
        <v>حسين</v>
      </c>
      <c r="C650" s="1" t="str">
        <f>"جباري فرد"</f>
        <v>جباري فرد</v>
      </c>
      <c r="D650" s="1" t="str">
        <f t="shared" si="70"/>
        <v>قراردادي کارگري</v>
      </c>
      <c r="E650" s="1" t="str">
        <f t="shared" si="69"/>
        <v>پروژه تعميرات نيروگاه بوشهر</v>
      </c>
      <c r="F650" s="1">
        <v>7259681</v>
      </c>
      <c r="G650" s="1">
        <v>4154342</v>
      </c>
      <c r="H650" s="1">
        <v>0</v>
      </c>
      <c r="I650" s="1">
        <v>5154373</v>
      </c>
      <c r="J650" s="1">
        <v>0</v>
      </c>
      <c r="K650" s="1">
        <v>0</v>
      </c>
      <c r="L650" s="1">
        <v>7628143</v>
      </c>
      <c r="M650" s="1">
        <v>1000000</v>
      </c>
      <c r="N650" s="1">
        <v>3820886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5573398</v>
      </c>
      <c r="W650" s="1">
        <v>1900000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1516881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38007704</v>
      </c>
      <c r="AP650" s="1">
        <v>11446920</v>
      </c>
      <c r="AQ650" s="1">
        <v>26560784</v>
      </c>
      <c r="AR650" s="1">
        <v>7298165</v>
      </c>
      <c r="AS650" s="1">
        <v>1094725</v>
      </c>
      <c r="AT650" s="1">
        <f t="shared" si="71"/>
        <v>46400594</v>
      </c>
    </row>
    <row r="651" spans="1:46" x14ac:dyDescent="0.2">
      <c r="A651" s="1" t="str">
        <f>"00744"</f>
        <v>00744</v>
      </c>
      <c r="B651" s="1" t="str">
        <f>"منصور"</f>
        <v>منصور</v>
      </c>
      <c r="C651" s="1" t="str">
        <f>"صفايان آزاد"</f>
        <v>صفايان آزاد</v>
      </c>
      <c r="D651" s="1" t="str">
        <f>"قراردادي بهره بردار"</f>
        <v>قراردادي بهره بردار</v>
      </c>
      <c r="E651" s="1" t="str">
        <f>"پروژه بهره برداري نيروگاه بوشهر"</f>
        <v>پروژه بهره برداري نيروگاه بوشهر</v>
      </c>
      <c r="F651" s="1">
        <v>13724527</v>
      </c>
      <c r="G651" s="1">
        <v>6110208</v>
      </c>
      <c r="H651" s="1">
        <v>0</v>
      </c>
      <c r="I651" s="1">
        <v>9903905</v>
      </c>
      <c r="J651" s="1">
        <v>0</v>
      </c>
      <c r="K651" s="1">
        <v>4620000</v>
      </c>
      <c r="L651" s="1">
        <v>0</v>
      </c>
      <c r="M651" s="1">
        <v>1000000</v>
      </c>
      <c r="N651" s="1">
        <v>2281032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1606000</v>
      </c>
      <c r="U651" s="1">
        <v>0</v>
      </c>
      <c r="V651" s="1">
        <v>12339397</v>
      </c>
      <c r="W651" s="1">
        <v>1900000</v>
      </c>
      <c r="X651" s="1">
        <v>1992270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1629308</v>
      </c>
      <c r="AF651" s="1">
        <v>3033762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8227596</v>
      </c>
      <c r="AM651" s="1">
        <v>0</v>
      </c>
      <c r="AN651" s="1">
        <v>0</v>
      </c>
      <c r="AO651" s="1">
        <v>68368005</v>
      </c>
      <c r="AP651" s="1">
        <v>28858674</v>
      </c>
      <c r="AQ651" s="1">
        <v>39509331</v>
      </c>
      <c r="AR651" s="1">
        <v>12745649</v>
      </c>
      <c r="AS651" s="1">
        <v>1911847</v>
      </c>
      <c r="AT651" s="1">
        <f t="shared" si="71"/>
        <v>83025501</v>
      </c>
    </row>
    <row r="652" spans="1:46" x14ac:dyDescent="0.2">
      <c r="A652" s="1" t="str">
        <f>"00745"</f>
        <v>00745</v>
      </c>
      <c r="B652" s="1" t="str">
        <f>"بهروز"</f>
        <v>بهروز</v>
      </c>
      <c r="C652" s="1" t="str">
        <f>"بحراني"</f>
        <v>بحراني</v>
      </c>
      <c r="D652" s="1" t="str">
        <f>"قراردادي بهره بردار"</f>
        <v>قراردادي بهره بردار</v>
      </c>
      <c r="E652" s="1" t="str">
        <f>"پروژه تعميرات نيروگاه بوشهر"</f>
        <v>پروژه تعميرات نيروگاه بوشهر</v>
      </c>
      <c r="F652" s="1">
        <v>18563709</v>
      </c>
      <c r="G652" s="1">
        <v>8175365</v>
      </c>
      <c r="H652" s="1">
        <v>0</v>
      </c>
      <c r="I652" s="1">
        <v>14719055</v>
      </c>
      <c r="J652" s="1">
        <v>0</v>
      </c>
      <c r="K652" s="1">
        <v>5500000</v>
      </c>
      <c r="L652" s="1">
        <v>0</v>
      </c>
      <c r="M652" s="1">
        <v>1000000</v>
      </c>
      <c r="N652" s="1">
        <v>3139006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13453598</v>
      </c>
      <c r="W652" s="1">
        <v>1900000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2242147</v>
      </c>
      <c r="AF652" s="1">
        <v>0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5810787</v>
      </c>
      <c r="AM652" s="1">
        <v>0</v>
      </c>
      <c r="AN652" s="1">
        <v>0</v>
      </c>
      <c r="AO652" s="1">
        <v>74503667</v>
      </c>
      <c r="AP652" s="1">
        <v>20658428</v>
      </c>
      <c r="AQ652" s="1">
        <v>53845239</v>
      </c>
      <c r="AR652" s="1">
        <v>14900733</v>
      </c>
      <c r="AS652" s="1">
        <v>2235110</v>
      </c>
      <c r="AT652" s="1">
        <f t="shared" si="71"/>
        <v>91639510</v>
      </c>
    </row>
    <row r="653" spans="1:46" x14ac:dyDescent="0.2">
      <c r="A653" s="1" t="str">
        <f>"00746"</f>
        <v>00746</v>
      </c>
      <c r="B653" s="1" t="str">
        <f>"عبدالکريم"</f>
        <v>عبدالکريم</v>
      </c>
      <c r="C653" s="1" t="str">
        <f>"اسفندياري"</f>
        <v>اسفندياري</v>
      </c>
      <c r="D653" s="1" t="str">
        <f>"قراردادي کارگري"</f>
        <v>قراردادي کارگري</v>
      </c>
      <c r="E653" s="1" t="str">
        <f>"پروژه تعميرات نيروگاه بوشهر"</f>
        <v>پروژه تعميرات نيروگاه بوشهر</v>
      </c>
      <c r="F653" s="1">
        <v>9073259</v>
      </c>
      <c r="G653" s="1">
        <v>2648148</v>
      </c>
      <c r="H653" s="1">
        <v>0</v>
      </c>
      <c r="I653" s="1">
        <v>6532747</v>
      </c>
      <c r="J653" s="1">
        <v>0</v>
      </c>
      <c r="K653" s="1">
        <v>0</v>
      </c>
      <c r="L653" s="1">
        <v>7628143</v>
      </c>
      <c r="M653" s="1">
        <v>1000000</v>
      </c>
      <c r="N653" s="1">
        <v>4807023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13656649</v>
      </c>
      <c r="W653" s="1">
        <v>1900000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4206176</v>
      </c>
      <c r="AE653" s="1">
        <v>0</v>
      </c>
      <c r="AF653" s="1">
        <v>6067524</v>
      </c>
      <c r="AG653" s="1">
        <v>0</v>
      </c>
      <c r="AH653" s="1">
        <v>0</v>
      </c>
      <c r="AI653" s="1">
        <v>0</v>
      </c>
      <c r="AJ653" s="1">
        <v>3766255</v>
      </c>
      <c r="AK653" s="1">
        <v>0</v>
      </c>
      <c r="AL653" s="1">
        <v>0</v>
      </c>
      <c r="AM653" s="1">
        <v>0</v>
      </c>
      <c r="AN653" s="1">
        <v>0</v>
      </c>
      <c r="AO653" s="1">
        <v>61285924</v>
      </c>
      <c r="AP653" s="1">
        <v>10085516</v>
      </c>
      <c r="AQ653" s="1">
        <v>51200408</v>
      </c>
      <c r="AR653" s="1">
        <v>11043680</v>
      </c>
      <c r="AS653" s="1">
        <v>1656552</v>
      </c>
      <c r="AT653" s="1">
        <f t="shared" si="71"/>
        <v>73986156</v>
      </c>
    </row>
    <row r="654" spans="1:46" x14ac:dyDescent="0.2">
      <c r="A654" s="1" t="str">
        <f>"00747"</f>
        <v>00747</v>
      </c>
      <c r="B654" s="1" t="str">
        <f>"محراب"</f>
        <v>محراب</v>
      </c>
      <c r="C654" s="1" t="str">
        <f>"احمدي زاده"</f>
        <v>احمدي زاده</v>
      </c>
      <c r="D654" s="1" t="str">
        <f>"قراردادي کارگري"</f>
        <v>قراردادي کارگري</v>
      </c>
      <c r="E654" s="1" t="str">
        <f>"پروژه تعميرات نيروگاه بوشهر"</f>
        <v>پروژه تعميرات نيروگاه بوشهر</v>
      </c>
      <c r="F654" s="1">
        <v>8568606</v>
      </c>
      <c r="G654" s="1">
        <v>1745727</v>
      </c>
      <c r="H654" s="1">
        <v>0</v>
      </c>
      <c r="I654" s="1">
        <v>6769199</v>
      </c>
      <c r="J654" s="1">
        <v>0</v>
      </c>
      <c r="K654" s="1">
        <v>0</v>
      </c>
      <c r="L654" s="1">
        <v>7462913</v>
      </c>
      <c r="M654" s="1">
        <v>1000000</v>
      </c>
      <c r="N654" s="1">
        <v>4569923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7971419</v>
      </c>
      <c r="W654" s="1">
        <v>1900000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1516881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41504668</v>
      </c>
      <c r="AP654" s="1">
        <v>9450451</v>
      </c>
      <c r="AQ654" s="1">
        <v>32054217</v>
      </c>
      <c r="AR654" s="1">
        <v>7997557</v>
      </c>
      <c r="AS654" s="1">
        <v>1199634</v>
      </c>
      <c r="AT654" s="1">
        <f t="shared" si="71"/>
        <v>50701859</v>
      </c>
    </row>
    <row r="655" spans="1:46" x14ac:dyDescent="0.2">
      <c r="A655" s="1" t="str">
        <f>"00748"</f>
        <v>00748</v>
      </c>
      <c r="B655" s="1" t="str">
        <f>"يعقوب"</f>
        <v>يعقوب</v>
      </c>
      <c r="C655" s="1" t="str">
        <f>"افراز"</f>
        <v>افراز</v>
      </c>
      <c r="D655" s="1" t="str">
        <f>"قراردادي بهره بردار"</f>
        <v>قراردادي بهره بردار</v>
      </c>
      <c r="E655" s="1" t="str">
        <f>"پروژه بهره برداري نيروگاه بوشهر"</f>
        <v>پروژه بهره برداري نيروگاه بوشهر</v>
      </c>
      <c r="F655" s="1">
        <v>9397960</v>
      </c>
      <c r="G655" s="1">
        <v>1311312</v>
      </c>
      <c r="H655" s="1">
        <v>0</v>
      </c>
      <c r="I655" s="1">
        <v>4550167</v>
      </c>
      <c r="J655" s="1">
        <v>0</v>
      </c>
      <c r="K655" s="1">
        <v>4620000</v>
      </c>
      <c r="L655" s="1">
        <v>0</v>
      </c>
      <c r="M655" s="1">
        <v>1000000</v>
      </c>
      <c r="N655" s="1">
        <v>1265110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1877088</v>
      </c>
      <c r="W655" s="1">
        <v>1900000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903650</v>
      </c>
      <c r="AF655" s="1">
        <v>3033762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2653993</v>
      </c>
      <c r="AM655" s="1">
        <v>0</v>
      </c>
      <c r="AN655" s="1">
        <v>0</v>
      </c>
      <c r="AO655" s="1">
        <v>32513042</v>
      </c>
      <c r="AP655" s="1">
        <v>7377681</v>
      </c>
      <c r="AQ655" s="1">
        <v>25135361</v>
      </c>
      <c r="AR655" s="1">
        <v>5895856</v>
      </c>
      <c r="AS655" s="1">
        <v>884378</v>
      </c>
      <c r="AT655" s="1">
        <f t="shared" si="71"/>
        <v>39293276</v>
      </c>
    </row>
    <row r="656" spans="1:46" x14ac:dyDescent="0.2">
      <c r="A656" s="1" t="str">
        <f>"00749"</f>
        <v>00749</v>
      </c>
      <c r="B656" s="1" t="str">
        <f>"عليرضا"</f>
        <v>عليرضا</v>
      </c>
      <c r="C656" s="1" t="str">
        <f>"بدره"</f>
        <v>بدره</v>
      </c>
      <c r="D656" s="1" t="str">
        <f t="shared" ref="D656:D665" si="72">"قراردادي کارگري"</f>
        <v>قراردادي کارگري</v>
      </c>
      <c r="E656" s="1" t="str">
        <f t="shared" ref="E656:E665" si="73">"پروژه تعميرات نيروگاه بوشهر"</f>
        <v>پروژه تعميرات نيروگاه بوشهر</v>
      </c>
      <c r="F656" s="1">
        <v>6412512</v>
      </c>
      <c r="G656" s="1">
        <v>5633658</v>
      </c>
      <c r="H656" s="1">
        <v>0</v>
      </c>
      <c r="I656" s="1">
        <v>4745259</v>
      </c>
      <c r="J656" s="1">
        <v>0</v>
      </c>
      <c r="K656" s="1">
        <v>0</v>
      </c>
      <c r="L656" s="1">
        <v>7628143</v>
      </c>
      <c r="M656" s="1">
        <v>1000000</v>
      </c>
      <c r="N656" s="1">
        <v>3375005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6352291</v>
      </c>
      <c r="W656" s="1">
        <v>1900000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1516881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38563749</v>
      </c>
      <c r="AP656" s="1">
        <v>11082423</v>
      </c>
      <c r="AQ656" s="1">
        <v>27481326</v>
      </c>
      <c r="AR656" s="1">
        <v>7409374</v>
      </c>
      <c r="AS656" s="1">
        <v>1111406</v>
      </c>
      <c r="AT656" s="1">
        <f t="shared" si="71"/>
        <v>47084529</v>
      </c>
    </row>
    <row r="657" spans="1:46" x14ac:dyDescent="0.2">
      <c r="A657" s="1" t="str">
        <f>"00750"</f>
        <v>00750</v>
      </c>
      <c r="B657" s="1" t="str">
        <f>"ابوالفضل"</f>
        <v>ابوالفضل</v>
      </c>
      <c r="C657" s="1" t="str">
        <f>"جمالي"</f>
        <v>جمالي</v>
      </c>
      <c r="D657" s="1" t="str">
        <f t="shared" si="72"/>
        <v>قراردادي کارگري</v>
      </c>
      <c r="E657" s="1" t="str">
        <f t="shared" si="73"/>
        <v>پروژه تعميرات نيروگاه بوشهر</v>
      </c>
      <c r="F657" s="1">
        <v>9608648</v>
      </c>
      <c r="G657" s="1">
        <v>1062845</v>
      </c>
      <c r="H657" s="1">
        <v>0</v>
      </c>
      <c r="I657" s="1">
        <v>7590833</v>
      </c>
      <c r="J657" s="1">
        <v>0</v>
      </c>
      <c r="K657" s="1">
        <v>0</v>
      </c>
      <c r="L657" s="1">
        <v>7462913</v>
      </c>
      <c r="M657" s="1">
        <v>1000000</v>
      </c>
      <c r="N657" s="1">
        <v>5124612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7868081</v>
      </c>
      <c r="W657" s="1">
        <v>1900000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41617932</v>
      </c>
      <c r="AP657" s="1">
        <v>13797026</v>
      </c>
      <c r="AQ657" s="1">
        <v>27820906</v>
      </c>
      <c r="AR657" s="1">
        <v>8323586</v>
      </c>
      <c r="AS657" s="1">
        <v>1248538</v>
      </c>
      <c r="AT657" s="1">
        <f t="shared" si="71"/>
        <v>51190056</v>
      </c>
    </row>
    <row r="658" spans="1:46" x14ac:dyDescent="0.2">
      <c r="A658" s="1" t="str">
        <f>"00751"</f>
        <v>00751</v>
      </c>
      <c r="B658" s="1" t="str">
        <f>"علي اصغر"</f>
        <v>علي اصغر</v>
      </c>
      <c r="C658" s="1" t="str">
        <f>"رستمي پور"</f>
        <v>رستمي پور</v>
      </c>
      <c r="D658" s="1" t="str">
        <f t="shared" si="72"/>
        <v>قراردادي کارگري</v>
      </c>
      <c r="E658" s="1" t="str">
        <f t="shared" si="73"/>
        <v>پروژه تعميرات نيروگاه بوشهر</v>
      </c>
      <c r="F658" s="1">
        <v>10172284</v>
      </c>
      <c r="G658" s="1">
        <v>565160</v>
      </c>
      <c r="H658" s="1">
        <v>0</v>
      </c>
      <c r="I658" s="1">
        <v>8239550</v>
      </c>
      <c r="J658" s="1">
        <v>0</v>
      </c>
      <c r="K658" s="1">
        <v>0</v>
      </c>
      <c r="L658" s="1">
        <v>7462913</v>
      </c>
      <c r="M658" s="1">
        <v>1000000</v>
      </c>
      <c r="N658" s="1">
        <v>5425218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8745641</v>
      </c>
      <c r="W658" s="1">
        <v>1900000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3033762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46544528</v>
      </c>
      <c r="AP658" s="1">
        <v>8370595</v>
      </c>
      <c r="AQ658" s="1">
        <v>38173933</v>
      </c>
      <c r="AR658" s="1">
        <v>8702153</v>
      </c>
      <c r="AS658" s="1">
        <v>1305323</v>
      </c>
      <c r="AT658" s="1">
        <f t="shared" si="71"/>
        <v>56552004</v>
      </c>
    </row>
    <row r="659" spans="1:46" x14ac:dyDescent="0.2">
      <c r="A659" s="1" t="str">
        <f>"00752"</f>
        <v>00752</v>
      </c>
      <c r="B659" s="1" t="str">
        <f>"سجاد"</f>
        <v>سجاد</v>
      </c>
      <c r="C659" s="1" t="str">
        <f>"رضائيان"</f>
        <v>رضائيان</v>
      </c>
      <c r="D659" s="1" t="str">
        <f t="shared" si="72"/>
        <v>قراردادي کارگري</v>
      </c>
      <c r="E659" s="1" t="str">
        <f t="shared" si="73"/>
        <v>پروژه تعميرات نيروگاه بوشهر</v>
      </c>
      <c r="F659" s="1">
        <v>9400639</v>
      </c>
      <c r="G659" s="1">
        <v>0</v>
      </c>
      <c r="H659" s="1">
        <v>0</v>
      </c>
      <c r="I659" s="1">
        <v>7708525</v>
      </c>
      <c r="J659" s="1">
        <v>0</v>
      </c>
      <c r="K659" s="1">
        <v>0</v>
      </c>
      <c r="L659" s="1">
        <v>7462913</v>
      </c>
      <c r="M659" s="1">
        <v>1000000</v>
      </c>
      <c r="N659" s="1">
        <v>5013673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10182006</v>
      </c>
      <c r="W659" s="1">
        <v>1900000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3033762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45701518</v>
      </c>
      <c r="AP659" s="1">
        <v>9620841</v>
      </c>
      <c r="AQ659" s="1">
        <v>36080677</v>
      </c>
      <c r="AR659" s="1">
        <v>8533551</v>
      </c>
      <c r="AS659" s="1">
        <v>1280033</v>
      </c>
      <c r="AT659" s="1">
        <f t="shared" si="71"/>
        <v>55515102</v>
      </c>
    </row>
    <row r="660" spans="1:46" x14ac:dyDescent="0.2">
      <c r="A660" s="1" t="str">
        <f>"00753"</f>
        <v>00753</v>
      </c>
      <c r="B660" s="1" t="str">
        <f>"احمد"</f>
        <v>احمد</v>
      </c>
      <c r="C660" s="1" t="str">
        <f>"كرمي"</f>
        <v>كرمي</v>
      </c>
      <c r="D660" s="1" t="str">
        <f t="shared" si="72"/>
        <v>قراردادي کارگري</v>
      </c>
      <c r="E660" s="1" t="str">
        <f t="shared" si="73"/>
        <v>پروژه تعميرات نيروگاه بوشهر</v>
      </c>
      <c r="F660" s="1">
        <v>8595445</v>
      </c>
      <c r="G660" s="1">
        <v>12378671</v>
      </c>
      <c r="H660" s="1">
        <v>0</v>
      </c>
      <c r="I660" s="1">
        <v>6704448</v>
      </c>
      <c r="J660" s="1">
        <v>0</v>
      </c>
      <c r="K660" s="1">
        <v>0</v>
      </c>
      <c r="L660" s="1">
        <v>7462913</v>
      </c>
      <c r="M660" s="1">
        <v>1000000</v>
      </c>
      <c r="N660" s="1">
        <v>4584237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7737647</v>
      </c>
      <c r="W660" s="1">
        <v>1900000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1516881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51880242</v>
      </c>
      <c r="AP660" s="1">
        <v>7964280</v>
      </c>
      <c r="AQ660" s="1">
        <v>43915962</v>
      </c>
      <c r="AR660" s="1">
        <v>10072672</v>
      </c>
      <c r="AS660" s="1">
        <v>1510901</v>
      </c>
      <c r="AT660" s="1">
        <f t="shared" si="71"/>
        <v>63463815</v>
      </c>
    </row>
    <row r="661" spans="1:46" x14ac:dyDescent="0.2">
      <c r="A661" s="1" t="str">
        <f>"00754"</f>
        <v>00754</v>
      </c>
      <c r="B661" s="1" t="str">
        <f>"احمد"</f>
        <v>احمد</v>
      </c>
      <c r="C661" s="1" t="str">
        <f>"كره بندي"</f>
        <v>كره بندي</v>
      </c>
      <c r="D661" s="1" t="str">
        <f t="shared" si="72"/>
        <v>قراردادي کارگري</v>
      </c>
      <c r="E661" s="1" t="str">
        <f t="shared" si="73"/>
        <v>پروژه تعميرات نيروگاه بوشهر</v>
      </c>
      <c r="F661" s="1">
        <v>8790035</v>
      </c>
      <c r="G661" s="1">
        <v>1515422</v>
      </c>
      <c r="H661" s="1">
        <v>0</v>
      </c>
      <c r="I661" s="1">
        <v>7032028</v>
      </c>
      <c r="J661" s="1">
        <v>0</v>
      </c>
      <c r="K661" s="1">
        <v>0</v>
      </c>
      <c r="L661" s="1">
        <v>7462913</v>
      </c>
      <c r="M661" s="1">
        <v>1000000</v>
      </c>
      <c r="N661" s="1">
        <v>4688019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7819839</v>
      </c>
      <c r="W661" s="1">
        <v>1900000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40208256</v>
      </c>
      <c r="AP661" s="1">
        <v>6033709</v>
      </c>
      <c r="AQ661" s="1">
        <v>34174547</v>
      </c>
      <c r="AR661" s="1">
        <v>8041651</v>
      </c>
      <c r="AS661" s="1">
        <v>1206248</v>
      </c>
      <c r="AT661" s="1">
        <f t="shared" si="71"/>
        <v>49456155</v>
      </c>
    </row>
    <row r="662" spans="1:46" x14ac:dyDescent="0.2">
      <c r="A662" s="1" t="str">
        <f>"00755"</f>
        <v>00755</v>
      </c>
      <c r="B662" s="1" t="str">
        <f>"مجتبي"</f>
        <v>مجتبي</v>
      </c>
      <c r="C662" s="1" t="str">
        <f>"محمدي"</f>
        <v>محمدي</v>
      </c>
      <c r="D662" s="1" t="str">
        <f t="shared" si="72"/>
        <v>قراردادي کارگري</v>
      </c>
      <c r="E662" s="1" t="str">
        <f t="shared" si="73"/>
        <v>پروژه تعميرات نيروگاه بوشهر</v>
      </c>
      <c r="F662" s="1">
        <v>7975772</v>
      </c>
      <c r="G662" s="1">
        <v>1344801</v>
      </c>
      <c r="H662" s="1">
        <v>0</v>
      </c>
      <c r="I662" s="1">
        <v>4785463</v>
      </c>
      <c r="J662" s="1">
        <v>0</v>
      </c>
      <c r="K662" s="1">
        <v>0</v>
      </c>
      <c r="L662" s="1">
        <v>7462913</v>
      </c>
      <c r="M662" s="1">
        <v>1000000</v>
      </c>
      <c r="N662" s="1">
        <v>4253746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2747456</v>
      </c>
      <c r="W662" s="1">
        <v>1900000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3033762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34503913</v>
      </c>
      <c r="AP662" s="1">
        <v>4381630</v>
      </c>
      <c r="AQ662" s="1">
        <v>30122283</v>
      </c>
      <c r="AR662" s="1">
        <v>6294030</v>
      </c>
      <c r="AS662" s="1">
        <v>944105</v>
      </c>
      <c r="AT662" s="1">
        <f t="shared" si="71"/>
        <v>41742048</v>
      </c>
    </row>
    <row r="663" spans="1:46" x14ac:dyDescent="0.2">
      <c r="A663" s="1" t="str">
        <f>"00756"</f>
        <v>00756</v>
      </c>
      <c r="B663" s="1" t="str">
        <f>"محمد مهدي"</f>
        <v>محمد مهدي</v>
      </c>
      <c r="C663" s="1" t="str">
        <f>"نعيمي محمد آبادي"</f>
        <v>نعيمي محمد آبادي</v>
      </c>
      <c r="D663" s="1" t="str">
        <f t="shared" si="72"/>
        <v>قراردادي کارگري</v>
      </c>
      <c r="E663" s="1" t="str">
        <f t="shared" si="73"/>
        <v>پروژه تعميرات نيروگاه بوشهر</v>
      </c>
      <c r="F663" s="1">
        <v>9353670</v>
      </c>
      <c r="G663" s="1">
        <v>7820753</v>
      </c>
      <c r="H663" s="1">
        <v>0</v>
      </c>
      <c r="I663" s="1">
        <v>7670010</v>
      </c>
      <c r="J663" s="1">
        <v>0</v>
      </c>
      <c r="K663" s="1">
        <v>0</v>
      </c>
      <c r="L663" s="1">
        <v>7462913</v>
      </c>
      <c r="M663" s="1">
        <v>1000000</v>
      </c>
      <c r="N663" s="1">
        <v>4988623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7468533</v>
      </c>
      <c r="W663" s="1">
        <v>1900000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1516881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49181383</v>
      </c>
      <c r="AP663" s="1">
        <v>8451432</v>
      </c>
      <c r="AQ663" s="1">
        <v>40729951</v>
      </c>
      <c r="AR663" s="1">
        <v>9532900</v>
      </c>
      <c r="AS663" s="1">
        <v>1429935</v>
      </c>
      <c r="AT663" s="1">
        <f t="shared" si="71"/>
        <v>60144218</v>
      </c>
    </row>
    <row r="664" spans="1:46" x14ac:dyDescent="0.2">
      <c r="A664" s="1" t="str">
        <f>"00757"</f>
        <v>00757</v>
      </c>
      <c r="B664" s="1" t="str">
        <f>"عباس"</f>
        <v>عباس</v>
      </c>
      <c r="C664" s="1" t="str">
        <f>"جوکار"</f>
        <v>جوکار</v>
      </c>
      <c r="D664" s="1" t="str">
        <f t="shared" si="72"/>
        <v>قراردادي کارگري</v>
      </c>
      <c r="E664" s="1" t="str">
        <f t="shared" si="73"/>
        <v>پروژه تعميرات نيروگاه بوشهر</v>
      </c>
      <c r="F664" s="1">
        <v>8595445</v>
      </c>
      <c r="G664" s="1">
        <v>6349936</v>
      </c>
      <c r="H664" s="1">
        <v>0</v>
      </c>
      <c r="I664" s="1">
        <v>6446584</v>
      </c>
      <c r="J664" s="1">
        <v>0</v>
      </c>
      <c r="K664" s="1">
        <v>0</v>
      </c>
      <c r="L664" s="1">
        <v>7462913</v>
      </c>
      <c r="M664" s="1">
        <v>1000000</v>
      </c>
      <c r="N664" s="1">
        <v>4584237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7521462</v>
      </c>
      <c r="W664" s="1">
        <v>1900000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43860577</v>
      </c>
      <c r="AP664" s="1">
        <v>11405581</v>
      </c>
      <c r="AQ664" s="1">
        <v>32454996</v>
      </c>
      <c r="AR664" s="1">
        <v>8772115</v>
      </c>
      <c r="AS664" s="1">
        <v>1315817</v>
      </c>
      <c r="AT664" s="1">
        <f t="shared" si="71"/>
        <v>53948509</v>
      </c>
    </row>
    <row r="665" spans="1:46" x14ac:dyDescent="0.2">
      <c r="A665" s="1" t="str">
        <f>"00758"</f>
        <v>00758</v>
      </c>
      <c r="B665" s="1" t="str">
        <f>"حسين"</f>
        <v>حسين</v>
      </c>
      <c r="C665" s="1" t="str">
        <f>"شنبدي"</f>
        <v>شنبدي</v>
      </c>
      <c r="D665" s="1" t="str">
        <f t="shared" si="72"/>
        <v>قراردادي کارگري</v>
      </c>
      <c r="E665" s="1" t="str">
        <f t="shared" si="73"/>
        <v>پروژه تعميرات نيروگاه بوشهر</v>
      </c>
      <c r="F665" s="1">
        <v>7635789</v>
      </c>
      <c r="G665" s="1">
        <v>2366358</v>
      </c>
      <c r="H665" s="1">
        <v>0</v>
      </c>
      <c r="I665" s="1">
        <v>5650484</v>
      </c>
      <c r="J665" s="1">
        <v>0</v>
      </c>
      <c r="K665" s="1">
        <v>0</v>
      </c>
      <c r="L665" s="1">
        <v>7628143</v>
      </c>
      <c r="M665" s="1">
        <v>1000000</v>
      </c>
      <c r="N665" s="1">
        <v>4045452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12300875</v>
      </c>
      <c r="W665" s="1">
        <v>1900000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3743980</v>
      </c>
      <c r="AE665" s="1">
        <v>0</v>
      </c>
      <c r="AF665" s="1">
        <v>3033762</v>
      </c>
      <c r="AG665" s="1">
        <v>0</v>
      </c>
      <c r="AH665" s="1">
        <v>0</v>
      </c>
      <c r="AI665" s="1">
        <v>0</v>
      </c>
      <c r="AJ665" s="1">
        <v>5048230</v>
      </c>
      <c r="AK665" s="1">
        <v>0</v>
      </c>
      <c r="AL665" s="1">
        <v>0</v>
      </c>
      <c r="AM665" s="1">
        <v>0</v>
      </c>
      <c r="AN665" s="1">
        <v>0</v>
      </c>
      <c r="AO665" s="1">
        <v>54353073</v>
      </c>
      <c r="AP665" s="1">
        <v>8271788</v>
      </c>
      <c r="AQ665" s="1">
        <v>46081285</v>
      </c>
      <c r="AR665" s="1">
        <v>10263862</v>
      </c>
      <c r="AS665" s="1">
        <v>1539579</v>
      </c>
      <c r="AT665" s="1">
        <f t="shared" si="71"/>
        <v>66156514</v>
      </c>
    </row>
    <row r="666" spans="1:46" x14ac:dyDescent="0.2">
      <c r="A666" s="1" t="str">
        <f>"00759"</f>
        <v>00759</v>
      </c>
      <c r="B666" s="1" t="str">
        <f>"داريوش"</f>
        <v>داريوش</v>
      </c>
      <c r="C666" s="1" t="str">
        <f>"گرگين"</f>
        <v>گرگين</v>
      </c>
      <c r="D666" s="1" t="str">
        <f>"قراردادي بهره بردار"</f>
        <v>قراردادي بهره بردار</v>
      </c>
      <c r="E666" s="1" t="str">
        <f>"پروژه بهره برداري نيروگاه بوشهر"</f>
        <v>پروژه بهره برداري نيروگاه بوشهر</v>
      </c>
      <c r="F666" s="1">
        <v>32590547</v>
      </c>
      <c r="G666" s="1">
        <v>6598628</v>
      </c>
      <c r="H666" s="1">
        <v>0</v>
      </c>
      <c r="I666" s="1">
        <v>24715367</v>
      </c>
      <c r="J666" s="1">
        <v>0</v>
      </c>
      <c r="K666" s="1">
        <v>5500000</v>
      </c>
      <c r="L666" s="1">
        <v>0</v>
      </c>
      <c r="M666" s="1">
        <v>1000000</v>
      </c>
      <c r="N666" s="1">
        <v>4492292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12509870</v>
      </c>
      <c r="W666" s="1">
        <v>1900000</v>
      </c>
      <c r="X666" s="1">
        <v>0</v>
      </c>
      <c r="Y666" s="1">
        <v>378670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3208780</v>
      </c>
      <c r="AF666" s="1">
        <v>4550643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4492292</v>
      </c>
      <c r="AM666" s="1">
        <v>0</v>
      </c>
      <c r="AN666" s="1">
        <v>0</v>
      </c>
      <c r="AO666" s="1">
        <v>101937089</v>
      </c>
      <c r="AP666" s="1">
        <v>43044119</v>
      </c>
      <c r="AQ666" s="1">
        <v>58892970</v>
      </c>
      <c r="AR666" s="1">
        <v>17873895</v>
      </c>
      <c r="AS666" s="1">
        <v>2681084</v>
      </c>
      <c r="AT666" s="1">
        <f t="shared" si="71"/>
        <v>122492068</v>
      </c>
    </row>
    <row r="667" spans="1:46" x14ac:dyDescent="0.2">
      <c r="A667" s="1" t="str">
        <f>"00760"</f>
        <v>00760</v>
      </c>
      <c r="B667" s="1" t="str">
        <f>"محمدرضا"</f>
        <v>محمدرضا</v>
      </c>
      <c r="C667" s="1" t="str">
        <f>"ميهن دوست"</f>
        <v>ميهن دوست</v>
      </c>
      <c r="D667" s="1" t="str">
        <f>"قراردادي کارگري"</f>
        <v>قراردادي کارگري</v>
      </c>
      <c r="E667" s="1" t="str">
        <f>"پروژه تعميرات نيروگاه بوشهر"</f>
        <v>پروژه تعميرات نيروگاه بوشهر</v>
      </c>
      <c r="F667" s="1">
        <v>10715790</v>
      </c>
      <c r="G667" s="1">
        <v>5182254</v>
      </c>
      <c r="H667" s="1">
        <v>4738061</v>
      </c>
      <c r="I667" s="1">
        <v>9215580</v>
      </c>
      <c r="J667" s="1">
        <v>0</v>
      </c>
      <c r="K667" s="1">
        <v>0</v>
      </c>
      <c r="L667" s="1">
        <v>7462913</v>
      </c>
      <c r="M667" s="1">
        <v>1000000</v>
      </c>
      <c r="N667" s="1">
        <v>5715088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3610604</v>
      </c>
      <c r="W667" s="1">
        <v>1900000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1516881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51057171</v>
      </c>
      <c r="AP667" s="1">
        <v>8575251</v>
      </c>
      <c r="AQ667" s="1">
        <v>42481920</v>
      </c>
      <c r="AR667" s="1">
        <v>8960446</v>
      </c>
      <c r="AS667" s="1">
        <v>1344067</v>
      </c>
      <c r="AT667" s="1">
        <f t="shared" si="71"/>
        <v>61361684</v>
      </c>
    </row>
    <row r="668" spans="1:46" x14ac:dyDescent="0.2">
      <c r="A668" s="1" t="str">
        <f>"00761"</f>
        <v>00761</v>
      </c>
      <c r="B668" s="1" t="str">
        <f>"محمود"</f>
        <v>محمود</v>
      </c>
      <c r="C668" s="1" t="str">
        <f>"كره بندي"</f>
        <v>كره بندي</v>
      </c>
      <c r="D668" s="1" t="str">
        <f>"قراردادي کارگري"</f>
        <v>قراردادي کارگري</v>
      </c>
      <c r="E668" s="1" t="str">
        <f>"پروژه تعميرات نيروگاه بوشهر"</f>
        <v>پروژه تعميرات نيروگاه بوشهر</v>
      </c>
      <c r="F668" s="1">
        <v>8848408</v>
      </c>
      <c r="G668" s="1">
        <v>6311067</v>
      </c>
      <c r="H668" s="1">
        <v>0</v>
      </c>
      <c r="I668" s="1">
        <v>5486012</v>
      </c>
      <c r="J668" s="1">
        <v>0</v>
      </c>
      <c r="K668" s="1">
        <v>0</v>
      </c>
      <c r="L668" s="1">
        <v>7672721</v>
      </c>
      <c r="M668" s="1">
        <v>1000000</v>
      </c>
      <c r="N668" s="1">
        <v>4424202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9343394</v>
      </c>
      <c r="W668" s="1">
        <v>1900000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4550643</v>
      </c>
      <c r="AG668" s="1">
        <v>0</v>
      </c>
      <c r="AH668" s="1">
        <v>0</v>
      </c>
      <c r="AI668" s="1">
        <v>0</v>
      </c>
      <c r="AJ668" s="1">
        <v>3231267</v>
      </c>
      <c r="AK668" s="1">
        <v>0</v>
      </c>
      <c r="AL668" s="1">
        <v>0</v>
      </c>
      <c r="AM668" s="1">
        <v>0</v>
      </c>
      <c r="AN668" s="1">
        <v>2643134</v>
      </c>
      <c r="AO668" s="1">
        <v>55410848</v>
      </c>
      <c r="AP668" s="1">
        <v>10971745</v>
      </c>
      <c r="AQ668" s="1">
        <v>44439103</v>
      </c>
      <c r="AR668" s="1">
        <v>10172041</v>
      </c>
      <c r="AS668" s="1">
        <v>1525806</v>
      </c>
      <c r="AT668" s="1">
        <f t="shared" si="71"/>
        <v>67108695</v>
      </c>
    </row>
    <row r="669" spans="1:46" x14ac:dyDescent="0.2">
      <c r="A669" s="1" t="str">
        <f>"00762"</f>
        <v>00762</v>
      </c>
      <c r="B669" s="1" t="str">
        <f>"صديقه"</f>
        <v>صديقه</v>
      </c>
      <c r="C669" s="1" t="str">
        <f>"سالمي زاده"</f>
        <v>سالمي زاده</v>
      </c>
      <c r="D669" s="1" t="str">
        <f>"قراردادي بهره بردار"</f>
        <v>قراردادي بهره بردار</v>
      </c>
      <c r="E669" s="1" t="str">
        <f>"پروژه بهره برداري نيروگاه بوشهر"</f>
        <v>پروژه بهره برداري نيروگاه بوشهر</v>
      </c>
      <c r="F669" s="1">
        <v>23793562</v>
      </c>
      <c r="G669" s="1">
        <v>2215126</v>
      </c>
      <c r="H669" s="1">
        <v>0</v>
      </c>
      <c r="I669" s="1">
        <v>19118926</v>
      </c>
      <c r="J669" s="1">
        <v>0</v>
      </c>
      <c r="K669" s="1">
        <v>4125000</v>
      </c>
      <c r="L669" s="1">
        <v>0</v>
      </c>
      <c r="M669" s="1">
        <v>1000000</v>
      </c>
      <c r="N669" s="1">
        <v>3656039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8120866</v>
      </c>
      <c r="W669" s="1">
        <v>1900000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2611458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4959122</v>
      </c>
      <c r="AM669" s="1">
        <v>0</v>
      </c>
      <c r="AN669" s="1">
        <v>0</v>
      </c>
      <c r="AO669" s="1">
        <v>71500099</v>
      </c>
      <c r="AP669" s="1">
        <v>10127880</v>
      </c>
      <c r="AQ669" s="1">
        <v>61372219</v>
      </c>
      <c r="AR669" s="1">
        <v>14300020</v>
      </c>
      <c r="AS669" s="1">
        <v>2145004</v>
      </c>
      <c r="AT669" s="1">
        <f t="shared" si="71"/>
        <v>87945123</v>
      </c>
    </row>
    <row r="670" spans="1:46" x14ac:dyDescent="0.2">
      <c r="A670" s="1" t="str">
        <f>"00763"</f>
        <v>00763</v>
      </c>
      <c r="B670" s="1" t="str">
        <f>"داوود"</f>
        <v>داوود</v>
      </c>
      <c r="C670" s="1" t="str">
        <f>"حاجي نژاد"</f>
        <v>حاجي نژاد</v>
      </c>
      <c r="D670" s="1" t="str">
        <f>"قراردادي بهره بردار"</f>
        <v>قراردادي بهره بردار</v>
      </c>
      <c r="E670" s="1" t="str">
        <f>"پروژه بهره برداري نيروگاه بوشهر"</f>
        <v>پروژه بهره برداري نيروگاه بوشهر</v>
      </c>
      <c r="F670" s="1">
        <v>18548375</v>
      </c>
      <c r="G670" s="1">
        <v>8436351</v>
      </c>
      <c r="H670" s="1">
        <v>0</v>
      </c>
      <c r="I670" s="1">
        <v>14868761</v>
      </c>
      <c r="J670" s="1">
        <v>0</v>
      </c>
      <c r="K670" s="1">
        <v>5500000</v>
      </c>
      <c r="L670" s="1">
        <v>0</v>
      </c>
      <c r="M670" s="1">
        <v>1000000</v>
      </c>
      <c r="N670" s="1">
        <v>3133639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1606000</v>
      </c>
      <c r="U670" s="1">
        <v>0</v>
      </c>
      <c r="V670" s="1">
        <v>15167443</v>
      </c>
      <c r="W670" s="1">
        <v>1900000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2238314</v>
      </c>
      <c r="AF670" s="1">
        <v>3033762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5821039</v>
      </c>
      <c r="AM670" s="1">
        <v>0</v>
      </c>
      <c r="AN670" s="1">
        <v>0</v>
      </c>
      <c r="AO670" s="1">
        <v>81253684</v>
      </c>
      <c r="AP670" s="1">
        <v>30983153</v>
      </c>
      <c r="AQ670" s="1">
        <v>50270531</v>
      </c>
      <c r="AR670" s="1">
        <v>15322784</v>
      </c>
      <c r="AS670" s="1">
        <v>2298418</v>
      </c>
      <c r="AT670" s="1">
        <f t="shared" si="71"/>
        <v>98874886</v>
      </c>
    </row>
    <row r="671" spans="1:46" x14ac:dyDescent="0.2">
      <c r="A671" s="1" t="str">
        <f>"00765"</f>
        <v>00765</v>
      </c>
      <c r="B671" s="1" t="str">
        <f>"فرخ"</f>
        <v>فرخ</v>
      </c>
      <c r="C671" s="1" t="str">
        <f>"يگانه"</f>
        <v>يگانه</v>
      </c>
      <c r="D671" s="1" t="str">
        <f>"قراردادي کارگري"</f>
        <v>قراردادي کارگري</v>
      </c>
      <c r="E671" s="1" t="str">
        <f>"پروژه تعميرات نيروگاه بوشهر"</f>
        <v>پروژه تعميرات نيروگاه بوشهر</v>
      </c>
      <c r="F671" s="1">
        <v>9349695</v>
      </c>
      <c r="G671" s="1">
        <v>9111043</v>
      </c>
      <c r="H671" s="1">
        <v>0</v>
      </c>
      <c r="I671" s="1">
        <v>6731780</v>
      </c>
      <c r="J671" s="1">
        <v>0</v>
      </c>
      <c r="K671" s="1">
        <v>0</v>
      </c>
      <c r="L671" s="1">
        <v>7628143</v>
      </c>
      <c r="M671" s="1">
        <v>1000000</v>
      </c>
      <c r="N671" s="1">
        <v>4953480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7202597</v>
      </c>
      <c r="W671" s="1">
        <v>1900000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3033762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50910500</v>
      </c>
      <c r="AP671" s="1">
        <v>15611156</v>
      </c>
      <c r="AQ671" s="1">
        <v>35299344</v>
      </c>
      <c r="AR671" s="1">
        <v>9575348</v>
      </c>
      <c r="AS671" s="1">
        <v>1436302</v>
      </c>
      <c r="AT671" s="1">
        <f t="shared" si="71"/>
        <v>61922150</v>
      </c>
    </row>
    <row r="672" spans="1:46" x14ac:dyDescent="0.2">
      <c r="A672" s="1" t="str">
        <f>"00767"</f>
        <v>00767</v>
      </c>
      <c r="B672" s="1" t="str">
        <f>"محمد سعيد"</f>
        <v>محمد سعيد</v>
      </c>
      <c r="C672" s="1" t="str">
        <f>"احتشامي نيا"</f>
        <v>احتشامي نيا</v>
      </c>
      <c r="D672" s="1" t="str">
        <f t="shared" ref="D672:D683" si="74">"قراردادي بهره بردار"</f>
        <v>قراردادي بهره بردار</v>
      </c>
      <c r="E672" s="1" t="str">
        <f t="shared" ref="E672:E683" si="75">"پروژه بهره برداري نيروگاه بوشهر"</f>
        <v>پروژه بهره برداري نيروگاه بوشهر</v>
      </c>
      <c r="F672" s="1">
        <v>14872436</v>
      </c>
      <c r="G672" s="1">
        <v>10892796</v>
      </c>
      <c r="H672" s="1">
        <v>0</v>
      </c>
      <c r="I672" s="1">
        <v>12785296</v>
      </c>
      <c r="J672" s="1">
        <v>0</v>
      </c>
      <c r="K672" s="1">
        <v>3465000</v>
      </c>
      <c r="L672" s="1">
        <v>0</v>
      </c>
      <c r="M672" s="1">
        <v>1000000</v>
      </c>
      <c r="N672" s="1">
        <v>2924321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1606000</v>
      </c>
      <c r="U672" s="1">
        <v>0</v>
      </c>
      <c r="V672" s="1">
        <v>14136124</v>
      </c>
      <c r="W672" s="1">
        <v>1900000</v>
      </c>
      <c r="X672" s="1">
        <v>2158902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2088801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12564744</v>
      </c>
      <c r="AM672" s="1">
        <v>0</v>
      </c>
      <c r="AN672" s="1">
        <v>0</v>
      </c>
      <c r="AO672" s="1">
        <v>80394420</v>
      </c>
      <c r="AP672" s="1">
        <v>31083646</v>
      </c>
      <c r="AQ672" s="1">
        <v>49310774</v>
      </c>
      <c r="AR672" s="1">
        <v>15757684</v>
      </c>
      <c r="AS672" s="1">
        <v>2363653</v>
      </c>
      <c r="AT672" s="1">
        <f t="shared" si="71"/>
        <v>98515757</v>
      </c>
    </row>
    <row r="673" spans="1:46" x14ac:dyDescent="0.2">
      <c r="A673" s="1" t="str">
        <f>"00768"</f>
        <v>00768</v>
      </c>
      <c r="B673" s="1" t="str">
        <f>"کسري"</f>
        <v>کسري</v>
      </c>
      <c r="C673" s="1" t="str">
        <f>"اشتري"</f>
        <v>اشتري</v>
      </c>
      <c r="D673" s="1" t="str">
        <f t="shared" si="74"/>
        <v>قراردادي بهره بردار</v>
      </c>
      <c r="E673" s="1" t="str">
        <f t="shared" si="75"/>
        <v>پروژه بهره برداري نيروگاه بوشهر</v>
      </c>
      <c r="F673" s="1">
        <v>13468374</v>
      </c>
      <c r="G673" s="1">
        <v>5406581</v>
      </c>
      <c r="H673" s="1">
        <v>0</v>
      </c>
      <c r="I673" s="1">
        <v>10177483</v>
      </c>
      <c r="J673" s="1">
        <v>0</v>
      </c>
      <c r="K673" s="1">
        <v>3465000</v>
      </c>
      <c r="L673" s="1">
        <v>0</v>
      </c>
      <c r="M673" s="1">
        <v>1000000</v>
      </c>
      <c r="N673" s="1">
        <v>2432845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1606000</v>
      </c>
      <c r="U673" s="1">
        <v>0</v>
      </c>
      <c r="V673" s="1">
        <v>13144805</v>
      </c>
      <c r="W673" s="1">
        <v>1900000</v>
      </c>
      <c r="X673" s="1">
        <v>2000275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1737746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10402729</v>
      </c>
      <c r="AM673" s="1">
        <v>0</v>
      </c>
      <c r="AN673" s="1">
        <v>0</v>
      </c>
      <c r="AO673" s="1">
        <v>66741838</v>
      </c>
      <c r="AP673" s="1">
        <v>9376506</v>
      </c>
      <c r="AQ673" s="1">
        <v>57365332</v>
      </c>
      <c r="AR673" s="1">
        <v>13027168</v>
      </c>
      <c r="AS673" s="1">
        <v>1954075</v>
      </c>
      <c r="AT673" s="1">
        <f t="shared" si="71"/>
        <v>81723081</v>
      </c>
    </row>
    <row r="674" spans="1:46" x14ac:dyDescent="0.2">
      <c r="A674" s="1" t="str">
        <f>"00769"</f>
        <v>00769</v>
      </c>
      <c r="B674" s="1" t="str">
        <f>"مرتضي"</f>
        <v>مرتضي</v>
      </c>
      <c r="C674" s="1" t="str">
        <f>"ايمري"</f>
        <v>ايمري</v>
      </c>
      <c r="D674" s="1" t="str">
        <f t="shared" si="74"/>
        <v>قراردادي بهره بردار</v>
      </c>
      <c r="E674" s="1" t="str">
        <f t="shared" si="75"/>
        <v>پروژه بهره برداري نيروگاه بوشهر</v>
      </c>
      <c r="F674" s="1">
        <v>13553655</v>
      </c>
      <c r="G674" s="1">
        <v>3009353</v>
      </c>
      <c r="H674" s="1">
        <v>0</v>
      </c>
      <c r="I674" s="1">
        <v>9885112</v>
      </c>
      <c r="J674" s="1">
        <v>0</v>
      </c>
      <c r="K674" s="1">
        <v>4620000</v>
      </c>
      <c r="L674" s="1">
        <v>0</v>
      </c>
      <c r="M674" s="1">
        <v>1000000</v>
      </c>
      <c r="N674" s="1">
        <v>2462747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1606000</v>
      </c>
      <c r="U674" s="1">
        <v>0</v>
      </c>
      <c r="V674" s="1">
        <v>16094897</v>
      </c>
      <c r="W674" s="1">
        <v>1900000</v>
      </c>
      <c r="X674" s="1">
        <v>1967466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1759105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9553016</v>
      </c>
      <c r="AM674" s="1">
        <v>0</v>
      </c>
      <c r="AN674" s="1">
        <v>0</v>
      </c>
      <c r="AO674" s="1">
        <v>67411351</v>
      </c>
      <c r="AP674" s="1">
        <v>31145154</v>
      </c>
      <c r="AQ674" s="1">
        <v>36266197</v>
      </c>
      <c r="AR674" s="1">
        <v>13161070</v>
      </c>
      <c r="AS674" s="1">
        <v>1974161</v>
      </c>
      <c r="AT674" s="1">
        <f t="shared" si="71"/>
        <v>82546582</v>
      </c>
    </row>
    <row r="675" spans="1:46" x14ac:dyDescent="0.2">
      <c r="A675" s="1" t="str">
        <f>"00770"</f>
        <v>00770</v>
      </c>
      <c r="B675" s="1" t="str">
        <f>"حميد"</f>
        <v>حميد</v>
      </c>
      <c r="C675" s="1" t="str">
        <f>"آل عبدي"</f>
        <v>آل عبدي</v>
      </c>
      <c r="D675" s="1" t="str">
        <f t="shared" si="74"/>
        <v>قراردادي بهره بردار</v>
      </c>
      <c r="E675" s="1" t="str">
        <f t="shared" si="75"/>
        <v>پروژه بهره برداري نيروگاه بوشهر</v>
      </c>
      <c r="F675" s="1">
        <v>19071944</v>
      </c>
      <c r="G675" s="1">
        <v>17858801</v>
      </c>
      <c r="H675" s="1">
        <v>0</v>
      </c>
      <c r="I675" s="1">
        <v>21420732</v>
      </c>
      <c r="J675" s="1">
        <v>0</v>
      </c>
      <c r="K675" s="1">
        <v>5500000</v>
      </c>
      <c r="L675" s="1">
        <v>0</v>
      </c>
      <c r="M675" s="1">
        <v>1000000</v>
      </c>
      <c r="N675" s="1">
        <v>3316888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20787854</v>
      </c>
      <c r="W675" s="1">
        <v>1900000</v>
      </c>
      <c r="X675" s="1">
        <v>2768508</v>
      </c>
      <c r="Y675" s="1">
        <v>0</v>
      </c>
      <c r="Z675" s="1">
        <v>0</v>
      </c>
      <c r="AA675" s="1">
        <v>0</v>
      </c>
      <c r="AB675" s="1">
        <v>0</v>
      </c>
      <c r="AC675" s="1">
        <v>14217427</v>
      </c>
      <c r="AD675" s="1">
        <v>0</v>
      </c>
      <c r="AE675" s="1">
        <v>2369206</v>
      </c>
      <c r="AF675" s="1">
        <v>1516881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38593588</v>
      </c>
      <c r="AM675" s="1">
        <v>0</v>
      </c>
      <c r="AN675" s="1">
        <v>0</v>
      </c>
      <c r="AO675" s="1">
        <v>150321829</v>
      </c>
      <c r="AP675" s="1">
        <v>25954232</v>
      </c>
      <c r="AQ675" s="1">
        <v>124367597</v>
      </c>
      <c r="AR675" s="1">
        <v>29760989</v>
      </c>
      <c r="AS675" s="1">
        <v>4464148</v>
      </c>
      <c r="AT675" s="1">
        <f t="shared" si="71"/>
        <v>184546966</v>
      </c>
    </row>
    <row r="676" spans="1:46" x14ac:dyDescent="0.2">
      <c r="A676" s="1" t="str">
        <f>"00771"</f>
        <v>00771</v>
      </c>
      <c r="B676" s="1" t="str">
        <f>"عبيد"</f>
        <v>عبيد</v>
      </c>
      <c r="C676" s="1" t="str">
        <f>"بابائي"</f>
        <v>بابائي</v>
      </c>
      <c r="D676" s="1" t="str">
        <f t="shared" si="74"/>
        <v>قراردادي بهره بردار</v>
      </c>
      <c r="E676" s="1" t="str">
        <f t="shared" si="75"/>
        <v>پروژه بهره برداري نيروگاه بوشهر</v>
      </c>
      <c r="F676" s="1">
        <v>8756095</v>
      </c>
      <c r="G676" s="1">
        <v>1773974</v>
      </c>
      <c r="H676" s="1">
        <v>0</v>
      </c>
      <c r="I676" s="1">
        <v>4221789</v>
      </c>
      <c r="J676" s="1">
        <v>0</v>
      </c>
      <c r="K676" s="1">
        <v>3465000</v>
      </c>
      <c r="L676" s="1">
        <v>0</v>
      </c>
      <c r="M676" s="1">
        <v>1000000</v>
      </c>
      <c r="N676" s="1">
        <v>1155467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1904526</v>
      </c>
      <c r="W676" s="1">
        <v>1900000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825334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4086579</v>
      </c>
      <c r="AM676" s="1">
        <v>0</v>
      </c>
      <c r="AN676" s="1">
        <v>0</v>
      </c>
      <c r="AO676" s="1">
        <v>29088764</v>
      </c>
      <c r="AP676" s="1">
        <v>4324777</v>
      </c>
      <c r="AQ676" s="1">
        <v>24763987</v>
      </c>
      <c r="AR676" s="1">
        <v>5817753</v>
      </c>
      <c r="AS676" s="1">
        <v>872663</v>
      </c>
      <c r="AT676" s="1">
        <f t="shared" si="71"/>
        <v>35779180</v>
      </c>
    </row>
    <row r="677" spans="1:46" x14ac:dyDescent="0.2">
      <c r="A677" s="1" t="str">
        <f>"00772"</f>
        <v>00772</v>
      </c>
      <c r="B677" s="1" t="str">
        <f>"عباس"</f>
        <v>عباس</v>
      </c>
      <c r="C677" s="1" t="str">
        <f>"بيات"</f>
        <v>بيات</v>
      </c>
      <c r="D677" s="1" t="str">
        <f t="shared" si="74"/>
        <v>قراردادي بهره بردار</v>
      </c>
      <c r="E677" s="1" t="str">
        <f t="shared" si="75"/>
        <v>پروژه بهره برداري نيروگاه بوشهر</v>
      </c>
      <c r="F677" s="1">
        <v>14156088</v>
      </c>
      <c r="G677" s="1">
        <v>17890045</v>
      </c>
      <c r="H677" s="1">
        <v>0</v>
      </c>
      <c r="I677" s="1">
        <v>12270316</v>
      </c>
      <c r="J677" s="1">
        <v>0</v>
      </c>
      <c r="K677" s="1">
        <v>4620000</v>
      </c>
      <c r="L677" s="1">
        <v>0</v>
      </c>
      <c r="M677" s="1">
        <v>1000000</v>
      </c>
      <c r="N677" s="1">
        <v>2673599</v>
      </c>
      <c r="O677" s="1">
        <v>0</v>
      </c>
      <c r="P677" s="1">
        <v>0</v>
      </c>
      <c r="Q677" s="1">
        <v>0</v>
      </c>
      <c r="R677" s="1">
        <v>3075626</v>
      </c>
      <c r="S677" s="1">
        <v>0</v>
      </c>
      <c r="T677" s="1">
        <v>1606000</v>
      </c>
      <c r="U677" s="1">
        <v>0</v>
      </c>
      <c r="V677" s="1">
        <v>13332235</v>
      </c>
      <c r="W677" s="1">
        <v>1900000</v>
      </c>
      <c r="X677" s="1">
        <v>2054916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1909714</v>
      </c>
      <c r="AF677" s="1">
        <v>1516881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11997493</v>
      </c>
      <c r="AM677" s="1">
        <v>0</v>
      </c>
      <c r="AN677" s="1">
        <v>0</v>
      </c>
      <c r="AO677" s="1">
        <v>90002913</v>
      </c>
      <c r="AP677" s="1">
        <v>37619320</v>
      </c>
      <c r="AQ677" s="1">
        <v>52383593</v>
      </c>
      <c r="AR677" s="1">
        <v>16760881</v>
      </c>
      <c r="AS677" s="1">
        <v>2514132</v>
      </c>
      <c r="AT677" s="1">
        <f t="shared" si="71"/>
        <v>109277926</v>
      </c>
    </row>
    <row r="678" spans="1:46" x14ac:dyDescent="0.2">
      <c r="A678" s="1" t="str">
        <f>"00773"</f>
        <v>00773</v>
      </c>
      <c r="B678" s="1" t="str">
        <f>"بهنام"</f>
        <v>بهنام</v>
      </c>
      <c r="C678" s="1" t="str">
        <f>"داسمه"</f>
        <v>داسمه</v>
      </c>
      <c r="D678" s="1" t="str">
        <f t="shared" si="74"/>
        <v>قراردادي بهره بردار</v>
      </c>
      <c r="E678" s="1" t="str">
        <f t="shared" si="75"/>
        <v>پروژه بهره برداري نيروگاه بوشهر</v>
      </c>
      <c r="F678" s="1">
        <v>14182376</v>
      </c>
      <c r="G678" s="1">
        <v>20419375</v>
      </c>
      <c r="H678" s="1">
        <v>0</v>
      </c>
      <c r="I678" s="1">
        <v>11609527</v>
      </c>
      <c r="J678" s="1">
        <v>0</v>
      </c>
      <c r="K678" s="1">
        <v>4620000</v>
      </c>
      <c r="L678" s="1">
        <v>0</v>
      </c>
      <c r="M678" s="1">
        <v>1000000</v>
      </c>
      <c r="N678" s="1">
        <v>2682800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13168707</v>
      </c>
      <c r="W678" s="1">
        <v>1900000</v>
      </c>
      <c r="X678" s="1">
        <v>2058732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1916286</v>
      </c>
      <c r="AF678" s="1">
        <v>4297829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12088712</v>
      </c>
      <c r="AM678" s="1">
        <v>0</v>
      </c>
      <c r="AN678" s="1">
        <v>0</v>
      </c>
      <c r="AO678" s="1">
        <v>89944344</v>
      </c>
      <c r="AP678" s="1">
        <v>37592068</v>
      </c>
      <c r="AQ678" s="1">
        <v>52352276</v>
      </c>
      <c r="AR678" s="1">
        <v>17129303</v>
      </c>
      <c r="AS678" s="1">
        <v>2569395</v>
      </c>
      <c r="AT678" s="1">
        <f t="shared" si="71"/>
        <v>109643042</v>
      </c>
    </row>
    <row r="679" spans="1:46" x14ac:dyDescent="0.2">
      <c r="A679" s="1" t="str">
        <f>"00774"</f>
        <v>00774</v>
      </c>
      <c r="B679" s="1" t="str">
        <f>"رضا"</f>
        <v>رضا</v>
      </c>
      <c r="C679" s="1" t="str">
        <f>"درکهء"</f>
        <v>درکهء</v>
      </c>
      <c r="D679" s="1" t="str">
        <f t="shared" si="74"/>
        <v>قراردادي بهره بردار</v>
      </c>
      <c r="E679" s="1" t="str">
        <f t="shared" si="75"/>
        <v>پروژه بهره برداري نيروگاه بوشهر</v>
      </c>
      <c r="F679" s="1">
        <v>14337913</v>
      </c>
      <c r="G679" s="1">
        <v>8924241</v>
      </c>
      <c r="H679" s="1">
        <v>0</v>
      </c>
      <c r="I679" s="1">
        <v>11616613</v>
      </c>
      <c r="J679" s="1">
        <v>0</v>
      </c>
      <c r="K679" s="1">
        <v>4620000</v>
      </c>
      <c r="L679" s="1">
        <v>0</v>
      </c>
      <c r="M679" s="1">
        <v>1000000</v>
      </c>
      <c r="N679" s="1">
        <v>2737238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1606000</v>
      </c>
      <c r="U679" s="1">
        <v>0</v>
      </c>
      <c r="V679" s="1">
        <v>11296898</v>
      </c>
      <c r="W679" s="1">
        <v>1900000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1955170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6698182</v>
      </c>
      <c r="AM679" s="1">
        <v>0</v>
      </c>
      <c r="AN679" s="1">
        <v>0</v>
      </c>
      <c r="AO679" s="1">
        <v>66692255</v>
      </c>
      <c r="AP679" s="1">
        <v>11582125</v>
      </c>
      <c r="AQ679" s="1">
        <v>55110130</v>
      </c>
      <c r="AR679" s="1">
        <v>13017251</v>
      </c>
      <c r="AS679" s="1">
        <v>1952588</v>
      </c>
      <c r="AT679" s="1">
        <f t="shared" si="71"/>
        <v>81662094</v>
      </c>
    </row>
    <row r="680" spans="1:46" x14ac:dyDescent="0.2">
      <c r="A680" s="1" t="str">
        <f>"00775"</f>
        <v>00775</v>
      </c>
      <c r="B680" s="1" t="str">
        <f>"محسن"</f>
        <v>محسن</v>
      </c>
      <c r="C680" s="1" t="str">
        <f>"رشيدي کوچي"</f>
        <v>رشيدي کوچي</v>
      </c>
      <c r="D680" s="1" t="str">
        <f t="shared" si="74"/>
        <v>قراردادي بهره بردار</v>
      </c>
      <c r="E680" s="1" t="str">
        <f t="shared" si="75"/>
        <v>پروژه بهره برداري نيروگاه بوشهر</v>
      </c>
      <c r="F680" s="1">
        <v>14039983</v>
      </c>
      <c r="G680" s="1">
        <v>6749011</v>
      </c>
      <c r="H680" s="1">
        <v>0</v>
      </c>
      <c r="I680" s="1">
        <v>11733197</v>
      </c>
      <c r="J680" s="1">
        <v>0</v>
      </c>
      <c r="K680" s="1">
        <v>4620000</v>
      </c>
      <c r="L680" s="1">
        <v>0</v>
      </c>
      <c r="M680" s="1">
        <v>1000000</v>
      </c>
      <c r="N680" s="1">
        <v>2632962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1606000</v>
      </c>
      <c r="U680" s="1">
        <v>0</v>
      </c>
      <c r="V680" s="1">
        <v>12702236</v>
      </c>
      <c r="W680" s="1">
        <v>1900000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1880687</v>
      </c>
      <c r="AF680" s="1">
        <v>1516881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7349424</v>
      </c>
      <c r="AM680" s="1">
        <v>0</v>
      </c>
      <c r="AN680" s="1">
        <v>0</v>
      </c>
      <c r="AO680" s="1">
        <v>67730381</v>
      </c>
      <c r="AP680" s="1">
        <v>24748851</v>
      </c>
      <c r="AQ680" s="1">
        <v>42981530</v>
      </c>
      <c r="AR680" s="1">
        <v>12921500</v>
      </c>
      <c r="AS680" s="1">
        <v>1938225</v>
      </c>
      <c r="AT680" s="1">
        <f t="shared" si="71"/>
        <v>82590106</v>
      </c>
    </row>
    <row r="681" spans="1:46" x14ac:dyDescent="0.2">
      <c r="A681" s="1" t="str">
        <f>"00776"</f>
        <v>00776</v>
      </c>
      <c r="B681" s="1" t="str">
        <f>"مرتضي"</f>
        <v>مرتضي</v>
      </c>
      <c r="C681" s="1" t="str">
        <f>"زائري"</f>
        <v>زائري</v>
      </c>
      <c r="D681" s="1" t="str">
        <f t="shared" si="74"/>
        <v>قراردادي بهره بردار</v>
      </c>
      <c r="E681" s="1" t="str">
        <f t="shared" si="75"/>
        <v>پروژه بهره برداري نيروگاه بوشهر</v>
      </c>
      <c r="F681" s="1">
        <v>12633575</v>
      </c>
      <c r="G681" s="1">
        <v>3484903</v>
      </c>
      <c r="H681" s="1">
        <v>0</v>
      </c>
      <c r="I681" s="1">
        <v>9172833</v>
      </c>
      <c r="J681" s="1">
        <v>0</v>
      </c>
      <c r="K681" s="1">
        <v>4620000</v>
      </c>
      <c r="L681" s="1">
        <v>0</v>
      </c>
      <c r="M681" s="1">
        <v>1000000</v>
      </c>
      <c r="N681" s="1">
        <v>2140719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1606000</v>
      </c>
      <c r="U681" s="1">
        <v>0</v>
      </c>
      <c r="V681" s="1">
        <v>14910623</v>
      </c>
      <c r="W681" s="1">
        <v>1900000</v>
      </c>
      <c r="X681" s="1">
        <v>1833906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1529085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8999215</v>
      </c>
      <c r="AM681" s="1">
        <v>0</v>
      </c>
      <c r="AN681" s="1">
        <v>0</v>
      </c>
      <c r="AO681" s="1">
        <v>63830859</v>
      </c>
      <c r="AP681" s="1">
        <v>25897858</v>
      </c>
      <c r="AQ681" s="1">
        <v>37933001</v>
      </c>
      <c r="AR681" s="1">
        <v>12444972</v>
      </c>
      <c r="AS681" s="1">
        <v>1866746</v>
      </c>
      <c r="AT681" s="1">
        <f t="shared" si="71"/>
        <v>78142577</v>
      </c>
    </row>
    <row r="682" spans="1:46" x14ac:dyDescent="0.2">
      <c r="A682" s="1" t="str">
        <f>"00777"</f>
        <v>00777</v>
      </c>
      <c r="B682" s="1" t="str">
        <f>"محمدجواد"</f>
        <v>محمدجواد</v>
      </c>
      <c r="C682" s="1" t="str">
        <f>"صابري نژاد"</f>
        <v>صابري نژاد</v>
      </c>
      <c r="D682" s="1" t="str">
        <f t="shared" si="74"/>
        <v>قراردادي بهره بردار</v>
      </c>
      <c r="E682" s="1" t="str">
        <f t="shared" si="75"/>
        <v>پروژه بهره برداري نيروگاه بوشهر</v>
      </c>
      <c r="F682" s="1">
        <v>16250365</v>
      </c>
      <c r="G682" s="1">
        <v>16704748</v>
      </c>
      <c r="H682" s="1">
        <v>0</v>
      </c>
      <c r="I682" s="1">
        <v>14100589</v>
      </c>
      <c r="J682" s="1">
        <v>0</v>
      </c>
      <c r="K682" s="1">
        <v>0</v>
      </c>
      <c r="L682" s="1">
        <v>0</v>
      </c>
      <c r="M682" s="1">
        <v>1000000</v>
      </c>
      <c r="N682" s="1">
        <v>3165075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1606000</v>
      </c>
      <c r="U682" s="1">
        <v>0</v>
      </c>
      <c r="V682" s="1">
        <v>10060593</v>
      </c>
      <c r="W682" s="1">
        <v>1900000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2260768</v>
      </c>
      <c r="AF682" s="1">
        <v>3033762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7964914</v>
      </c>
      <c r="AM682" s="1">
        <v>0</v>
      </c>
      <c r="AN682" s="1">
        <v>0</v>
      </c>
      <c r="AO682" s="1">
        <v>78046814</v>
      </c>
      <c r="AP682" s="1">
        <v>17150409</v>
      </c>
      <c r="AQ682" s="1">
        <v>60896405</v>
      </c>
      <c r="AR682" s="1">
        <v>14681410</v>
      </c>
      <c r="AS682" s="1">
        <v>2202212</v>
      </c>
      <c r="AT682" s="1">
        <f t="shared" si="71"/>
        <v>94930436</v>
      </c>
    </row>
    <row r="683" spans="1:46" x14ac:dyDescent="0.2">
      <c r="A683" s="1" t="str">
        <f>"00778"</f>
        <v>00778</v>
      </c>
      <c r="B683" s="1" t="str">
        <f>"محمود"</f>
        <v>محمود</v>
      </c>
      <c r="C683" s="1" t="str">
        <f>"عبدلي نديکي"</f>
        <v>عبدلي نديکي</v>
      </c>
      <c r="D683" s="1" t="str">
        <f t="shared" si="74"/>
        <v>قراردادي بهره بردار</v>
      </c>
      <c r="E683" s="1" t="str">
        <f t="shared" si="75"/>
        <v>پروژه بهره برداري نيروگاه بوشهر</v>
      </c>
      <c r="F683" s="1">
        <v>13498888</v>
      </c>
      <c r="G683" s="1">
        <v>10001165</v>
      </c>
      <c r="H683" s="1">
        <v>0</v>
      </c>
      <c r="I683" s="1">
        <v>10958427</v>
      </c>
      <c r="J683" s="1">
        <v>0</v>
      </c>
      <c r="K683" s="1">
        <v>4620000</v>
      </c>
      <c r="L683" s="1">
        <v>0</v>
      </c>
      <c r="M683" s="1">
        <v>1000000</v>
      </c>
      <c r="N683" s="1">
        <v>2443579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1606000</v>
      </c>
      <c r="U683" s="1">
        <v>0</v>
      </c>
      <c r="V683" s="1">
        <v>16458201</v>
      </c>
      <c r="W683" s="1">
        <v>1900000</v>
      </c>
      <c r="X683" s="1">
        <v>1959516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1745414</v>
      </c>
      <c r="AF683" s="1">
        <v>3033762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9407336</v>
      </c>
      <c r="AM683" s="1">
        <v>0</v>
      </c>
      <c r="AN683" s="1">
        <v>0</v>
      </c>
      <c r="AO683" s="1">
        <v>78632288</v>
      </c>
      <c r="AP683" s="1">
        <v>31462407</v>
      </c>
      <c r="AQ683" s="1">
        <v>47169881</v>
      </c>
      <c r="AR683" s="1">
        <v>14798505</v>
      </c>
      <c r="AS683" s="1">
        <v>2219776</v>
      </c>
      <c r="AT683" s="1">
        <f t="shared" si="71"/>
        <v>95650569</v>
      </c>
    </row>
    <row r="684" spans="1:46" x14ac:dyDescent="0.2">
      <c r="A684" s="1" t="str">
        <f>"00779"</f>
        <v>00779</v>
      </c>
      <c r="B684" s="1" t="str">
        <f>"سيدمجتبي"</f>
        <v>سيدمجتبي</v>
      </c>
      <c r="C684" s="1" t="str">
        <f>"علي زاده"</f>
        <v>علي زاده</v>
      </c>
      <c r="D684" s="1" t="str">
        <f>"قراردادي کارگري"</f>
        <v>قراردادي کارگري</v>
      </c>
      <c r="E684" s="1" t="str">
        <f>"پروژه تعميرات نيروگاه بوشهر"</f>
        <v>پروژه تعميرات نيروگاه بوشهر</v>
      </c>
      <c r="F684" s="1">
        <v>6302752</v>
      </c>
      <c r="G684" s="1">
        <v>3599222</v>
      </c>
      <c r="H684" s="1">
        <v>0</v>
      </c>
      <c r="I684" s="1">
        <v>4601009</v>
      </c>
      <c r="J684" s="1">
        <v>0</v>
      </c>
      <c r="K684" s="1">
        <v>0</v>
      </c>
      <c r="L684" s="1">
        <v>7628143</v>
      </c>
      <c r="M684" s="1">
        <v>1000000</v>
      </c>
      <c r="N684" s="1">
        <v>3339204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6465621</v>
      </c>
      <c r="W684" s="1">
        <v>1900000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3280666</v>
      </c>
      <c r="AE684" s="1">
        <v>0</v>
      </c>
      <c r="AF684" s="1">
        <v>0</v>
      </c>
      <c r="AG684" s="1">
        <v>0</v>
      </c>
      <c r="AH684" s="1">
        <v>0</v>
      </c>
      <c r="AI684" s="1">
        <v>0</v>
      </c>
      <c r="AJ684" s="1">
        <v>2559446</v>
      </c>
      <c r="AK684" s="1">
        <v>0</v>
      </c>
      <c r="AL684" s="1">
        <v>0</v>
      </c>
      <c r="AM684" s="1">
        <v>0</v>
      </c>
      <c r="AN684" s="1">
        <v>0</v>
      </c>
      <c r="AO684" s="1">
        <v>40676063</v>
      </c>
      <c r="AP684" s="1">
        <v>6957962</v>
      </c>
      <c r="AQ684" s="1">
        <v>33718101</v>
      </c>
      <c r="AR684" s="1">
        <v>8135213</v>
      </c>
      <c r="AS684" s="1">
        <v>1220282</v>
      </c>
      <c r="AT684" s="1">
        <f t="shared" si="71"/>
        <v>50031558</v>
      </c>
    </row>
    <row r="685" spans="1:46" x14ac:dyDescent="0.2">
      <c r="A685" s="1" t="str">
        <f>"00780"</f>
        <v>00780</v>
      </c>
      <c r="B685" s="1" t="str">
        <f>"حسين"</f>
        <v>حسين</v>
      </c>
      <c r="C685" s="1" t="str">
        <f>"فردين پور"</f>
        <v>فردين پور</v>
      </c>
      <c r="D685" s="1" t="str">
        <f t="shared" ref="D685:D714" si="76">"قراردادي بهره بردار"</f>
        <v>قراردادي بهره بردار</v>
      </c>
      <c r="E685" s="1" t="str">
        <f t="shared" ref="E685:E713" si="77">"پروژه بهره برداري نيروگاه بوشهر"</f>
        <v>پروژه بهره برداري نيروگاه بوشهر</v>
      </c>
      <c r="F685" s="1">
        <v>12442987</v>
      </c>
      <c r="G685" s="1">
        <v>8614890</v>
      </c>
      <c r="H685" s="1">
        <v>0</v>
      </c>
      <c r="I685" s="1">
        <v>8866023</v>
      </c>
      <c r="J685" s="1">
        <v>0</v>
      </c>
      <c r="K685" s="1">
        <v>4620000</v>
      </c>
      <c r="L685" s="1">
        <v>0</v>
      </c>
      <c r="M685" s="1">
        <v>1000000</v>
      </c>
      <c r="N685" s="1">
        <v>2074014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14504334</v>
      </c>
      <c r="W685" s="1">
        <v>1900000</v>
      </c>
      <c r="X685" s="1">
        <v>1806240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1481438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9465323</v>
      </c>
      <c r="AM685" s="1">
        <v>0</v>
      </c>
      <c r="AN685" s="1">
        <v>0</v>
      </c>
      <c r="AO685" s="1">
        <v>66775249</v>
      </c>
      <c r="AP685" s="1">
        <v>35172371</v>
      </c>
      <c r="AQ685" s="1">
        <v>31602878</v>
      </c>
      <c r="AR685" s="1">
        <v>13355050</v>
      </c>
      <c r="AS685" s="1">
        <v>2003257</v>
      </c>
      <c r="AT685" s="1">
        <f t="shared" si="71"/>
        <v>82133556</v>
      </c>
    </row>
    <row r="686" spans="1:46" x14ac:dyDescent="0.2">
      <c r="A686" s="1" t="str">
        <f>"00781"</f>
        <v>00781</v>
      </c>
      <c r="B686" s="1" t="str">
        <f>"محسن"</f>
        <v>محسن</v>
      </c>
      <c r="C686" s="1" t="str">
        <f>"فلاح زاده ابرقويي"</f>
        <v>فلاح زاده ابرقويي</v>
      </c>
      <c r="D686" s="1" t="str">
        <f t="shared" si="76"/>
        <v>قراردادي بهره بردار</v>
      </c>
      <c r="E686" s="1" t="str">
        <f t="shared" si="77"/>
        <v>پروژه بهره برداري نيروگاه بوشهر</v>
      </c>
      <c r="F686" s="1">
        <v>13582133</v>
      </c>
      <c r="G686" s="1">
        <v>5219955</v>
      </c>
      <c r="H686" s="1">
        <v>0</v>
      </c>
      <c r="I686" s="1">
        <v>10072735</v>
      </c>
      <c r="J686" s="1">
        <v>0</v>
      </c>
      <c r="K686" s="1">
        <v>4620000</v>
      </c>
      <c r="L686" s="1">
        <v>0</v>
      </c>
      <c r="M686" s="1">
        <v>1000000</v>
      </c>
      <c r="N686" s="1">
        <v>2472715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1606000</v>
      </c>
      <c r="U686" s="1">
        <v>0</v>
      </c>
      <c r="V686" s="1">
        <v>8491939</v>
      </c>
      <c r="W686" s="1">
        <v>1900000</v>
      </c>
      <c r="X686" s="1">
        <v>1971600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1766225</v>
      </c>
      <c r="AF686" s="1">
        <v>1516881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9848142</v>
      </c>
      <c r="AM686" s="1">
        <v>0</v>
      </c>
      <c r="AN686" s="1">
        <v>0</v>
      </c>
      <c r="AO686" s="1">
        <v>64068325</v>
      </c>
      <c r="AP686" s="1">
        <v>35084684</v>
      </c>
      <c r="AQ686" s="1">
        <v>28983641</v>
      </c>
      <c r="AR686" s="1">
        <v>12189089</v>
      </c>
      <c r="AS686" s="1">
        <v>1828363</v>
      </c>
      <c r="AT686" s="1">
        <f t="shared" si="71"/>
        <v>78085777</v>
      </c>
    </row>
    <row r="687" spans="1:46" x14ac:dyDescent="0.2">
      <c r="A687" s="1" t="str">
        <f>"00782"</f>
        <v>00782</v>
      </c>
      <c r="B687" s="1" t="str">
        <f>"ميثم"</f>
        <v>ميثم</v>
      </c>
      <c r="C687" s="1" t="str">
        <f>"قلاوند"</f>
        <v>قلاوند</v>
      </c>
      <c r="D687" s="1" t="str">
        <f t="shared" si="76"/>
        <v>قراردادي بهره بردار</v>
      </c>
      <c r="E687" s="1" t="str">
        <f t="shared" si="77"/>
        <v>پروژه بهره برداري نيروگاه بوشهر</v>
      </c>
      <c r="F687" s="1">
        <v>12653291</v>
      </c>
      <c r="G687" s="1">
        <v>6250877</v>
      </c>
      <c r="H687" s="1">
        <v>0</v>
      </c>
      <c r="I687" s="1">
        <v>9032801</v>
      </c>
      <c r="J687" s="1">
        <v>0</v>
      </c>
      <c r="K687" s="1">
        <v>4620000</v>
      </c>
      <c r="L687" s="1">
        <v>0</v>
      </c>
      <c r="M687" s="1">
        <v>1000000</v>
      </c>
      <c r="N687" s="1">
        <v>2147620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1606000</v>
      </c>
      <c r="U687" s="1">
        <v>0</v>
      </c>
      <c r="V687" s="1">
        <v>14858453</v>
      </c>
      <c r="W687" s="1">
        <v>1900000</v>
      </c>
      <c r="X687" s="1">
        <v>1836768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1534014</v>
      </c>
      <c r="AF687" s="1">
        <v>3033762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8987079</v>
      </c>
      <c r="AM687" s="1">
        <v>0</v>
      </c>
      <c r="AN687" s="1">
        <v>0</v>
      </c>
      <c r="AO687" s="1">
        <v>69460665</v>
      </c>
      <c r="AP687" s="1">
        <v>10562479</v>
      </c>
      <c r="AQ687" s="1">
        <v>58898186</v>
      </c>
      <c r="AR687" s="1">
        <v>12964181</v>
      </c>
      <c r="AS687" s="1">
        <v>1944627</v>
      </c>
      <c r="AT687" s="1">
        <f t="shared" si="71"/>
        <v>84369473</v>
      </c>
    </row>
    <row r="688" spans="1:46" x14ac:dyDescent="0.2">
      <c r="A688" s="1" t="str">
        <f>"00783"</f>
        <v>00783</v>
      </c>
      <c r="B688" s="1" t="str">
        <f>"رضا"</f>
        <v>رضا</v>
      </c>
      <c r="C688" s="1" t="str">
        <f>"قيطاسي"</f>
        <v>قيطاسي</v>
      </c>
      <c r="D688" s="1" t="str">
        <f t="shared" si="76"/>
        <v>قراردادي بهره بردار</v>
      </c>
      <c r="E688" s="1" t="str">
        <f t="shared" si="77"/>
        <v>پروژه بهره برداري نيروگاه بوشهر</v>
      </c>
      <c r="F688" s="1">
        <v>4947055</v>
      </c>
      <c r="G688" s="1">
        <v>1324312</v>
      </c>
      <c r="H688" s="1">
        <v>0</v>
      </c>
      <c r="I688" s="1">
        <v>-3516528</v>
      </c>
      <c r="J688" s="1">
        <v>0</v>
      </c>
      <c r="K688" s="1">
        <v>3465000</v>
      </c>
      <c r="L688" s="1">
        <v>0</v>
      </c>
      <c r="M688" s="1">
        <v>1000000</v>
      </c>
      <c r="N688" s="1">
        <v>254363</v>
      </c>
      <c r="O688" s="1">
        <v>0</v>
      </c>
      <c r="P688" s="1">
        <v>0</v>
      </c>
      <c r="Q688" s="1">
        <v>0</v>
      </c>
      <c r="R688" s="1">
        <v>17000000</v>
      </c>
      <c r="S688" s="1">
        <v>0</v>
      </c>
      <c r="T688" s="1">
        <v>0</v>
      </c>
      <c r="U688" s="1">
        <v>0</v>
      </c>
      <c r="V688" s="1">
        <v>11701391</v>
      </c>
      <c r="W688" s="1">
        <v>1900000</v>
      </c>
      <c r="X688" s="1">
        <v>665867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-631635</v>
      </c>
      <c r="AF688" s="1">
        <v>0</v>
      </c>
      <c r="AG688" s="1">
        <v>-164980</v>
      </c>
      <c r="AH688" s="1">
        <v>0</v>
      </c>
      <c r="AI688" s="1">
        <v>0</v>
      </c>
      <c r="AJ688" s="1">
        <v>0</v>
      </c>
      <c r="AK688" s="1">
        <v>0</v>
      </c>
      <c r="AL688" s="1">
        <v>1421504</v>
      </c>
      <c r="AM688" s="1">
        <v>0</v>
      </c>
      <c r="AN688" s="1">
        <v>0</v>
      </c>
      <c r="AO688" s="1">
        <v>39366349</v>
      </c>
      <c r="AP688" s="1">
        <v>17823376</v>
      </c>
      <c r="AQ688" s="1">
        <v>21542973</v>
      </c>
      <c r="AR688" s="1">
        <v>4473273</v>
      </c>
      <c r="AS688" s="1">
        <v>670990</v>
      </c>
      <c r="AT688" s="1">
        <f t="shared" si="71"/>
        <v>44510612</v>
      </c>
    </row>
    <row r="689" spans="1:46" x14ac:dyDescent="0.2">
      <c r="A689" s="1" t="str">
        <f>"00784"</f>
        <v>00784</v>
      </c>
      <c r="B689" s="1" t="str">
        <f>"عباس"</f>
        <v>عباس</v>
      </c>
      <c r="C689" s="1" t="str">
        <f>"كاظمي"</f>
        <v>كاظمي</v>
      </c>
      <c r="D689" s="1" t="str">
        <f t="shared" si="76"/>
        <v>قراردادي بهره بردار</v>
      </c>
      <c r="E689" s="1" t="str">
        <f t="shared" si="77"/>
        <v>پروژه بهره برداري نيروگاه بوشهر</v>
      </c>
      <c r="F689" s="1">
        <v>13937021</v>
      </c>
      <c r="G689" s="1">
        <v>11667177</v>
      </c>
      <c r="H689" s="1">
        <v>0</v>
      </c>
      <c r="I689" s="1">
        <v>11103455</v>
      </c>
      <c r="J689" s="1">
        <v>0</v>
      </c>
      <c r="K689" s="1">
        <v>3465000</v>
      </c>
      <c r="L689" s="1">
        <v>0</v>
      </c>
      <c r="M689" s="1">
        <v>1000000</v>
      </c>
      <c r="N689" s="1">
        <v>2596926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1606000</v>
      </c>
      <c r="U689" s="1">
        <v>0</v>
      </c>
      <c r="V689" s="1">
        <v>13262612</v>
      </c>
      <c r="W689" s="1">
        <v>1900000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1854947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7348241</v>
      </c>
      <c r="AM689" s="1">
        <v>0</v>
      </c>
      <c r="AN689" s="1">
        <v>0</v>
      </c>
      <c r="AO689" s="1">
        <v>69741379</v>
      </c>
      <c r="AP689" s="1">
        <v>32999944</v>
      </c>
      <c r="AQ689" s="1">
        <v>36741435</v>
      </c>
      <c r="AR689" s="1">
        <v>13627076</v>
      </c>
      <c r="AS689" s="1">
        <v>2044061</v>
      </c>
      <c r="AT689" s="1">
        <f t="shared" si="71"/>
        <v>85412516</v>
      </c>
    </row>
    <row r="690" spans="1:46" x14ac:dyDescent="0.2">
      <c r="A690" s="1" t="str">
        <f>"00785"</f>
        <v>00785</v>
      </c>
      <c r="B690" s="1" t="str">
        <f>"عليرضا"</f>
        <v>عليرضا</v>
      </c>
      <c r="C690" s="1" t="str">
        <f>"كهن"</f>
        <v>كهن</v>
      </c>
      <c r="D690" s="1" t="str">
        <f t="shared" si="76"/>
        <v>قراردادي بهره بردار</v>
      </c>
      <c r="E690" s="1" t="str">
        <f t="shared" si="77"/>
        <v>پروژه بهره برداري نيروگاه بوشهر</v>
      </c>
      <c r="F690" s="1">
        <v>13062945</v>
      </c>
      <c r="G690" s="1">
        <v>8295809</v>
      </c>
      <c r="H690" s="1">
        <v>0</v>
      </c>
      <c r="I690" s="1">
        <v>9568745</v>
      </c>
      <c r="J690" s="1">
        <v>0</v>
      </c>
      <c r="K690" s="1">
        <v>4620000</v>
      </c>
      <c r="L690" s="1">
        <v>0</v>
      </c>
      <c r="M690" s="1">
        <v>1000000</v>
      </c>
      <c r="N690" s="1">
        <v>2290999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15432491</v>
      </c>
      <c r="W690" s="1">
        <v>1900000</v>
      </c>
      <c r="X690" s="1">
        <v>1896234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1636428</v>
      </c>
      <c r="AF690" s="1">
        <v>1516881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9122944</v>
      </c>
      <c r="AM690" s="1">
        <v>0</v>
      </c>
      <c r="AN690" s="1">
        <v>0</v>
      </c>
      <c r="AO690" s="1">
        <v>70343476</v>
      </c>
      <c r="AP690" s="1">
        <v>28264204</v>
      </c>
      <c r="AQ690" s="1">
        <v>42079272</v>
      </c>
      <c r="AR690" s="1">
        <v>13765319</v>
      </c>
      <c r="AS690" s="1">
        <v>2064798</v>
      </c>
      <c r="AT690" s="1">
        <f t="shared" si="71"/>
        <v>86173593</v>
      </c>
    </row>
    <row r="691" spans="1:46" x14ac:dyDescent="0.2">
      <c r="A691" s="1" t="str">
        <f>"00786"</f>
        <v>00786</v>
      </c>
      <c r="B691" s="1" t="str">
        <f>"اميد"</f>
        <v>اميد</v>
      </c>
      <c r="C691" s="1" t="str">
        <f>"گلمرزي الاصل"</f>
        <v>گلمرزي الاصل</v>
      </c>
      <c r="D691" s="1" t="str">
        <f t="shared" si="76"/>
        <v>قراردادي بهره بردار</v>
      </c>
      <c r="E691" s="1" t="str">
        <f t="shared" si="77"/>
        <v>پروژه بهره برداري نيروگاه بوشهر</v>
      </c>
      <c r="F691" s="1">
        <v>12789112</v>
      </c>
      <c r="G691" s="1">
        <v>3483271</v>
      </c>
      <c r="H691" s="1">
        <v>0</v>
      </c>
      <c r="I691" s="1">
        <v>8926499</v>
      </c>
      <c r="J691" s="1">
        <v>0</v>
      </c>
      <c r="K691" s="1">
        <v>0</v>
      </c>
      <c r="L691" s="1">
        <v>0</v>
      </c>
      <c r="M691" s="1">
        <v>1000000</v>
      </c>
      <c r="N691" s="1">
        <v>2195158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1606000</v>
      </c>
      <c r="U691" s="1">
        <v>0</v>
      </c>
      <c r="V691" s="1">
        <v>14903642</v>
      </c>
      <c r="W691" s="1">
        <v>1900000</v>
      </c>
      <c r="X691" s="1">
        <v>1856484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1567970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8980550</v>
      </c>
      <c r="AM691" s="1">
        <v>0</v>
      </c>
      <c r="AN691" s="1">
        <v>0</v>
      </c>
      <c r="AO691" s="1">
        <v>59208686</v>
      </c>
      <c r="AP691" s="1">
        <v>11146720</v>
      </c>
      <c r="AQ691" s="1">
        <v>48061966</v>
      </c>
      <c r="AR691" s="1">
        <v>11520537</v>
      </c>
      <c r="AS691" s="1">
        <v>1728081</v>
      </c>
      <c r="AT691" s="1">
        <f t="shared" si="71"/>
        <v>72457304</v>
      </c>
    </row>
    <row r="692" spans="1:46" x14ac:dyDescent="0.2">
      <c r="A692" s="1" t="str">
        <f>"00787"</f>
        <v>00787</v>
      </c>
      <c r="B692" s="1" t="str">
        <f>"سجاد"</f>
        <v>سجاد</v>
      </c>
      <c r="C692" s="1" t="str">
        <f>"مرادي عبداليوسفي"</f>
        <v>مرادي عبداليوسفي</v>
      </c>
      <c r="D692" s="1" t="str">
        <f t="shared" si="76"/>
        <v>قراردادي بهره بردار</v>
      </c>
      <c r="E692" s="1" t="str">
        <f t="shared" si="77"/>
        <v>پروژه بهره برداري نيروگاه بوشهر</v>
      </c>
      <c r="F692" s="1">
        <v>12769396</v>
      </c>
      <c r="G692" s="1">
        <v>14722171</v>
      </c>
      <c r="H692" s="1">
        <v>0</v>
      </c>
      <c r="I692" s="1">
        <v>9092999</v>
      </c>
      <c r="J692" s="1">
        <v>0</v>
      </c>
      <c r="K692" s="1">
        <v>4620000</v>
      </c>
      <c r="L692" s="1">
        <v>0</v>
      </c>
      <c r="M692" s="1">
        <v>1000000</v>
      </c>
      <c r="N692" s="1">
        <v>2188257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1606000</v>
      </c>
      <c r="U692" s="1">
        <v>0</v>
      </c>
      <c r="V692" s="1">
        <v>15118420</v>
      </c>
      <c r="W692" s="1">
        <v>1900000</v>
      </c>
      <c r="X692" s="1">
        <v>1853622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1563041</v>
      </c>
      <c r="AF692" s="1">
        <v>1516881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8942696</v>
      </c>
      <c r="AM692" s="1">
        <v>0</v>
      </c>
      <c r="AN692" s="1">
        <v>0</v>
      </c>
      <c r="AO692" s="1">
        <v>76893483</v>
      </c>
      <c r="AP692" s="1">
        <v>32757218</v>
      </c>
      <c r="AQ692" s="1">
        <v>44136265</v>
      </c>
      <c r="AR692" s="1">
        <v>14754120</v>
      </c>
      <c r="AS692" s="1">
        <v>2213118</v>
      </c>
      <c r="AT692" s="1">
        <f t="shared" si="71"/>
        <v>93860721</v>
      </c>
    </row>
    <row r="693" spans="1:46" x14ac:dyDescent="0.2">
      <c r="A693" s="1" t="str">
        <f>"00788"</f>
        <v>00788</v>
      </c>
      <c r="B693" s="1" t="str">
        <f>"مرتضي"</f>
        <v>مرتضي</v>
      </c>
      <c r="C693" s="1" t="str">
        <f>"مرادي کوچي"</f>
        <v>مرادي کوچي</v>
      </c>
      <c r="D693" s="1" t="str">
        <f t="shared" si="76"/>
        <v>قراردادي بهره بردار</v>
      </c>
      <c r="E693" s="1" t="str">
        <f t="shared" si="77"/>
        <v>پروژه بهره برداري نيروگاه بوشهر</v>
      </c>
      <c r="F693" s="1">
        <v>13739861</v>
      </c>
      <c r="G693" s="1">
        <v>11569680</v>
      </c>
      <c r="H693" s="1">
        <v>0</v>
      </c>
      <c r="I693" s="1">
        <v>11893644</v>
      </c>
      <c r="J693" s="1">
        <v>0</v>
      </c>
      <c r="K693" s="1">
        <v>4620000</v>
      </c>
      <c r="L693" s="1">
        <v>0</v>
      </c>
      <c r="M693" s="1">
        <v>1000000</v>
      </c>
      <c r="N693" s="1">
        <v>2527920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11153667</v>
      </c>
      <c r="W693" s="1">
        <v>1900000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1805657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5724650</v>
      </c>
      <c r="AM693" s="1">
        <v>0</v>
      </c>
      <c r="AN693" s="1">
        <v>0</v>
      </c>
      <c r="AO693" s="1">
        <v>65935079</v>
      </c>
      <c r="AP693" s="1">
        <v>11078382</v>
      </c>
      <c r="AQ693" s="1">
        <v>54856697</v>
      </c>
      <c r="AR693" s="1">
        <v>13187016</v>
      </c>
      <c r="AS693" s="1">
        <v>1978052</v>
      </c>
      <c r="AT693" s="1">
        <f t="shared" si="71"/>
        <v>81100147</v>
      </c>
    </row>
    <row r="694" spans="1:46" x14ac:dyDescent="0.2">
      <c r="A694" s="1" t="str">
        <f>"00789"</f>
        <v>00789</v>
      </c>
      <c r="B694" s="1" t="str">
        <f>"وحيد"</f>
        <v>وحيد</v>
      </c>
      <c r="C694" s="1" t="str">
        <f>"مسعودي مقدم"</f>
        <v>مسعودي مقدم</v>
      </c>
      <c r="D694" s="1" t="str">
        <f t="shared" si="76"/>
        <v>قراردادي بهره بردار</v>
      </c>
      <c r="E694" s="1" t="str">
        <f t="shared" si="77"/>
        <v>پروژه بهره برداري نيروگاه بوشهر</v>
      </c>
      <c r="F694" s="1">
        <v>13996169</v>
      </c>
      <c r="G694" s="1">
        <v>12039313</v>
      </c>
      <c r="H694" s="1">
        <v>0</v>
      </c>
      <c r="I694" s="1">
        <v>10681465</v>
      </c>
      <c r="J694" s="1">
        <v>0</v>
      </c>
      <c r="K694" s="1">
        <v>4620000</v>
      </c>
      <c r="L694" s="1">
        <v>0</v>
      </c>
      <c r="M694" s="1">
        <v>1000000</v>
      </c>
      <c r="N694" s="1">
        <v>2617628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16346623</v>
      </c>
      <c r="W694" s="1">
        <v>1900000</v>
      </c>
      <c r="X694" s="1">
        <v>2031702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1869734</v>
      </c>
      <c r="AF694" s="1">
        <v>1516881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9525238</v>
      </c>
      <c r="AM694" s="1">
        <v>0</v>
      </c>
      <c r="AN694" s="1">
        <v>0</v>
      </c>
      <c r="AO694" s="1">
        <v>78144753</v>
      </c>
      <c r="AP694" s="1">
        <v>21231173</v>
      </c>
      <c r="AQ694" s="1">
        <v>56913580</v>
      </c>
      <c r="AR694" s="1">
        <v>15325574</v>
      </c>
      <c r="AS694" s="1">
        <v>2298836</v>
      </c>
      <c r="AT694" s="1">
        <f t="shared" si="71"/>
        <v>95769163</v>
      </c>
    </row>
    <row r="695" spans="1:46" x14ac:dyDescent="0.2">
      <c r="A695" s="1" t="str">
        <f>"00790"</f>
        <v>00790</v>
      </c>
      <c r="B695" s="1" t="str">
        <f>"محمد"</f>
        <v>محمد</v>
      </c>
      <c r="C695" s="1" t="str">
        <f>"مقدس زاده"</f>
        <v>مقدس زاده</v>
      </c>
      <c r="D695" s="1" t="str">
        <f t="shared" si="76"/>
        <v>قراردادي بهره بردار</v>
      </c>
      <c r="E695" s="1" t="str">
        <f t="shared" si="77"/>
        <v>پروژه بهره برداري نيروگاه بوشهر</v>
      </c>
      <c r="F695" s="1">
        <v>12929315</v>
      </c>
      <c r="G695" s="1">
        <v>3542844</v>
      </c>
      <c r="H695" s="1">
        <v>0</v>
      </c>
      <c r="I695" s="1">
        <v>9047433</v>
      </c>
      <c r="J695" s="1">
        <v>0</v>
      </c>
      <c r="K695" s="1">
        <v>4620000</v>
      </c>
      <c r="L695" s="1">
        <v>0</v>
      </c>
      <c r="M695" s="1">
        <v>1000000</v>
      </c>
      <c r="N695" s="1">
        <v>2244228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15158533</v>
      </c>
      <c r="W695" s="1">
        <v>1900000</v>
      </c>
      <c r="X695" s="1">
        <v>1876836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1603020</v>
      </c>
      <c r="AF695" s="1">
        <v>1516881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9224635</v>
      </c>
      <c r="AM695" s="1">
        <v>0</v>
      </c>
      <c r="AN695" s="1">
        <v>0</v>
      </c>
      <c r="AO695" s="1">
        <v>64663725</v>
      </c>
      <c r="AP695" s="1">
        <v>10775587</v>
      </c>
      <c r="AQ695" s="1">
        <v>53888138</v>
      </c>
      <c r="AR695" s="1">
        <v>12629369</v>
      </c>
      <c r="AS695" s="1">
        <v>1894405</v>
      </c>
      <c r="AT695" s="1">
        <f t="shared" si="71"/>
        <v>79187499</v>
      </c>
    </row>
    <row r="696" spans="1:46" x14ac:dyDescent="0.2">
      <c r="A696" s="1" t="str">
        <f>"00791"</f>
        <v>00791</v>
      </c>
      <c r="B696" s="1" t="str">
        <f>"علي"</f>
        <v>علي</v>
      </c>
      <c r="C696" s="1" t="str">
        <f>"ملائي محلي"</f>
        <v>ملائي محلي</v>
      </c>
      <c r="D696" s="1" t="str">
        <f t="shared" si="76"/>
        <v>قراردادي بهره بردار</v>
      </c>
      <c r="E696" s="1" t="str">
        <f t="shared" si="77"/>
        <v>پروژه بهره برداري نيروگاه بوشهر</v>
      </c>
      <c r="F696" s="1">
        <v>13820916</v>
      </c>
      <c r="G696" s="1">
        <v>4080320</v>
      </c>
      <c r="H696" s="1">
        <v>0</v>
      </c>
      <c r="I696" s="1">
        <v>12087638</v>
      </c>
      <c r="J696" s="1">
        <v>0</v>
      </c>
      <c r="K696" s="1">
        <v>4620000</v>
      </c>
      <c r="L696" s="1">
        <v>0</v>
      </c>
      <c r="M696" s="1">
        <v>1000000</v>
      </c>
      <c r="N696" s="1">
        <v>2556289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1606000</v>
      </c>
      <c r="U696" s="1">
        <v>0</v>
      </c>
      <c r="V696" s="1">
        <v>9655206</v>
      </c>
      <c r="W696" s="1">
        <v>1900000</v>
      </c>
      <c r="X696" s="1">
        <v>2006262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1825921</v>
      </c>
      <c r="AF696" s="1">
        <v>3033762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12621264</v>
      </c>
      <c r="AM696" s="1">
        <v>0</v>
      </c>
      <c r="AN696" s="1">
        <v>0</v>
      </c>
      <c r="AO696" s="1">
        <v>70813578</v>
      </c>
      <c r="AP696" s="1">
        <v>15550806</v>
      </c>
      <c r="AQ696" s="1">
        <v>55262772</v>
      </c>
      <c r="AR696" s="1">
        <v>13234763</v>
      </c>
      <c r="AS696" s="1">
        <v>1985214</v>
      </c>
      <c r="AT696" s="1">
        <f t="shared" si="71"/>
        <v>86033555</v>
      </c>
    </row>
    <row r="697" spans="1:46" x14ac:dyDescent="0.2">
      <c r="A697" s="1" t="str">
        <f>"00792"</f>
        <v>00792</v>
      </c>
      <c r="B697" s="1" t="str">
        <f>"محمدعلي"</f>
        <v>محمدعلي</v>
      </c>
      <c r="C697" s="1" t="str">
        <f>"نجاتي"</f>
        <v>نجاتي</v>
      </c>
      <c r="D697" s="1" t="str">
        <f t="shared" si="76"/>
        <v>قراردادي بهره بردار</v>
      </c>
      <c r="E697" s="1" t="str">
        <f t="shared" si="77"/>
        <v>پروژه بهره برداري نيروگاه بوشهر</v>
      </c>
      <c r="F697" s="1">
        <v>14000551</v>
      </c>
      <c r="G697" s="1">
        <v>5221034</v>
      </c>
      <c r="H697" s="1">
        <v>0</v>
      </c>
      <c r="I697" s="1">
        <v>12779628</v>
      </c>
      <c r="J697" s="1">
        <v>0</v>
      </c>
      <c r="K697" s="1">
        <v>4620000</v>
      </c>
      <c r="L697" s="1">
        <v>0</v>
      </c>
      <c r="M697" s="1">
        <v>1000000</v>
      </c>
      <c r="N697" s="1">
        <v>2619161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1606000</v>
      </c>
      <c r="U697" s="1">
        <v>0</v>
      </c>
      <c r="V697" s="1">
        <v>14876741</v>
      </c>
      <c r="W697" s="1">
        <v>1900000</v>
      </c>
      <c r="X697" s="1">
        <v>2032338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1870829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13121262</v>
      </c>
      <c r="AM697" s="1">
        <v>0</v>
      </c>
      <c r="AN697" s="1">
        <v>0</v>
      </c>
      <c r="AO697" s="1">
        <v>75647544</v>
      </c>
      <c r="AP697" s="1">
        <v>35771221</v>
      </c>
      <c r="AQ697" s="1">
        <v>39876323</v>
      </c>
      <c r="AR697" s="1">
        <v>14808310</v>
      </c>
      <c r="AS697" s="1">
        <v>2221247</v>
      </c>
      <c r="AT697" s="1">
        <f t="shared" si="71"/>
        <v>92677101</v>
      </c>
    </row>
    <row r="698" spans="1:46" x14ac:dyDescent="0.2">
      <c r="A698" s="1" t="str">
        <f>"00793"</f>
        <v>00793</v>
      </c>
      <c r="B698" s="1" t="str">
        <f>"حسين"</f>
        <v>حسين</v>
      </c>
      <c r="C698" s="1" t="str">
        <f>"نصيري"</f>
        <v>نصيري</v>
      </c>
      <c r="D698" s="1" t="str">
        <f t="shared" si="76"/>
        <v>قراردادي بهره بردار</v>
      </c>
      <c r="E698" s="1" t="str">
        <f t="shared" si="77"/>
        <v>پروژه بهره برداري نيروگاه بوشهر</v>
      </c>
      <c r="F698" s="1">
        <v>12821972</v>
      </c>
      <c r="G698" s="1">
        <v>8195658</v>
      </c>
      <c r="H698" s="1">
        <v>0</v>
      </c>
      <c r="I698" s="1">
        <v>9046004</v>
      </c>
      <c r="J698" s="1">
        <v>0</v>
      </c>
      <c r="K698" s="1">
        <v>4620000</v>
      </c>
      <c r="L698" s="1">
        <v>0</v>
      </c>
      <c r="M698" s="1">
        <v>1000000</v>
      </c>
      <c r="N698" s="1">
        <v>2206659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1606000</v>
      </c>
      <c r="U698" s="1">
        <v>0</v>
      </c>
      <c r="V698" s="1">
        <v>10466932</v>
      </c>
      <c r="W698" s="1">
        <v>1900000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1576185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5362314</v>
      </c>
      <c r="AM698" s="1">
        <v>0</v>
      </c>
      <c r="AN698" s="1">
        <v>0</v>
      </c>
      <c r="AO698" s="1">
        <v>58801724</v>
      </c>
      <c r="AP698" s="1">
        <v>13276534</v>
      </c>
      <c r="AQ698" s="1">
        <v>45525190</v>
      </c>
      <c r="AR698" s="1">
        <v>11439145</v>
      </c>
      <c r="AS698" s="1">
        <v>1715872</v>
      </c>
      <c r="AT698" s="1">
        <f t="shared" si="71"/>
        <v>71956741</v>
      </c>
    </row>
    <row r="699" spans="1:46" x14ac:dyDescent="0.2">
      <c r="A699" s="1" t="str">
        <f>"00794"</f>
        <v>00794</v>
      </c>
      <c r="B699" s="1" t="str">
        <f>"علي"</f>
        <v>علي</v>
      </c>
      <c r="C699" s="1" t="str">
        <f>"نظري سينا"</f>
        <v>نظري سينا</v>
      </c>
      <c r="D699" s="1" t="str">
        <f t="shared" si="76"/>
        <v>قراردادي بهره بردار</v>
      </c>
      <c r="E699" s="1" t="str">
        <f t="shared" si="77"/>
        <v>پروژه بهره برداري نيروگاه بوشهر</v>
      </c>
      <c r="F699" s="1">
        <v>14537264</v>
      </c>
      <c r="G699" s="1">
        <v>3725324</v>
      </c>
      <c r="H699" s="1">
        <v>0</v>
      </c>
      <c r="I699" s="1">
        <v>11872995</v>
      </c>
      <c r="J699" s="1">
        <v>0</v>
      </c>
      <c r="K699" s="1">
        <v>0</v>
      </c>
      <c r="L699" s="1">
        <v>0</v>
      </c>
      <c r="M699" s="1">
        <v>1000000</v>
      </c>
      <c r="N699" s="1">
        <v>2807011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9871892</v>
      </c>
      <c r="W699" s="1">
        <v>1900000</v>
      </c>
      <c r="X699" s="1">
        <v>1862662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2005008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11698993</v>
      </c>
      <c r="AM699" s="1">
        <v>0</v>
      </c>
      <c r="AN699" s="1">
        <v>0</v>
      </c>
      <c r="AO699" s="1">
        <v>61281149</v>
      </c>
      <c r="AP699" s="1">
        <v>32527106</v>
      </c>
      <c r="AQ699" s="1">
        <v>28754043</v>
      </c>
      <c r="AR699" s="1">
        <v>12256230</v>
      </c>
      <c r="AS699" s="1">
        <v>1838434</v>
      </c>
      <c r="AT699" s="1">
        <f t="shared" si="71"/>
        <v>75375813</v>
      </c>
    </row>
    <row r="700" spans="1:46" x14ac:dyDescent="0.2">
      <c r="A700" s="1" t="str">
        <f>"00795"</f>
        <v>00795</v>
      </c>
      <c r="B700" s="1" t="str">
        <f>"فرهاد"</f>
        <v>فرهاد</v>
      </c>
      <c r="C700" s="1" t="str">
        <f>"رزمي"</f>
        <v>رزمي</v>
      </c>
      <c r="D700" s="1" t="str">
        <f t="shared" si="76"/>
        <v>قراردادي بهره بردار</v>
      </c>
      <c r="E700" s="1" t="str">
        <f t="shared" si="77"/>
        <v>پروژه بهره برداري نيروگاه بوشهر</v>
      </c>
      <c r="F700" s="1">
        <v>23330600</v>
      </c>
      <c r="G700" s="1">
        <v>26009054</v>
      </c>
      <c r="H700" s="1">
        <v>0</v>
      </c>
      <c r="I700" s="1">
        <v>18921537</v>
      </c>
      <c r="J700" s="1">
        <v>0</v>
      </c>
      <c r="K700" s="1">
        <v>5500000</v>
      </c>
      <c r="L700" s="1">
        <v>0</v>
      </c>
      <c r="M700" s="1">
        <v>1000000</v>
      </c>
      <c r="N700" s="1">
        <v>3494004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1606000</v>
      </c>
      <c r="U700" s="1">
        <v>0</v>
      </c>
      <c r="V700" s="1">
        <v>9641574</v>
      </c>
      <c r="W700" s="1">
        <v>1900000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2495717</v>
      </c>
      <c r="AF700" s="1">
        <v>1516881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4588680</v>
      </c>
      <c r="AM700" s="1">
        <v>0</v>
      </c>
      <c r="AN700" s="1">
        <v>0</v>
      </c>
      <c r="AO700" s="1">
        <v>100004047</v>
      </c>
      <c r="AP700" s="1">
        <v>21049018</v>
      </c>
      <c r="AQ700" s="1">
        <v>78955029</v>
      </c>
      <c r="AR700" s="1">
        <v>19376233</v>
      </c>
      <c r="AS700" s="1">
        <v>2906435</v>
      </c>
      <c r="AT700" s="1">
        <f t="shared" si="71"/>
        <v>122286715</v>
      </c>
    </row>
    <row r="701" spans="1:46" x14ac:dyDescent="0.2">
      <c r="A701" s="1" t="str">
        <f>"00796"</f>
        <v>00796</v>
      </c>
      <c r="B701" s="1" t="str">
        <f>"حميدرضا"</f>
        <v>حميدرضا</v>
      </c>
      <c r="C701" s="1" t="str">
        <f>"محبي"</f>
        <v>محبي</v>
      </c>
      <c r="D701" s="1" t="str">
        <f t="shared" si="76"/>
        <v>قراردادي بهره بردار</v>
      </c>
      <c r="E701" s="1" t="str">
        <f t="shared" si="77"/>
        <v>پروژه بهره برداري نيروگاه بوشهر</v>
      </c>
      <c r="F701" s="1">
        <v>16313895</v>
      </c>
      <c r="G701" s="1">
        <v>14897471</v>
      </c>
      <c r="H701" s="1">
        <v>0</v>
      </c>
      <c r="I701" s="1">
        <v>11622862</v>
      </c>
      <c r="J701" s="1">
        <v>0</v>
      </c>
      <c r="K701" s="1">
        <v>0</v>
      </c>
      <c r="L701" s="1">
        <v>0</v>
      </c>
      <c r="M701" s="1">
        <v>1000000</v>
      </c>
      <c r="N701" s="1">
        <v>2524086</v>
      </c>
      <c r="O701" s="1">
        <v>0</v>
      </c>
      <c r="P701" s="1">
        <v>0</v>
      </c>
      <c r="Q701" s="1">
        <v>0</v>
      </c>
      <c r="R701" s="1">
        <v>111757</v>
      </c>
      <c r="S701" s="1">
        <v>0</v>
      </c>
      <c r="T701" s="1">
        <v>0</v>
      </c>
      <c r="U701" s="1">
        <v>0</v>
      </c>
      <c r="V701" s="1">
        <v>7482587</v>
      </c>
      <c r="W701" s="1">
        <v>1900000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1802919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4236662</v>
      </c>
      <c r="AM701" s="1">
        <v>0</v>
      </c>
      <c r="AN701" s="1">
        <v>0</v>
      </c>
      <c r="AO701" s="1">
        <v>61892239</v>
      </c>
      <c r="AP701" s="1">
        <v>19249127</v>
      </c>
      <c r="AQ701" s="1">
        <v>42643112</v>
      </c>
      <c r="AR701" s="1">
        <v>12356096</v>
      </c>
      <c r="AS701" s="1">
        <v>1853414</v>
      </c>
      <c r="AT701" s="1">
        <f t="shared" si="71"/>
        <v>76101749</v>
      </c>
    </row>
    <row r="702" spans="1:46" x14ac:dyDescent="0.2">
      <c r="A702" s="1" t="str">
        <f>"00797"</f>
        <v>00797</v>
      </c>
      <c r="B702" s="1" t="str">
        <f>"مسعود"</f>
        <v>مسعود</v>
      </c>
      <c r="C702" s="1" t="str">
        <f>"احمدپور"</f>
        <v>احمدپور</v>
      </c>
      <c r="D702" s="1" t="str">
        <f t="shared" si="76"/>
        <v>قراردادي بهره بردار</v>
      </c>
      <c r="E702" s="1" t="str">
        <f t="shared" si="77"/>
        <v>پروژه بهره برداري نيروگاه بوشهر</v>
      </c>
      <c r="F702" s="1">
        <v>14217427</v>
      </c>
      <c r="G702" s="1">
        <v>9765912</v>
      </c>
      <c r="H702" s="1">
        <v>0</v>
      </c>
      <c r="I702" s="1">
        <v>12052696</v>
      </c>
      <c r="J702" s="1">
        <v>0</v>
      </c>
      <c r="K702" s="1">
        <v>3465000</v>
      </c>
      <c r="L702" s="1">
        <v>0</v>
      </c>
      <c r="M702" s="1">
        <v>1000000</v>
      </c>
      <c r="N702" s="1">
        <v>2695068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1606000</v>
      </c>
      <c r="U702" s="1">
        <v>0</v>
      </c>
      <c r="V702" s="1">
        <v>12934292</v>
      </c>
      <c r="W702" s="1">
        <v>1900000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1925048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7433589</v>
      </c>
      <c r="AM702" s="1">
        <v>0</v>
      </c>
      <c r="AN702" s="1">
        <v>0</v>
      </c>
      <c r="AO702" s="1">
        <v>68995032</v>
      </c>
      <c r="AP702" s="1">
        <v>12915467</v>
      </c>
      <c r="AQ702" s="1">
        <v>56079565</v>
      </c>
      <c r="AR702" s="1">
        <v>13477806</v>
      </c>
      <c r="AS702" s="1">
        <v>2021671</v>
      </c>
      <c r="AT702" s="1">
        <f t="shared" si="71"/>
        <v>84494509</v>
      </c>
    </row>
    <row r="703" spans="1:46" x14ac:dyDescent="0.2">
      <c r="A703" s="1" t="str">
        <f>"00798"</f>
        <v>00798</v>
      </c>
      <c r="B703" s="1" t="str">
        <f>"محمدصادق"</f>
        <v>محمدصادق</v>
      </c>
      <c r="C703" s="1" t="str">
        <f>"الماسي"</f>
        <v>الماسي</v>
      </c>
      <c r="D703" s="1" t="str">
        <f t="shared" si="76"/>
        <v>قراردادي بهره بردار</v>
      </c>
      <c r="E703" s="1" t="str">
        <f t="shared" si="77"/>
        <v>پروژه بهره برداري نيروگاه بوشهر</v>
      </c>
      <c r="F703" s="1">
        <v>18589997</v>
      </c>
      <c r="G703" s="1">
        <v>8206331</v>
      </c>
      <c r="H703" s="1">
        <v>0</v>
      </c>
      <c r="I703" s="1">
        <v>15415972</v>
      </c>
      <c r="J703" s="1">
        <v>0</v>
      </c>
      <c r="K703" s="1">
        <v>11000000</v>
      </c>
      <c r="L703" s="1">
        <v>0</v>
      </c>
      <c r="M703" s="1">
        <v>1000000</v>
      </c>
      <c r="N703" s="1">
        <v>3148207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21588235</v>
      </c>
      <c r="W703" s="1">
        <v>1900000</v>
      </c>
      <c r="X703" s="1">
        <v>2698548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2248719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11693516</v>
      </c>
      <c r="AM703" s="1">
        <v>0</v>
      </c>
      <c r="AN703" s="1">
        <v>0</v>
      </c>
      <c r="AO703" s="1">
        <v>97489525</v>
      </c>
      <c r="AP703" s="1">
        <v>16149143</v>
      </c>
      <c r="AQ703" s="1">
        <v>81340382</v>
      </c>
      <c r="AR703" s="1">
        <v>19453942</v>
      </c>
      <c r="AS703" s="1">
        <v>2918092</v>
      </c>
      <c r="AT703" s="1">
        <f t="shared" si="71"/>
        <v>119861559</v>
      </c>
    </row>
    <row r="704" spans="1:46" x14ac:dyDescent="0.2">
      <c r="A704" s="1" t="str">
        <f>"00799"</f>
        <v>00799</v>
      </c>
      <c r="B704" s="1" t="str">
        <f>"حسين"</f>
        <v>حسين</v>
      </c>
      <c r="C704" s="1" t="str">
        <f>"پرواز"</f>
        <v>پرواز</v>
      </c>
      <c r="D704" s="1" t="str">
        <f t="shared" si="76"/>
        <v>قراردادي بهره بردار</v>
      </c>
      <c r="E704" s="1" t="str">
        <f t="shared" si="77"/>
        <v>پروژه بهره برداري نيروگاه بوشهر</v>
      </c>
      <c r="F704" s="1">
        <v>24583660</v>
      </c>
      <c r="G704" s="1">
        <v>20030382</v>
      </c>
      <c r="H704" s="1">
        <v>0</v>
      </c>
      <c r="I704" s="1">
        <v>20666967</v>
      </c>
      <c r="J704" s="1">
        <v>0</v>
      </c>
      <c r="K704" s="1">
        <v>5500000</v>
      </c>
      <c r="L704" s="1">
        <v>0</v>
      </c>
      <c r="M704" s="1">
        <v>1000000</v>
      </c>
      <c r="N704" s="1">
        <v>3727858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1606000</v>
      </c>
      <c r="U704" s="1">
        <v>0</v>
      </c>
      <c r="V704" s="1">
        <v>27994443</v>
      </c>
      <c r="W704" s="1">
        <v>1900000</v>
      </c>
      <c r="X704" s="1">
        <v>3568596</v>
      </c>
      <c r="Y704" s="1">
        <v>234620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2662754</v>
      </c>
      <c r="AF704" s="1">
        <v>3033762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14617795</v>
      </c>
      <c r="AM704" s="1">
        <v>0</v>
      </c>
      <c r="AN704" s="1">
        <v>0</v>
      </c>
      <c r="AO704" s="1">
        <v>131126837</v>
      </c>
      <c r="AP704" s="1">
        <v>45985705</v>
      </c>
      <c r="AQ704" s="1">
        <v>85141132</v>
      </c>
      <c r="AR704" s="1">
        <v>21944212</v>
      </c>
      <c r="AS704" s="1">
        <v>3291632</v>
      </c>
      <c r="AT704" s="1">
        <f t="shared" si="71"/>
        <v>156362681</v>
      </c>
    </row>
    <row r="705" spans="1:46" x14ac:dyDescent="0.2">
      <c r="A705" s="1" t="str">
        <f>"00800"</f>
        <v>00800</v>
      </c>
      <c r="B705" s="1" t="str">
        <f>"بهمن"</f>
        <v>بهمن</v>
      </c>
      <c r="C705" s="1" t="str">
        <f>"خدادوستان شهرکي"</f>
        <v>خدادوستان شهرکي</v>
      </c>
      <c r="D705" s="1" t="str">
        <f t="shared" si="76"/>
        <v>قراردادي بهره بردار</v>
      </c>
      <c r="E705" s="1" t="str">
        <f t="shared" si="77"/>
        <v>پروژه بهره برداري نيروگاه بوشهر</v>
      </c>
      <c r="F705" s="1">
        <v>18377503</v>
      </c>
      <c r="G705" s="1">
        <v>14579667</v>
      </c>
      <c r="H705" s="1">
        <v>0</v>
      </c>
      <c r="I705" s="1">
        <v>19697738</v>
      </c>
      <c r="J705" s="1">
        <v>0</v>
      </c>
      <c r="K705" s="1">
        <v>5500000</v>
      </c>
      <c r="L705" s="1">
        <v>0</v>
      </c>
      <c r="M705" s="1">
        <v>1000000</v>
      </c>
      <c r="N705" s="1">
        <v>3073834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20127783</v>
      </c>
      <c r="W705" s="1">
        <v>1900000</v>
      </c>
      <c r="X705" s="1">
        <v>2876745</v>
      </c>
      <c r="Y705" s="1">
        <v>0</v>
      </c>
      <c r="Z705" s="1">
        <v>0</v>
      </c>
      <c r="AA705" s="1">
        <v>0</v>
      </c>
      <c r="AB705" s="1">
        <v>0</v>
      </c>
      <c r="AC705" s="1">
        <v>14217427</v>
      </c>
      <c r="AD705" s="1">
        <v>0</v>
      </c>
      <c r="AE705" s="1">
        <v>2195596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38284499</v>
      </c>
      <c r="AM705" s="1">
        <v>0</v>
      </c>
      <c r="AN705" s="1">
        <v>0</v>
      </c>
      <c r="AO705" s="1">
        <v>141830792</v>
      </c>
      <c r="AP705" s="1">
        <v>24170450</v>
      </c>
      <c r="AQ705" s="1">
        <v>117660342</v>
      </c>
      <c r="AR705" s="1">
        <v>28366159</v>
      </c>
      <c r="AS705" s="1">
        <v>4254923</v>
      </c>
      <c r="AT705" s="1">
        <f t="shared" si="71"/>
        <v>174451874</v>
      </c>
    </row>
    <row r="706" spans="1:46" x14ac:dyDescent="0.2">
      <c r="A706" s="1" t="str">
        <f>"00801"</f>
        <v>00801</v>
      </c>
      <c r="B706" s="1" t="str">
        <f>"عليرضا"</f>
        <v>عليرضا</v>
      </c>
      <c r="C706" s="1" t="str">
        <f>"رزمي"</f>
        <v>رزمي</v>
      </c>
      <c r="D706" s="1" t="str">
        <f t="shared" si="76"/>
        <v>قراردادي بهره بردار</v>
      </c>
      <c r="E706" s="1" t="str">
        <f t="shared" si="77"/>
        <v>پروژه بهره برداري نيروگاه بوشهر</v>
      </c>
      <c r="F706" s="1">
        <v>12710248</v>
      </c>
      <c r="G706" s="1">
        <v>1863411</v>
      </c>
      <c r="H706" s="1">
        <v>0</v>
      </c>
      <c r="I706" s="1">
        <v>9291263</v>
      </c>
      <c r="J706" s="1">
        <v>0</v>
      </c>
      <c r="K706" s="1">
        <v>4620000</v>
      </c>
      <c r="L706" s="1">
        <v>0</v>
      </c>
      <c r="M706" s="1">
        <v>1000000</v>
      </c>
      <c r="N706" s="1">
        <v>2167555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1606000</v>
      </c>
      <c r="U706" s="1">
        <v>0</v>
      </c>
      <c r="V706" s="1">
        <v>8157008</v>
      </c>
      <c r="W706" s="1">
        <v>1900000</v>
      </c>
      <c r="X706" s="1">
        <v>1845036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1548254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10137660</v>
      </c>
      <c r="AM706" s="1">
        <v>0</v>
      </c>
      <c r="AN706" s="1">
        <v>0</v>
      </c>
      <c r="AO706" s="1">
        <v>56846435</v>
      </c>
      <c r="AP706" s="1">
        <v>6884990</v>
      </c>
      <c r="AQ706" s="1">
        <v>49961445</v>
      </c>
      <c r="AR706" s="1">
        <v>11048087</v>
      </c>
      <c r="AS706" s="1">
        <v>1657213</v>
      </c>
      <c r="AT706" s="1">
        <f t="shared" si="71"/>
        <v>69551735</v>
      </c>
    </row>
    <row r="707" spans="1:46" x14ac:dyDescent="0.2">
      <c r="A707" s="1" t="str">
        <f>"00802"</f>
        <v>00802</v>
      </c>
      <c r="B707" s="1" t="str">
        <f>"محمدباقر"</f>
        <v>محمدباقر</v>
      </c>
      <c r="C707" s="1" t="str">
        <f>"رنجبر"</f>
        <v>رنجبر</v>
      </c>
      <c r="D707" s="1" t="str">
        <f t="shared" si="76"/>
        <v>قراردادي بهره بردار</v>
      </c>
      <c r="E707" s="1" t="str">
        <f t="shared" si="77"/>
        <v>پروژه بهره برداري نيروگاه بوشهر</v>
      </c>
      <c r="F707" s="1">
        <v>13255724</v>
      </c>
      <c r="G707" s="1">
        <v>9647181</v>
      </c>
      <c r="H707" s="1">
        <v>0</v>
      </c>
      <c r="I707" s="1">
        <v>9256514</v>
      </c>
      <c r="J707" s="1">
        <v>0</v>
      </c>
      <c r="K707" s="1">
        <v>4620000</v>
      </c>
      <c r="L707" s="1">
        <v>0</v>
      </c>
      <c r="M707" s="1">
        <v>1000000</v>
      </c>
      <c r="N707" s="1">
        <v>2358472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7239456</v>
      </c>
      <c r="W707" s="1">
        <v>1900000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1684623</v>
      </c>
      <c r="AF707" s="1">
        <v>1516881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5266451</v>
      </c>
      <c r="AM707" s="1">
        <v>0</v>
      </c>
      <c r="AN707" s="1">
        <v>0</v>
      </c>
      <c r="AO707" s="1">
        <v>57745302</v>
      </c>
      <c r="AP707" s="1">
        <v>21535889</v>
      </c>
      <c r="AQ707" s="1">
        <v>36209413</v>
      </c>
      <c r="AR707" s="1">
        <v>11245684</v>
      </c>
      <c r="AS707" s="1">
        <v>1686853</v>
      </c>
      <c r="AT707" s="1">
        <f t="shared" ref="AT707:AT770" si="78">AO707+AR707+AS707</f>
        <v>70677839</v>
      </c>
    </row>
    <row r="708" spans="1:46" x14ac:dyDescent="0.2">
      <c r="A708" s="1" t="str">
        <f>"00803"</f>
        <v>00803</v>
      </c>
      <c r="B708" s="1" t="str">
        <f>"قادر"</f>
        <v>قادر</v>
      </c>
      <c r="C708" s="1" t="str">
        <f>"شجاعي"</f>
        <v>شجاعي</v>
      </c>
      <c r="D708" s="1" t="str">
        <f t="shared" si="76"/>
        <v>قراردادي بهره بردار</v>
      </c>
      <c r="E708" s="1" t="str">
        <f t="shared" si="77"/>
        <v>پروژه بهره برداري نيروگاه بوشهر</v>
      </c>
      <c r="F708" s="1">
        <v>13809963</v>
      </c>
      <c r="G708" s="1">
        <v>3494865</v>
      </c>
      <c r="H708" s="1">
        <v>0</v>
      </c>
      <c r="I708" s="1">
        <v>11110926</v>
      </c>
      <c r="J708" s="1">
        <v>0</v>
      </c>
      <c r="K708" s="1">
        <v>0</v>
      </c>
      <c r="L708" s="1">
        <v>0</v>
      </c>
      <c r="M708" s="1">
        <v>1000000</v>
      </c>
      <c r="N708" s="1">
        <v>2552455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1606000</v>
      </c>
      <c r="U708" s="1">
        <v>0</v>
      </c>
      <c r="V708" s="1">
        <v>9179181</v>
      </c>
      <c r="W708" s="1">
        <v>1900000</v>
      </c>
      <c r="X708" s="1">
        <v>2004672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1823182</v>
      </c>
      <c r="AF708" s="1">
        <v>0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11051519</v>
      </c>
      <c r="AM708" s="1">
        <v>0</v>
      </c>
      <c r="AN708" s="1">
        <v>0</v>
      </c>
      <c r="AO708" s="1">
        <v>59532763</v>
      </c>
      <c r="AP708" s="1">
        <v>13533848</v>
      </c>
      <c r="AQ708" s="1">
        <v>45998915</v>
      </c>
      <c r="AR708" s="1">
        <v>11585353</v>
      </c>
      <c r="AS708" s="1">
        <v>1737803</v>
      </c>
      <c r="AT708" s="1">
        <f t="shared" si="78"/>
        <v>72855919</v>
      </c>
    </row>
    <row r="709" spans="1:46" x14ac:dyDescent="0.2">
      <c r="A709" s="1" t="str">
        <f>"00804"</f>
        <v>00804</v>
      </c>
      <c r="B709" s="1" t="str">
        <f>"علي"</f>
        <v>علي</v>
      </c>
      <c r="C709" s="1" t="str">
        <f>"گلابي"</f>
        <v>گلابي</v>
      </c>
      <c r="D709" s="1" t="str">
        <f t="shared" si="76"/>
        <v>قراردادي بهره بردار</v>
      </c>
      <c r="E709" s="1" t="str">
        <f t="shared" si="77"/>
        <v>پروژه بهره برداري نيروگاه بوشهر</v>
      </c>
      <c r="F709" s="1">
        <v>13893208</v>
      </c>
      <c r="G709" s="1">
        <v>7429192</v>
      </c>
      <c r="H709" s="1">
        <v>0</v>
      </c>
      <c r="I709" s="1">
        <v>10452863</v>
      </c>
      <c r="J709" s="1">
        <v>0</v>
      </c>
      <c r="K709" s="1">
        <v>4620000</v>
      </c>
      <c r="L709" s="1">
        <v>0</v>
      </c>
      <c r="M709" s="1">
        <v>1000000</v>
      </c>
      <c r="N709" s="1">
        <v>2581591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7805039</v>
      </c>
      <c r="W709" s="1">
        <v>1900000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1843994</v>
      </c>
      <c r="AF709" s="1">
        <v>1516881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5536209</v>
      </c>
      <c r="AM709" s="1">
        <v>0</v>
      </c>
      <c r="AN709" s="1">
        <v>0</v>
      </c>
      <c r="AO709" s="1">
        <v>58578977</v>
      </c>
      <c r="AP709" s="1">
        <v>17944814</v>
      </c>
      <c r="AQ709" s="1">
        <v>40634163</v>
      </c>
      <c r="AR709" s="1">
        <v>11412419</v>
      </c>
      <c r="AS709" s="1">
        <v>1711863</v>
      </c>
      <c r="AT709" s="1">
        <f t="shared" si="78"/>
        <v>71703259</v>
      </c>
    </row>
    <row r="710" spans="1:46" x14ac:dyDescent="0.2">
      <c r="A710" s="1" t="str">
        <f>"00805"</f>
        <v>00805</v>
      </c>
      <c r="B710" s="1" t="str">
        <f>"حميد"</f>
        <v>حميد</v>
      </c>
      <c r="C710" s="1" t="str">
        <f>"محمودي پيام"</f>
        <v>محمودي پيام</v>
      </c>
      <c r="D710" s="1" t="str">
        <f t="shared" si="76"/>
        <v>قراردادي بهره بردار</v>
      </c>
      <c r="E710" s="1" t="str">
        <f t="shared" si="77"/>
        <v>پروژه بهره برداري نيروگاه بوشهر</v>
      </c>
      <c r="F710" s="1">
        <v>13345541</v>
      </c>
      <c r="G710" s="1">
        <v>3186618</v>
      </c>
      <c r="H710" s="1">
        <v>0</v>
      </c>
      <c r="I710" s="1">
        <v>11278660</v>
      </c>
      <c r="J710" s="1">
        <v>0</v>
      </c>
      <c r="K710" s="1">
        <v>4620000</v>
      </c>
      <c r="L710" s="1">
        <v>0</v>
      </c>
      <c r="M710" s="1">
        <v>1000000</v>
      </c>
      <c r="N710" s="1">
        <v>2389908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1606000</v>
      </c>
      <c r="U710" s="1">
        <v>0</v>
      </c>
      <c r="V710" s="1">
        <v>9299532</v>
      </c>
      <c r="W710" s="1">
        <v>1900000</v>
      </c>
      <c r="X710" s="1">
        <v>1937256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1707077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12155878</v>
      </c>
      <c r="AM710" s="1">
        <v>0</v>
      </c>
      <c r="AN710" s="1">
        <v>0</v>
      </c>
      <c r="AO710" s="1">
        <v>64426470</v>
      </c>
      <c r="AP710" s="1">
        <v>20934141</v>
      </c>
      <c r="AQ710" s="1">
        <v>43492329</v>
      </c>
      <c r="AR710" s="1">
        <v>12564094</v>
      </c>
      <c r="AS710" s="1">
        <v>1884614</v>
      </c>
      <c r="AT710" s="1">
        <f t="shared" si="78"/>
        <v>78875178</v>
      </c>
    </row>
    <row r="711" spans="1:46" x14ac:dyDescent="0.2">
      <c r="A711" s="1" t="str">
        <f>"00806"</f>
        <v>00806</v>
      </c>
      <c r="B711" s="1" t="str">
        <f>"مصطفي"</f>
        <v>مصطفي</v>
      </c>
      <c r="C711" s="1" t="str">
        <f>"مرادي"</f>
        <v>مرادي</v>
      </c>
      <c r="D711" s="1" t="str">
        <f t="shared" si="76"/>
        <v>قراردادي بهره بردار</v>
      </c>
      <c r="E711" s="1" t="str">
        <f t="shared" si="77"/>
        <v>پروژه بهره برداري نيروگاه بوشهر</v>
      </c>
      <c r="F711" s="1">
        <v>14177995</v>
      </c>
      <c r="G711" s="1">
        <v>6203126</v>
      </c>
      <c r="H711" s="1">
        <v>0</v>
      </c>
      <c r="I711" s="1">
        <v>12003675</v>
      </c>
      <c r="J711" s="1">
        <v>0</v>
      </c>
      <c r="K711" s="1">
        <v>4620000</v>
      </c>
      <c r="L711" s="1">
        <v>0</v>
      </c>
      <c r="M711" s="1">
        <v>1000000</v>
      </c>
      <c r="N711" s="1">
        <v>2681266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1606000</v>
      </c>
      <c r="U711" s="1">
        <v>0</v>
      </c>
      <c r="V711" s="1">
        <v>9583744</v>
      </c>
      <c r="W711" s="1">
        <v>1900000</v>
      </c>
      <c r="X711" s="1">
        <v>2058096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1915190</v>
      </c>
      <c r="AF711" s="1">
        <v>1516881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11348223</v>
      </c>
      <c r="AM711" s="1">
        <v>0</v>
      </c>
      <c r="AN711" s="1">
        <v>0</v>
      </c>
      <c r="AO711" s="1">
        <v>70614196</v>
      </c>
      <c r="AP711" s="1">
        <v>30459606</v>
      </c>
      <c r="AQ711" s="1">
        <v>40154590</v>
      </c>
      <c r="AR711" s="1">
        <v>13498263</v>
      </c>
      <c r="AS711" s="1">
        <v>2024739</v>
      </c>
      <c r="AT711" s="1">
        <f t="shared" si="78"/>
        <v>86137198</v>
      </c>
    </row>
    <row r="712" spans="1:46" x14ac:dyDescent="0.2">
      <c r="A712" s="1" t="str">
        <f>"00807"</f>
        <v>00807</v>
      </c>
      <c r="B712" s="1" t="str">
        <f>"محسن"</f>
        <v>محسن</v>
      </c>
      <c r="C712" s="1" t="str">
        <f>"ملکي"</f>
        <v>ملکي</v>
      </c>
      <c r="D712" s="1" t="str">
        <f t="shared" si="76"/>
        <v>قراردادي بهره بردار</v>
      </c>
      <c r="E712" s="1" t="str">
        <f t="shared" si="77"/>
        <v>پروژه بهره برداري نيروگاه بوشهر</v>
      </c>
      <c r="F712" s="1">
        <v>13713573</v>
      </c>
      <c r="G712" s="1">
        <v>7519505</v>
      </c>
      <c r="H712" s="1">
        <v>0</v>
      </c>
      <c r="I712" s="1">
        <v>11098144</v>
      </c>
      <c r="J712" s="1">
        <v>0</v>
      </c>
      <c r="K712" s="1">
        <v>4620000</v>
      </c>
      <c r="L712" s="1">
        <v>0</v>
      </c>
      <c r="M712" s="1">
        <v>1000000</v>
      </c>
      <c r="N712" s="1">
        <v>2518719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1606000</v>
      </c>
      <c r="U712" s="1">
        <v>0</v>
      </c>
      <c r="V712" s="1">
        <v>16658033</v>
      </c>
      <c r="W712" s="1">
        <v>1900000</v>
      </c>
      <c r="X712" s="1">
        <v>1990680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1799085</v>
      </c>
      <c r="AF712" s="1">
        <v>1516881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10297776</v>
      </c>
      <c r="AM712" s="1">
        <v>0</v>
      </c>
      <c r="AN712" s="1">
        <v>0</v>
      </c>
      <c r="AO712" s="1">
        <v>76238396</v>
      </c>
      <c r="AP712" s="1">
        <v>32075607</v>
      </c>
      <c r="AQ712" s="1">
        <v>44162789</v>
      </c>
      <c r="AR712" s="1">
        <v>14623103</v>
      </c>
      <c r="AS712" s="1">
        <v>2193465</v>
      </c>
      <c r="AT712" s="1">
        <f t="shared" si="78"/>
        <v>93054964</v>
      </c>
    </row>
    <row r="713" spans="1:46" x14ac:dyDescent="0.2">
      <c r="A713" s="1" t="str">
        <f>"00808"</f>
        <v>00808</v>
      </c>
      <c r="B713" s="1" t="str">
        <f>"رضا"</f>
        <v>رضا</v>
      </c>
      <c r="C713" s="1" t="str">
        <f>"نگهبان"</f>
        <v>نگهبان</v>
      </c>
      <c r="D713" s="1" t="str">
        <f t="shared" si="76"/>
        <v>قراردادي بهره بردار</v>
      </c>
      <c r="E713" s="1" t="str">
        <f t="shared" si="77"/>
        <v>پروژه بهره برداري نيروگاه بوشهر</v>
      </c>
      <c r="F713" s="1">
        <v>13450693</v>
      </c>
      <c r="G713" s="1">
        <v>7261932</v>
      </c>
      <c r="H713" s="1">
        <v>0</v>
      </c>
      <c r="I713" s="1">
        <v>10312792</v>
      </c>
      <c r="J713" s="1">
        <v>0</v>
      </c>
      <c r="K713" s="1">
        <v>3465000</v>
      </c>
      <c r="L713" s="1">
        <v>0</v>
      </c>
      <c r="M713" s="1">
        <v>1000000</v>
      </c>
      <c r="N713" s="1">
        <v>2426711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16087428</v>
      </c>
      <c r="W713" s="1">
        <v>1900000</v>
      </c>
      <c r="X713" s="1">
        <v>1952520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1733365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10153192</v>
      </c>
      <c r="AM713" s="1">
        <v>0</v>
      </c>
      <c r="AN713" s="1">
        <v>0</v>
      </c>
      <c r="AO713" s="1">
        <v>69743633</v>
      </c>
      <c r="AP713" s="1">
        <v>9849457</v>
      </c>
      <c r="AQ713" s="1">
        <v>59894176</v>
      </c>
      <c r="AR713" s="1">
        <v>13948727</v>
      </c>
      <c r="AS713" s="1">
        <v>2092309</v>
      </c>
      <c r="AT713" s="1">
        <f t="shared" si="78"/>
        <v>85784669</v>
      </c>
    </row>
    <row r="714" spans="1:46" x14ac:dyDescent="0.2">
      <c r="A714" s="1" t="str">
        <f>"00809"</f>
        <v>00809</v>
      </c>
      <c r="B714" s="1" t="str">
        <f>"حسين"</f>
        <v>حسين</v>
      </c>
      <c r="C714" s="1" t="str">
        <f>"سماواتي"</f>
        <v>سماواتي</v>
      </c>
      <c r="D714" s="1" t="str">
        <f t="shared" si="76"/>
        <v>قراردادي بهره بردار</v>
      </c>
      <c r="E714" s="1" t="str">
        <f t="shared" ref="E714:E729" si="79">"پروژه تعميرات نيروگاه بوشهر"</f>
        <v>پروژه تعميرات نيروگاه بوشهر</v>
      </c>
      <c r="F714" s="1">
        <v>25085324</v>
      </c>
      <c r="G714" s="1">
        <v>10540432</v>
      </c>
      <c r="H714" s="1">
        <v>0</v>
      </c>
      <c r="I714" s="1">
        <v>21389258</v>
      </c>
      <c r="J714" s="1">
        <v>0</v>
      </c>
      <c r="K714" s="1">
        <v>5500000</v>
      </c>
      <c r="L714" s="1">
        <v>0</v>
      </c>
      <c r="M714" s="1">
        <v>1000000</v>
      </c>
      <c r="N714" s="1">
        <v>3676486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5658067</v>
      </c>
      <c r="W714" s="1">
        <v>1900000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2626062</v>
      </c>
      <c r="AF714" s="1">
        <v>4550643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3803545</v>
      </c>
      <c r="AM714" s="1">
        <v>0</v>
      </c>
      <c r="AN714" s="1">
        <v>0</v>
      </c>
      <c r="AO714" s="1">
        <v>85729817</v>
      </c>
      <c r="AP714" s="1">
        <v>38747481</v>
      </c>
      <c r="AQ714" s="1">
        <v>46982336</v>
      </c>
      <c r="AR714" s="1">
        <v>16235835</v>
      </c>
      <c r="AS714" s="1">
        <v>2435375</v>
      </c>
      <c r="AT714" s="1">
        <f t="shared" si="78"/>
        <v>104401027</v>
      </c>
    </row>
    <row r="715" spans="1:46" x14ac:dyDescent="0.2">
      <c r="A715" s="1" t="str">
        <f>"00811"</f>
        <v>00811</v>
      </c>
      <c r="B715" s="1" t="str">
        <f>"حسين"</f>
        <v>حسين</v>
      </c>
      <c r="C715" s="1" t="str">
        <f>"اسماعيلي مطلق"</f>
        <v>اسماعيلي مطلق</v>
      </c>
      <c r="D715" s="1" t="str">
        <f t="shared" ref="D715:D729" si="80">"قراردادي کارگري"</f>
        <v>قراردادي کارگري</v>
      </c>
      <c r="E715" s="1" t="str">
        <f t="shared" si="79"/>
        <v>پروژه تعميرات نيروگاه بوشهر</v>
      </c>
      <c r="F715" s="1">
        <v>8055102</v>
      </c>
      <c r="G715" s="1">
        <v>6472977</v>
      </c>
      <c r="H715" s="1">
        <v>0</v>
      </c>
      <c r="I715" s="1">
        <v>4913613</v>
      </c>
      <c r="J715" s="1">
        <v>0</v>
      </c>
      <c r="K715" s="1">
        <v>0</v>
      </c>
      <c r="L715" s="1">
        <v>7672721</v>
      </c>
      <c r="M715" s="1">
        <v>1000000</v>
      </c>
      <c r="N715" s="1">
        <v>4027551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8092204</v>
      </c>
      <c r="W715" s="1">
        <v>1900000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1516881</v>
      </c>
      <c r="AG715" s="1">
        <v>0</v>
      </c>
      <c r="AH715" s="1">
        <v>0</v>
      </c>
      <c r="AI715" s="1">
        <v>0</v>
      </c>
      <c r="AJ715" s="1">
        <v>2959075</v>
      </c>
      <c r="AK715" s="1">
        <v>0</v>
      </c>
      <c r="AL715" s="1">
        <v>0</v>
      </c>
      <c r="AM715" s="1">
        <v>0</v>
      </c>
      <c r="AN715" s="1">
        <v>2466899</v>
      </c>
      <c r="AO715" s="1">
        <v>49077023</v>
      </c>
      <c r="AP715" s="1">
        <v>6765877</v>
      </c>
      <c r="AQ715" s="1">
        <v>42311146</v>
      </c>
      <c r="AR715" s="1">
        <v>9512028</v>
      </c>
      <c r="AS715" s="1">
        <v>1426804</v>
      </c>
      <c r="AT715" s="1">
        <f t="shared" si="78"/>
        <v>60015855</v>
      </c>
    </row>
    <row r="716" spans="1:46" x14ac:dyDescent="0.2">
      <c r="A716" s="1" t="str">
        <f>"00812"</f>
        <v>00812</v>
      </c>
      <c r="B716" s="1" t="str">
        <f>"نجف"</f>
        <v>نجف</v>
      </c>
      <c r="C716" s="1" t="str">
        <f>"انصاري"</f>
        <v>انصاري</v>
      </c>
      <c r="D716" s="1" t="str">
        <f t="shared" si="80"/>
        <v>قراردادي کارگري</v>
      </c>
      <c r="E716" s="1" t="str">
        <f t="shared" si="79"/>
        <v>پروژه تعميرات نيروگاه بوشهر</v>
      </c>
      <c r="F716" s="1">
        <v>6996914</v>
      </c>
      <c r="G716" s="1">
        <v>6774789</v>
      </c>
      <c r="H716" s="1">
        <v>0</v>
      </c>
      <c r="I716" s="1">
        <v>4408055</v>
      </c>
      <c r="J716" s="1">
        <v>0</v>
      </c>
      <c r="K716" s="1">
        <v>0</v>
      </c>
      <c r="L716" s="1">
        <v>7672721</v>
      </c>
      <c r="M716" s="1">
        <v>1000000</v>
      </c>
      <c r="N716" s="1">
        <v>3475288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5684797</v>
      </c>
      <c r="W716" s="1">
        <v>1900000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3033762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40946326</v>
      </c>
      <c r="AP716" s="1">
        <v>6628724</v>
      </c>
      <c r="AQ716" s="1">
        <v>34317602</v>
      </c>
      <c r="AR716" s="1">
        <v>7582513</v>
      </c>
      <c r="AS716" s="1">
        <v>1137377</v>
      </c>
      <c r="AT716" s="1">
        <f t="shared" si="78"/>
        <v>49666216</v>
      </c>
    </row>
    <row r="717" spans="1:46" x14ac:dyDescent="0.2">
      <c r="A717" s="1" t="str">
        <f>"00813"</f>
        <v>00813</v>
      </c>
      <c r="B717" s="1" t="str">
        <f>"غلامرضا"</f>
        <v>غلامرضا</v>
      </c>
      <c r="C717" s="1" t="str">
        <f>"برخ"</f>
        <v>برخ</v>
      </c>
      <c r="D717" s="1" t="str">
        <f t="shared" si="80"/>
        <v>قراردادي کارگري</v>
      </c>
      <c r="E717" s="1" t="str">
        <f t="shared" si="79"/>
        <v>پروژه تعميرات نيروگاه بوشهر</v>
      </c>
      <c r="F717" s="1">
        <v>6187783</v>
      </c>
      <c r="G717" s="1">
        <v>6036696</v>
      </c>
      <c r="H717" s="1">
        <v>0</v>
      </c>
      <c r="I717" s="1">
        <v>3898304</v>
      </c>
      <c r="J717" s="1">
        <v>0</v>
      </c>
      <c r="K717" s="1">
        <v>0</v>
      </c>
      <c r="L717" s="1">
        <v>7672721</v>
      </c>
      <c r="M717" s="1">
        <v>1000000</v>
      </c>
      <c r="N717" s="1">
        <v>3300153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7457243</v>
      </c>
      <c r="W717" s="1">
        <v>1900000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3033762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40486662</v>
      </c>
      <c r="AP717" s="1">
        <v>7515672</v>
      </c>
      <c r="AQ717" s="1">
        <v>32970990</v>
      </c>
      <c r="AR717" s="1">
        <v>7490580</v>
      </c>
      <c r="AS717" s="1">
        <v>1123587</v>
      </c>
      <c r="AT717" s="1">
        <f t="shared" si="78"/>
        <v>49100829</v>
      </c>
    </row>
    <row r="718" spans="1:46" x14ac:dyDescent="0.2">
      <c r="A718" s="1" t="str">
        <f>"00814"</f>
        <v>00814</v>
      </c>
      <c r="B718" s="1" t="str">
        <f>"مرتضي"</f>
        <v>مرتضي</v>
      </c>
      <c r="C718" s="1" t="str">
        <f>"پيش خورد"</f>
        <v>پيش خورد</v>
      </c>
      <c r="D718" s="1" t="str">
        <f t="shared" si="80"/>
        <v>قراردادي کارگري</v>
      </c>
      <c r="E718" s="1" t="str">
        <f t="shared" si="79"/>
        <v>پروژه تعميرات نيروگاه بوشهر</v>
      </c>
      <c r="F718" s="1">
        <v>10025429</v>
      </c>
      <c r="G718" s="1">
        <v>14068399</v>
      </c>
      <c r="H718" s="1">
        <v>0</v>
      </c>
      <c r="I718" s="1">
        <v>7017800</v>
      </c>
      <c r="J718" s="1">
        <v>0</v>
      </c>
      <c r="K718" s="1">
        <v>0</v>
      </c>
      <c r="L718" s="1">
        <v>7628143</v>
      </c>
      <c r="M718" s="1">
        <v>1000000</v>
      </c>
      <c r="N718" s="1">
        <v>5311485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6266110</v>
      </c>
      <c r="W718" s="1">
        <v>1900000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4550643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57768009</v>
      </c>
      <c r="AP718" s="1">
        <v>19012660</v>
      </c>
      <c r="AQ718" s="1">
        <v>38755349</v>
      </c>
      <c r="AR718" s="1">
        <v>10643473</v>
      </c>
      <c r="AS718" s="1">
        <v>1596521</v>
      </c>
      <c r="AT718" s="1">
        <f t="shared" si="78"/>
        <v>70008003</v>
      </c>
    </row>
    <row r="719" spans="1:46" x14ac:dyDescent="0.2">
      <c r="A719" s="1" t="str">
        <f>"00815"</f>
        <v>00815</v>
      </c>
      <c r="B719" s="1" t="str">
        <f>"امير"</f>
        <v>امير</v>
      </c>
      <c r="C719" s="1" t="str">
        <f>"جاودانيان"</f>
        <v>جاودانيان</v>
      </c>
      <c r="D719" s="1" t="str">
        <f t="shared" si="80"/>
        <v>قراردادي کارگري</v>
      </c>
      <c r="E719" s="1" t="str">
        <f t="shared" si="79"/>
        <v>پروژه تعميرات نيروگاه بوشهر</v>
      </c>
      <c r="F719" s="1">
        <v>6517310</v>
      </c>
      <c r="G719" s="1">
        <v>6418077</v>
      </c>
      <c r="H719" s="1">
        <v>0</v>
      </c>
      <c r="I719" s="1">
        <v>3910385</v>
      </c>
      <c r="J719" s="1">
        <v>0</v>
      </c>
      <c r="K719" s="1">
        <v>0</v>
      </c>
      <c r="L719" s="1">
        <v>7672721</v>
      </c>
      <c r="M719" s="1">
        <v>1000000</v>
      </c>
      <c r="N719" s="1">
        <v>3258656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4627590</v>
      </c>
      <c r="W719" s="1">
        <v>1900000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1516881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36821620</v>
      </c>
      <c r="AP719" s="1">
        <v>14232622</v>
      </c>
      <c r="AQ719" s="1">
        <v>22588998</v>
      </c>
      <c r="AR719" s="1">
        <v>7060948</v>
      </c>
      <c r="AS719" s="1">
        <v>1059142</v>
      </c>
      <c r="AT719" s="1">
        <f t="shared" si="78"/>
        <v>44941710</v>
      </c>
    </row>
    <row r="720" spans="1:46" x14ac:dyDescent="0.2">
      <c r="A720" s="1" t="str">
        <f>"00816"</f>
        <v>00816</v>
      </c>
      <c r="B720" s="1" t="str">
        <f>"علي"</f>
        <v>علي</v>
      </c>
      <c r="C720" s="1" t="str">
        <f>"جاودانيان"</f>
        <v>جاودانيان</v>
      </c>
      <c r="D720" s="1" t="str">
        <f t="shared" si="80"/>
        <v>قراردادي کارگري</v>
      </c>
      <c r="E720" s="1" t="str">
        <f t="shared" si="79"/>
        <v>پروژه تعميرات نيروگاه بوشهر</v>
      </c>
      <c r="F720" s="1">
        <v>10563168</v>
      </c>
      <c r="G720" s="1">
        <v>7783160</v>
      </c>
      <c r="H720" s="1">
        <v>0</v>
      </c>
      <c r="I720" s="1">
        <v>7711113</v>
      </c>
      <c r="J720" s="1">
        <v>0</v>
      </c>
      <c r="K720" s="1">
        <v>0</v>
      </c>
      <c r="L720" s="1">
        <v>7628143</v>
      </c>
      <c r="M720" s="1">
        <v>1000000</v>
      </c>
      <c r="N720" s="1">
        <v>5633690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7856207</v>
      </c>
      <c r="W720" s="1">
        <v>1900000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3033762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53109243</v>
      </c>
      <c r="AP720" s="1">
        <v>13923559</v>
      </c>
      <c r="AQ720" s="1">
        <v>39185684</v>
      </c>
      <c r="AR720" s="1">
        <v>10015096</v>
      </c>
      <c r="AS720" s="1">
        <v>1502264</v>
      </c>
      <c r="AT720" s="1">
        <f t="shared" si="78"/>
        <v>64626603</v>
      </c>
    </row>
    <row r="721" spans="1:46" x14ac:dyDescent="0.2">
      <c r="A721" s="1" t="str">
        <f>"00817"</f>
        <v>00817</v>
      </c>
      <c r="B721" s="1" t="str">
        <f>"علي"</f>
        <v>علي</v>
      </c>
      <c r="C721" s="1" t="str">
        <f>"دهقاندوست"</f>
        <v>دهقاندوست</v>
      </c>
      <c r="D721" s="1" t="str">
        <f t="shared" si="80"/>
        <v>قراردادي کارگري</v>
      </c>
      <c r="E721" s="1" t="str">
        <f t="shared" si="79"/>
        <v>پروژه تعميرات نيروگاه بوشهر</v>
      </c>
      <c r="F721" s="1">
        <v>6413325</v>
      </c>
      <c r="G721" s="1">
        <v>7604394</v>
      </c>
      <c r="H721" s="1">
        <v>0</v>
      </c>
      <c r="I721" s="1">
        <v>4040395</v>
      </c>
      <c r="J721" s="1">
        <v>0</v>
      </c>
      <c r="K721" s="1">
        <v>0</v>
      </c>
      <c r="L721" s="1">
        <v>7672721</v>
      </c>
      <c r="M721" s="1">
        <v>1000000</v>
      </c>
      <c r="N721" s="1">
        <v>3397788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7601478</v>
      </c>
      <c r="W721" s="1">
        <v>1900000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4550643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44180744</v>
      </c>
      <c r="AP721" s="1">
        <v>4995334</v>
      </c>
      <c r="AQ721" s="1">
        <v>39185410</v>
      </c>
      <c r="AR721" s="1">
        <v>7926020</v>
      </c>
      <c r="AS721" s="1">
        <v>1188903</v>
      </c>
      <c r="AT721" s="1">
        <f t="shared" si="78"/>
        <v>53295667</v>
      </c>
    </row>
    <row r="722" spans="1:46" x14ac:dyDescent="0.2">
      <c r="A722" s="1" t="str">
        <f>"00819"</f>
        <v>00819</v>
      </c>
      <c r="B722" s="1" t="str">
        <f>"عبدالرضا"</f>
        <v>عبدالرضا</v>
      </c>
      <c r="C722" s="1" t="str">
        <f>"سليماني"</f>
        <v>سليماني</v>
      </c>
      <c r="D722" s="1" t="str">
        <f t="shared" si="80"/>
        <v>قراردادي کارگري</v>
      </c>
      <c r="E722" s="1" t="str">
        <f t="shared" si="79"/>
        <v>پروژه تعميرات نيروگاه بوشهر</v>
      </c>
      <c r="F722" s="1">
        <v>8848408</v>
      </c>
      <c r="G722" s="1">
        <v>3932956</v>
      </c>
      <c r="H722" s="1">
        <v>0</v>
      </c>
      <c r="I722" s="1">
        <v>6459338</v>
      </c>
      <c r="J722" s="1">
        <v>0</v>
      </c>
      <c r="K722" s="1">
        <v>0</v>
      </c>
      <c r="L722" s="1">
        <v>7628143</v>
      </c>
      <c r="M722" s="1">
        <v>1000000</v>
      </c>
      <c r="N722" s="1">
        <v>4719150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9502029</v>
      </c>
      <c r="W722" s="1">
        <v>1900000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6067524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50057548</v>
      </c>
      <c r="AP722" s="1">
        <v>7524364</v>
      </c>
      <c r="AQ722" s="1">
        <v>42533184</v>
      </c>
      <c r="AR722" s="1">
        <v>8798005</v>
      </c>
      <c r="AS722" s="1">
        <v>1319701</v>
      </c>
      <c r="AT722" s="1">
        <f t="shared" si="78"/>
        <v>60175254</v>
      </c>
    </row>
    <row r="723" spans="1:46" x14ac:dyDescent="0.2">
      <c r="A723" s="1" t="str">
        <f>"00821"</f>
        <v>00821</v>
      </c>
      <c r="B723" s="1" t="str">
        <f>"حمادي"</f>
        <v>حمادي</v>
      </c>
      <c r="C723" s="1" t="str">
        <f>"شعباني"</f>
        <v>شعباني</v>
      </c>
      <c r="D723" s="1" t="str">
        <f t="shared" si="80"/>
        <v>قراردادي کارگري</v>
      </c>
      <c r="E723" s="1" t="str">
        <f t="shared" si="79"/>
        <v>پروژه تعميرات نيروگاه بوشهر</v>
      </c>
      <c r="F723" s="1">
        <v>10815317</v>
      </c>
      <c r="G723" s="1">
        <v>1968819</v>
      </c>
      <c r="H723" s="1">
        <v>0</v>
      </c>
      <c r="I723" s="1">
        <v>7787028</v>
      </c>
      <c r="J723" s="1">
        <v>0</v>
      </c>
      <c r="K723" s="1">
        <v>0</v>
      </c>
      <c r="L723" s="1">
        <v>7628143</v>
      </c>
      <c r="M723" s="1">
        <v>1000000</v>
      </c>
      <c r="N723" s="1">
        <v>5692272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14578861</v>
      </c>
      <c r="W723" s="1">
        <v>1900000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6067524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57437964</v>
      </c>
      <c r="AP723" s="1">
        <v>7060698</v>
      </c>
      <c r="AQ723" s="1">
        <v>50377266</v>
      </c>
      <c r="AR723" s="1">
        <v>10274088</v>
      </c>
      <c r="AS723" s="1">
        <v>1541113</v>
      </c>
      <c r="AT723" s="1">
        <f t="shared" si="78"/>
        <v>69253165</v>
      </c>
    </row>
    <row r="724" spans="1:46" x14ac:dyDescent="0.2">
      <c r="A724" s="1" t="str">
        <f>"00822"</f>
        <v>00822</v>
      </c>
      <c r="B724" s="1" t="str">
        <f>"محمد"</f>
        <v>محمد</v>
      </c>
      <c r="C724" s="1" t="str">
        <f>"مقاتلي"</f>
        <v>مقاتلي</v>
      </c>
      <c r="D724" s="1" t="str">
        <f t="shared" si="80"/>
        <v>قراردادي کارگري</v>
      </c>
      <c r="E724" s="1" t="str">
        <f t="shared" si="79"/>
        <v>پروژه تعميرات نيروگاه بوشهر</v>
      </c>
      <c r="F724" s="1">
        <v>10093287</v>
      </c>
      <c r="G724" s="1">
        <v>3884338</v>
      </c>
      <c r="H724" s="1">
        <v>0</v>
      </c>
      <c r="I724" s="1">
        <v>6257838</v>
      </c>
      <c r="J724" s="1">
        <v>0</v>
      </c>
      <c r="K724" s="1">
        <v>0</v>
      </c>
      <c r="L724" s="1">
        <v>7672721</v>
      </c>
      <c r="M724" s="1">
        <v>1000000</v>
      </c>
      <c r="N724" s="1">
        <v>5383088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7290809</v>
      </c>
      <c r="W724" s="1">
        <v>1900000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3033762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46515843</v>
      </c>
      <c r="AP724" s="1">
        <v>7415389</v>
      </c>
      <c r="AQ724" s="1">
        <v>39100454</v>
      </c>
      <c r="AR724" s="1">
        <v>8696416</v>
      </c>
      <c r="AS724" s="1">
        <v>1304462</v>
      </c>
      <c r="AT724" s="1">
        <f t="shared" si="78"/>
        <v>56516721</v>
      </c>
    </row>
    <row r="725" spans="1:46" x14ac:dyDescent="0.2">
      <c r="A725" s="1" t="str">
        <f>"00827"</f>
        <v>00827</v>
      </c>
      <c r="B725" s="1" t="str">
        <f>"رضا"</f>
        <v>رضا</v>
      </c>
      <c r="C725" s="1" t="str">
        <f>"غفاري"</f>
        <v>غفاري</v>
      </c>
      <c r="D725" s="1" t="str">
        <f t="shared" si="80"/>
        <v>قراردادي کارگري</v>
      </c>
      <c r="E725" s="1" t="str">
        <f t="shared" si="79"/>
        <v>پروژه تعميرات نيروگاه بوشهر</v>
      </c>
      <c r="F725" s="1">
        <v>9153525</v>
      </c>
      <c r="G725" s="1">
        <v>5823174</v>
      </c>
      <c r="H725" s="1">
        <v>0</v>
      </c>
      <c r="I725" s="1">
        <v>6499003</v>
      </c>
      <c r="J725" s="1">
        <v>0</v>
      </c>
      <c r="K725" s="1">
        <v>0</v>
      </c>
      <c r="L725" s="1">
        <v>7628143</v>
      </c>
      <c r="M725" s="1">
        <v>1000000</v>
      </c>
      <c r="N725" s="1">
        <v>4881880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9347765</v>
      </c>
      <c r="W725" s="1">
        <v>1900000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3033762</v>
      </c>
      <c r="AG725" s="1">
        <v>0</v>
      </c>
      <c r="AH725" s="1">
        <v>0</v>
      </c>
      <c r="AI725" s="1">
        <v>0</v>
      </c>
      <c r="AJ725" s="1">
        <v>1694014</v>
      </c>
      <c r="AK725" s="1">
        <v>0</v>
      </c>
      <c r="AL725" s="1">
        <v>0</v>
      </c>
      <c r="AM725" s="1">
        <v>0</v>
      </c>
      <c r="AN725" s="1">
        <v>2816255</v>
      </c>
      <c r="AO725" s="1">
        <v>53777521</v>
      </c>
      <c r="AP725" s="1">
        <v>6655172</v>
      </c>
      <c r="AQ725" s="1">
        <v>47122349</v>
      </c>
      <c r="AR725" s="1">
        <v>10148752</v>
      </c>
      <c r="AS725" s="1">
        <v>1522313</v>
      </c>
      <c r="AT725" s="1">
        <f t="shared" si="78"/>
        <v>65448586</v>
      </c>
    </row>
    <row r="726" spans="1:46" x14ac:dyDescent="0.2">
      <c r="A726" s="1" t="str">
        <f>"00828"</f>
        <v>00828</v>
      </c>
      <c r="B726" s="1" t="str">
        <f>"علي"</f>
        <v>علي</v>
      </c>
      <c r="C726" s="1" t="str">
        <f>"كابلي"</f>
        <v>كابلي</v>
      </c>
      <c r="D726" s="1" t="str">
        <f t="shared" si="80"/>
        <v>قراردادي کارگري</v>
      </c>
      <c r="E726" s="1" t="str">
        <f t="shared" si="79"/>
        <v>پروژه تعميرات نيروگاه بوشهر</v>
      </c>
      <c r="F726" s="1">
        <v>10300767</v>
      </c>
      <c r="G726" s="1">
        <v>6342573</v>
      </c>
      <c r="H726" s="1">
        <v>0</v>
      </c>
      <c r="I726" s="1">
        <v>7313545</v>
      </c>
      <c r="J726" s="1">
        <v>0</v>
      </c>
      <c r="K726" s="1">
        <v>0</v>
      </c>
      <c r="L726" s="1">
        <v>7628143</v>
      </c>
      <c r="M726" s="1">
        <v>1000000</v>
      </c>
      <c r="N726" s="1">
        <v>5493743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10119859</v>
      </c>
      <c r="W726" s="1">
        <v>1900000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4550643</v>
      </c>
      <c r="AG726" s="1">
        <v>0</v>
      </c>
      <c r="AH726" s="1">
        <v>0</v>
      </c>
      <c r="AI726" s="1">
        <v>0</v>
      </c>
      <c r="AJ726" s="1">
        <v>1845112</v>
      </c>
      <c r="AK726" s="1">
        <v>0</v>
      </c>
      <c r="AL726" s="1">
        <v>0</v>
      </c>
      <c r="AM726" s="1">
        <v>0</v>
      </c>
      <c r="AN726" s="1">
        <v>3073620</v>
      </c>
      <c r="AO726" s="1">
        <v>59568005</v>
      </c>
      <c r="AP726" s="1">
        <v>10889152</v>
      </c>
      <c r="AQ726" s="1">
        <v>48678853</v>
      </c>
      <c r="AR726" s="1">
        <v>11003472</v>
      </c>
      <c r="AS726" s="1">
        <v>1650521</v>
      </c>
      <c r="AT726" s="1">
        <f t="shared" si="78"/>
        <v>72221998</v>
      </c>
    </row>
    <row r="727" spans="1:46" x14ac:dyDescent="0.2">
      <c r="A727" s="1" t="str">
        <f>"00831"</f>
        <v>00831</v>
      </c>
      <c r="B727" s="1" t="str">
        <f>"مرتضي"</f>
        <v>مرتضي</v>
      </c>
      <c r="C727" s="1" t="str">
        <f>"كهن"</f>
        <v>كهن</v>
      </c>
      <c r="D727" s="1" t="str">
        <f t="shared" si="80"/>
        <v>قراردادي کارگري</v>
      </c>
      <c r="E727" s="1" t="str">
        <f t="shared" si="79"/>
        <v>پروژه تعميرات نيروگاه بوشهر</v>
      </c>
      <c r="F727" s="1">
        <v>8360220</v>
      </c>
      <c r="G727" s="1">
        <v>7940303</v>
      </c>
      <c r="H727" s="1">
        <v>0</v>
      </c>
      <c r="I727" s="1">
        <v>6019358</v>
      </c>
      <c r="J727" s="1">
        <v>0</v>
      </c>
      <c r="K727" s="1">
        <v>0</v>
      </c>
      <c r="L727" s="1">
        <v>7628143</v>
      </c>
      <c r="M727" s="1">
        <v>1000000</v>
      </c>
      <c r="N727" s="1">
        <v>4458783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6629214</v>
      </c>
      <c r="W727" s="1">
        <v>1900000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3033762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46969783</v>
      </c>
      <c r="AP727" s="1">
        <v>6184641</v>
      </c>
      <c r="AQ727" s="1">
        <v>40785142</v>
      </c>
      <c r="AR727" s="1">
        <v>8787204</v>
      </c>
      <c r="AS727" s="1">
        <v>1318081</v>
      </c>
      <c r="AT727" s="1">
        <f t="shared" si="78"/>
        <v>57075068</v>
      </c>
    </row>
    <row r="728" spans="1:46" x14ac:dyDescent="0.2">
      <c r="A728" s="1" t="str">
        <f>"00832"</f>
        <v>00832</v>
      </c>
      <c r="B728" s="1" t="str">
        <f>"ابراهيم"</f>
        <v>ابراهيم</v>
      </c>
      <c r="C728" s="1" t="str">
        <f>"عبدالهي"</f>
        <v>عبدالهي</v>
      </c>
      <c r="D728" s="1" t="str">
        <f t="shared" si="80"/>
        <v>قراردادي کارگري</v>
      </c>
      <c r="E728" s="1" t="str">
        <f t="shared" si="79"/>
        <v>پروژه تعميرات نيروگاه بوشهر</v>
      </c>
      <c r="F728" s="1">
        <v>8433448</v>
      </c>
      <c r="G728" s="1">
        <v>0</v>
      </c>
      <c r="H728" s="1">
        <v>0</v>
      </c>
      <c r="I728" s="1">
        <v>5987748</v>
      </c>
      <c r="J728" s="1">
        <v>0</v>
      </c>
      <c r="K728" s="1">
        <v>0</v>
      </c>
      <c r="L728" s="1">
        <v>7628143</v>
      </c>
      <c r="M728" s="1">
        <v>1000000</v>
      </c>
      <c r="N728" s="1">
        <v>4497840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9232451</v>
      </c>
      <c r="W728" s="1">
        <v>1900000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1516881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40196511</v>
      </c>
      <c r="AP728" s="1">
        <v>4139667</v>
      </c>
      <c r="AQ728" s="1">
        <v>36056844</v>
      </c>
      <c r="AR728" s="1">
        <v>7735926</v>
      </c>
      <c r="AS728" s="1">
        <v>1160389</v>
      </c>
      <c r="AT728" s="1">
        <f t="shared" si="78"/>
        <v>49092826</v>
      </c>
    </row>
    <row r="729" spans="1:46" x14ac:dyDescent="0.2">
      <c r="A729" s="1" t="str">
        <f>"00834"</f>
        <v>00834</v>
      </c>
      <c r="B729" s="1" t="str">
        <f>"محمد"</f>
        <v>محمد</v>
      </c>
      <c r="C729" s="1" t="str">
        <f>"عساکره"</f>
        <v>عساکره</v>
      </c>
      <c r="D729" s="1" t="str">
        <f t="shared" si="80"/>
        <v>قراردادي کارگري</v>
      </c>
      <c r="E729" s="1" t="str">
        <f t="shared" si="79"/>
        <v>پروژه تعميرات نيروگاه بوشهر</v>
      </c>
      <c r="F729" s="1">
        <v>5989456</v>
      </c>
      <c r="G729" s="1">
        <v>5477953</v>
      </c>
      <c r="H729" s="1">
        <v>0</v>
      </c>
      <c r="I729" s="1">
        <v>3773357</v>
      </c>
      <c r="J729" s="1">
        <v>0</v>
      </c>
      <c r="K729" s="1">
        <v>0</v>
      </c>
      <c r="L729" s="1">
        <v>7672721</v>
      </c>
      <c r="M729" s="1">
        <v>1000000</v>
      </c>
      <c r="N729" s="1">
        <v>2974897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7314718</v>
      </c>
      <c r="W729" s="1">
        <v>1900000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4550643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40653745</v>
      </c>
      <c r="AP729" s="1">
        <v>6359633</v>
      </c>
      <c r="AQ729" s="1">
        <v>34294112</v>
      </c>
      <c r="AR729" s="1">
        <v>7220620</v>
      </c>
      <c r="AS729" s="1">
        <v>1083093</v>
      </c>
      <c r="AT729" s="1">
        <f t="shared" si="78"/>
        <v>48957458</v>
      </c>
    </row>
    <row r="730" spans="1:46" x14ac:dyDescent="0.2">
      <c r="A730" s="1" t="str">
        <f>"00835"</f>
        <v>00835</v>
      </c>
      <c r="B730" s="1" t="str">
        <f>"صادق"</f>
        <v>صادق</v>
      </c>
      <c r="C730" s="1" t="str">
        <f>"عباسي"</f>
        <v>عباسي</v>
      </c>
      <c r="D730" s="1" t="str">
        <f>"قراردادي بهره بردار"</f>
        <v>قراردادي بهره بردار</v>
      </c>
      <c r="E730" s="1" t="str">
        <f>"پروژه بهره برداري نيروگاه بوشهر"</f>
        <v>پروژه بهره برداري نيروگاه بوشهر</v>
      </c>
      <c r="F730" s="1">
        <v>21139933</v>
      </c>
      <c r="G730" s="1">
        <v>34368642</v>
      </c>
      <c r="H730" s="1">
        <v>0</v>
      </c>
      <c r="I730" s="1">
        <v>16620348</v>
      </c>
      <c r="J730" s="1">
        <v>0</v>
      </c>
      <c r="K730" s="1">
        <v>5500000</v>
      </c>
      <c r="L730" s="1">
        <v>0</v>
      </c>
      <c r="M730" s="1">
        <v>1000000</v>
      </c>
      <c r="N730" s="1">
        <v>2971092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1606000</v>
      </c>
      <c r="U730" s="1">
        <v>0</v>
      </c>
      <c r="V730" s="1">
        <v>4710375</v>
      </c>
      <c r="W730" s="1">
        <v>1900000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2122208</v>
      </c>
      <c r="AF730" s="1">
        <v>5612460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4250167</v>
      </c>
      <c r="AM730" s="1">
        <v>0</v>
      </c>
      <c r="AN730" s="1">
        <v>0</v>
      </c>
      <c r="AO730" s="1">
        <v>101801225</v>
      </c>
      <c r="AP730" s="1">
        <v>17286622</v>
      </c>
      <c r="AQ730" s="1">
        <v>84514603</v>
      </c>
      <c r="AR730" s="1">
        <v>18916553</v>
      </c>
      <c r="AS730" s="1">
        <v>2837483</v>
      </c>
      <c r="AT730" s="1">
        <f t="shared" si="78"/>
        <v>123555261</v>
      </c>
    </row>
    <row r="731" spans="1:46" x14ac:dyDescent="0.2">
      <c r="A731" s="1" t="str">
        <f>"00836"</f>
        <v>00836</v>
      </c>
      <c r="B731" s="1" t="str">
        <f>"حميد"</f>
        <v>حميد</v>
      </c>
      <c r="C731" s="1" t="str">
        <f>"گزدرازي"</f>
        <v>گزدرازي</v>
      </c>
      <c r="D731" s="1" t="str">
        <f>"قراردادي کارگري"</f>
        <v>قراردادي کارگري</v>
      </c>
      <c r="E731" s="1" t="str">
        <f>"پروژه تعميرات نيروگاه بوشهر"</f>
        <v>پروژه تعميرات نيروگاه بوشهر</v>
      </c>
      <c r="F731" s="1">
        <v>9971240</v>
      </c>
      <c r="G731" s="1">
        <v>9987291</v>
      </c>
      <c r="H731" s="1">
        <v>0</v>
      </c>
      <c r="I731" s="1">
        <v>7179293</v>
      </c>
      <c r="J731" s="1">
        <v>0</v>
      </c>
      <c r="K731" s="1">
        <v>0</v>
      </c>
      <c r="L731" s="1">
        <v>7628143</v>
      </c>
      <c r="M731" s="1">
        <v>1000000</v>
      </c>
      <c r="N731" s="1">
        <v>5317994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10341668</v>
      </c>
      <c r="W731" s="1">
        <v>1900000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4550643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57876272</v>
      </c>
      <c r="AP731" s="1">
        <v>9809708</v>
      </c>
      <c r="AQ731" s="1">
        <v>48066564</v>
      </c>
      <c r="AR731" s="1">
        <v>10665126</v>
      </c>
      <c r="AS731" s="1">
        <v>1599769</v>
      </c>
      <c r="AT731" s="1">
        <f t="shared" si="78"/>
        <v>70141167</v>
      </c>
    </row>
    <row r="732" spans="1:46" x14ac:dyDescent="0.2">
      <c r="A732" s="1" t="str">
        <f>"00837"</f>
        <v>00837</v>
      </c>
      <c r="B732" s="1" t="str">
        <f>"فرشيد"</f>
        <v>فرشيد</v>
      </c>
      <c r="C732" s="1" t="str">
        <f>"عباسيان"</f>
        <v>عباسيان</v>
      </c>
      <c r="D732" s="1" t="str">
        <f>"قراردادي کارگري"</f>
        <v>قراردادي کارگري</v>
      </c>
      <c r="E732" s="1" t="str">
        <f>"پروژه تعميرات نيروگاه بوشهر"</f>
        <v>پروژه تعميرات نيروگاه بوشهر</v>
      </c>
      <c r="F732" s="1">
        <v>6126759</v>
      </c>
      <c r="G732" s="1">
        <v>3955417</v>
      </c>
      <c r="H732" s="1">
        <v>0</v>
      </c>
      <c r="I732" s="1">
        <v>4901408</v>
      </c>
      <c r="J732" s="1">
        <v>0</v>
      </c>
      <c r="K732" s="1">
        <v>0</v>
      </c>
      <c r="L732" s="1">
        <v>7672721</v>
      </c>
      <c r="M732" s="1">
        <v>1000000</v>
      </c>
      <c r="N732" s="1">
        <v>3063380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7737792</v>
      </c>
      <c r="W732" s="1">
        <v>1900000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3033762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39391239</v>
      </c>
      <c r="AP732" s="1">
        <v>8085610</v>
      </c>
      <c r="AQ732" s="1">
        <v>31305629</v>
      </c>
      <c r="AR732" s="1">
        <v>7271495</v>
      </c>
      <c r="AS732" s="1">
        <v>1090724</v>
      </c>
      <c r="AT732" s="1">
        <f t="shared" si="78"/>
        <v>47753458</v>
      </c>
    </row>
    <row r="733" spans="1:46" x14ac:dyDescent="0.2">
      <c r="A733" s="1" t="str">
        <f>"00838"</f>
        <v>00838</v>
      </c>
      <c r="B733" s="1" t="str">
        <f>"حسن"</f>
        <v>حسن</v>
      </c>
      <c r="C733" s="1" t="str">
        <f>"رستمي"</f>
        <v>رستمي</v>
      </c>
      <c r="D733" s="1" t="str">
        <f>"قراردادي کارگري"</f>
        <v>قراردادي کارگري</v>
      </c>
      <c r="E733" s="1" t="str">
        <f>"پروژه تعميرات نيروگاه بوشهر"</f>
        <v>پروژه تعميرات نيروگاه بوشهر</v>
      </c>
      <c r="F733" s="1">
        <v>9896426</v>
      </c>
      <c r="G733" s="1">
        <v>12472509</v>
      </c>
      <c r="H733" s="1">
        <v>0</v>
      </c>
      <c r="I733" s="1">
        <v>7125426</v>
      </c>
      <c r="J733" s="1">
        <v>0</v>
      </c>
      <c r="K733" s="1">
        <v>0</v>
      </c>
      <c r="L733" s="1">
        <v>7628143</v>
      </c>
      <c r="M733" s="1">
        <v>1000000</v>
      </c>
      <c r="N733" s="1">
        <v>5243140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10278062</v>
      </c>
      <c r="W733" s="1">
        <v>1900000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4550643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60094349</v>
      </c>
      <c r="AP733" s="1">
        <v>10987649</v>
      </c>
      <c r="AQ733" s="1">
        <v>49106700</v>
      </c>
      <c r="AR733" s="1">
        <v>11108741</v>
      </c>
      <c r="AS733" s="1">
        <v>1666311</v>
      </c>
      <c r="AT733" s="1">
        <f t="shared" si="78"/>
        <v>72869401</v>
      </c>
    </row>
    <row r="734" spans="1:46" x14ac:dyDescent="0.2">
      <c r="A734" s="1" t="str">
        <f>"00839"</f>
        <v>00839</v>
      </c>
      <c r="B734" s="1" t="str">
        <f>"اکبر"</f>
        <v>اکبر</v>
      </c>
      <c r="C734" s="1" t="str">
        <f>"يزدان پناه"</f>
        <v>يزدان پناه</v>
      </c>
      <c r="D734" s="1" t="str">
        <f>"قراردادي کارگري"</f>
        <v>قراردادي کارگري</v>
      </c>
      <c r="E734" s="1" t="str">
        <f>"پروژه تعميرات نيروگاه بوشهر"</f>
        <v>پروژه تعميرات نيروگاه بوشهر</v>
      </c>
      <c r="F734" s="1">
        <v>8592109</v>
      </c>
      <c r="G734" s="1">
        <v>12828473</v>
      </c>
      <c r="H734" s="1">
        <v>0</v>
      </c>
      <c r="I734" s="1">
        <v>6186319</v>
      </c>
      <c r="J734" s="1">
        <v>0</v>
      </c>
      <c r="K734" s="1">
        <v>0</v>
      </c>
      <c r="L734" s="1">
        <v>7628143</v>
      </c>
      <c r="M734" s="1">
        <v>1000000</v>
      </c>
      <c r="N734" s="1">
        <v>4582458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9370530</v>
      </c>
      <c r="W734" s="1">
        <v>1900000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3033762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55121794</v>
      </c>
      <c r="AP734" s="1">
        <v>11457991</v>
      </c>
      <c r="AQ734" s="1">
        <v>43663803</v>
      </c>
      <c r="AR734" s="1">
        <v>10417606</v>
      </c>
      <c r="AS734" s="1">
        <v>1562641</v>
      </c>
      <c r="AT734" s="1">
        <f t="shared" si="78"/>
        <v>67102041</v>
      </c>
    </row>
    <row r="735" spans="1:46" x14ac:dyDescent="0.2">
      <c r="A735" s="1" t="str">
        <f>"00840"</f>
        <v>00840</v>
      </c>
      <c r="B735" s="1" t="str">
        <f>"سعيد"</f>
        <v>سعيد</v>
      </c>
      <c r="C735" s="1" t="str">
        <f>"اکبري"</f>
        <v>اکبري</v>
      </c>
      <c r="D735" s="1" t="str">
        <f t="shared" ref="D735:D755" si="81">"قراردادي بهره بردار"</f>
        <v>قراردادي بهره بردار</v>
      </c>
      <c r="E735" s="1" t="str">
        <f>"پروژه بهره برداري نيروگاه بوشهر"</f>
        <v>پروژه بهره برداري نيروگاه بوشهر</v>
      </c>
      <c r="F735" s="1">
        <v>18752107</v>
      </c>
      <c r="G735" s="1">
        <v>19926129</v>
      </c>
      <c r="H735" s="1">
        <v>0</v>
      </c>
      <c r="I735" s="1">
        <v>20486890</v>
      </c>
      <c r="J735" s="1">
        <v>0</v>
      </c>
      <c r="K735" s="1">
        <v>4125000</v>
      </c>
      <c r="L735" s="1">
        <v>0</v>
      </c>
      <c r="M735" s="1">
        <v>1000000</v>
      </c>
      <c r="N735" s="1">
        <v>3204945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1606000</v>
      </c>
      <c r="U735" s="1">
        <v>0</v>
      </c>
      <c r="V735" s="1">
        <v>20458423</v>
      </c>
      <c r="W735" s="1">
        <v>1900000</v>
      </c>
      <c r="X735" s="1">
        <v>2722080</v>
      </c>
      <c r="Y735" s="1">
        <v>0</v>
      </c>
      <c r="Z735" s="1">
        <v>0</v>
      </c>
      <c r="AA735" s="1">
        <v>0</v>
      </c>
      <c r="AB735" s="1">
        <v>0</v>
      </c>
      <c r="AC735" s="1">
        <v>14217427</v>
      </c>
      <c r="AD735" s="1">
        <v>0</v>
      </c>
      <c r="AE735" s="1">
        <v>2289247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38470442</v>
      </c>
      <c r="AM735" s="1">
        <v>0</v>
      </c>
      <c r="AN735" s="1">
        <v>0</v>
      </c>
      <c r="AO735" s="1">
        <v>149158690</v>
      </c>
      <c r="AP735" s="1">
        <v>25238988</v>
      </c>
      <c r="AQ735" s="1">
        <v>123919702</v>
      </c>
      <c r="AR735" s="1">
        <v>29510538</v>
      </c>
      <c r="AS735" s="1">
        <v>4426581</v>
      </c>
      <c r="AT735" s="1">
        <f t="shared" si="78"/>
        <v>183095809</v>
      </c>
    </row>
    <row r="736" spans="1:46" x14ac:dyDescent="0.2">
      <c r="A736" s="1" t="str">
        <f>"00841"</f>
        <v>00841</v>
      </c>
      <c r="B736" s="1" t="str">
        <f>"يوسف"</f>
        <v>يوسف</v>
      </c>
      <c r="C736" s="1" t="str">
        <f>"آهنين جان"</f>
        <v>آهنين جان</v>
      </c>
      <c r="D736" s="1" t="str">
        <f t="shared" si="81"/>
        <v>قراردادي بهره بردار</v>
      </c>
      <c r="E736" s="1" t="str">
        <f t="shared" ref="E736:E755" si="82">"پروژه تعميرات نيروگاه بوشهر"</f>
        <v>پروژه تعميرات نيروگاه بوشهر</v>
      </c>
      <c r="F736" s="1">
        <v>14545569</v>
      </c>
      <c r="G736" s="1">
        <v>-10016178</v>
      </c>
      <c r="H736" s="1">
        <v>-477067</v>
      </c>
      <c r="I736" s="1">
        <v>7339630</v>
      </c>
      <c r="J736" s="1">
        <v>0</v>
      </c>
      <c r="K736" s="1">
        <v>4620000</v>
      </c>
      <c r="L736" s="1">
        <v>0</v>
      </c>
      <c r="M736" s="1">
        <v>1000000</v>
      </c>
      <c r="N736" s="1">
        <v>2546218</v>
      </c>
      <c r="O736" s="1">
        <v>0</v>
      </c>
      <c r="P736" s="1">
        <v>0</v>
      </c>
      <c r="Q736" s="1">
        <v>0</v>
      </c>
      <c r="R736" s="1">
        <v>74812563</v>
      </c>
      <c r="S736" s="1">
        <v>0</v>
      </c>
      <c r="T736" s="1">
        <v>0</v>
      </c>
      <c r="U736" s="1">
        <v>0</v>
      </c>
      <c r="V736" s="1">
        <v>-15677465</v>
      </c>
      <c r="W736" s="1">
        <v>1900000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1837358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-49800884</v>
      </c>
      <c r="AM736" s="1">
        <v>0</v>
      </c>
      <c r="AN736" s="1">
        <v>0</v>
      </c>
      <c r="AO736" s="1">
        <v>32629744</v>
      </c>
      <c r="AP736" s="1">
        <v>1304611</v>
      </c>
      <c r="AQ736" s="1">
        <v>31325133</v>
      </c>
      <c r="AR736" s="1">
        <v>-8341153</v>
      </c>
      <c r="AS736" s="1">
        <v>-1251170</v>
      </c>
      <c r="AT736" s="1">
        <f t="shared" si="78"/>
        <v>23037421</v>
      </c>
    </row>
    <row r="737" spans="1:46" x14ac:dyDescent="0.2">
      <c r="A737" s="1" t="str">
        <f>"00842"</f>
        <v>00842</v>
      </c>
      <c r="B737" s="1" t="str">
        <f>"نعمت اله"</f>
        <v>نعمت اله</v>
      </c>
      <c r="C737" s="1" t="str">
        <f>"احمدي ديرين"</f>
        <v>احمدي ديرين</v>
      </c>
      <c r="D737" s="1" t="str">
        <f t="shared" si="81"/>
        <v>قراردادي بهره بردار</v>
      </c>
      <c r="E737" s="1" t="str">
        <f t="shared" si="82"/>
        <v>پروژه تعميرات نيروگاه بوشهر</v>
      </c>
      <c r="F737" s="1">
        <v>9678860</v>
      </c>
      <c r="G737" s="1">
        <v>0</v>
      </c>
      <c r="H737" s="1">
        <v>0</v>
      </c>
      <c r="I737" s="1">
        <v>7668517</v>
      </c>
      <c r="J737" s="1">
        <v>0</v>
      </c>
      <c r="K737" s="1">
        <v>2570806</v>
      </c>
      <c r="L737" s="1">
        <v>0</v>
      </c>
      <c r="M737" s="1">
        <v>741935</v>
      </c>
      <c r="N737" s="1">
        <v>1695223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9904953</v>
      </c>
      <c r="W737" s="1">
        <v>1409677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1210873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5812192</v>
      </c>
      <c r="AM737" s="1">
        <v>0</v>
      </c>
      <c r="AN737" s="1">
        <v>0</v>
      </c>
      <c r="AO737" s="1">
        <v>40693036</v>
      </c>
      <c r="AP737" s="1">
        <v>6054282</v>
      </c>
      <c r="AQ737" s="1">
        <v>34638754</v>
      </c>
      <c r="AR737" s="1">
        <v>8138607</v>
      </c>
      <c r="AS737" s="1">
        <v>1220791</v>
      </c>
      <c r="AT737" s="1">
        <f t="shared" si="78"/>
        <v>50052434</v>
      </c>
    </row>
    <row r="738" spans="1:46" x14ac:dyDescent="0.2">
      <c r="A738" s="1" t="str">
        <f>"00843"</f>
        <v>00843</v>
      </c>
      <c r="B738" s="1" t="str">
        <f>"رضا"</f>
        <v>رضا</v>
      </c>
      <c r="C738" s="1" t="str">
        <f>"الياسي"</f>
        <v>الياسي</v>
      </c>
      <c r="D738" s="1" t="str">
        <f t="shared" si="81"/>
        <v>قراردادي بهره بردار</v>
      </c>
      <c r="E738" s="1" t="str">
        <f t="shared" si="82"/>
        <v>پروژه تعميرات نيروگاه بوشهر</v>
      </c>
      <c r="F738" s="1">
        <v>15654504</v>
      </c>
      <c r="G738" s="1">
        <v>4028122</v>
      </c>
      <c r="H738" s="1">
        <v>0</v>
      </c>
      <c r="I738" s="1">
        <v>12793055</v>
      </c>
      <c r="J738" s="1">
        <v>0</v>
      </c>
      <c r="K738" s="1">
        <v>0</v>
      </c>
      <c r="L738" s="1">
        <v>0</v>
      </c>
      <c r="M738" s="1">
        <v>1000000</v>
      </c>
      <c r="N738" s="1">
        <v>2956524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15718850</v>
      </c>
      <c r="W738" s="1">
        <v>1900000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2111803</v>
      </c>
      <c r="AF738" s="1">
        <v>1516881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7849509</v>
      </c>
      <c r="AM738" s="1">
        <v>0</v>
      </c>
      <c r="AN738" s="1">
        <v>0</v>
      </c>
      <c r="AO738" s="1">
        <v>65529248</v>
      </c>
      <c r="AP738" s="1">
        <v>27944215</v>
      </c>
      <c r="AQ738" s="1">
        <v>37585033</v>
      </c>
      <c r="AR738" s="1">
        <v>12802473</v>
      </c>
      <c r="AS738" s="1">
        <v>1920371</v>
      </c>
      <c r="AT738" s="1">
        <f t="shared" si="78"/>
        <v>80252092</v>
      </c>
    </row>
    <row r="739" spans="1:46" x14ac:dyDescent="0.2">
      <c r="A739" s="1" t="str">
        <f>"00844"</f>
        <v>00844</v>
      </c>
      <c r="B739" s="1" t="str">
        <f>"محمدرضا"</f>
        <v>محمدرضا</v>
      </c>
      <c r="C739" s="1" t="str">
        <f>"چاووشيان نائيني"</f>
        <v>چاووشيان نائيني</v>
      </c>
      <c r="D739" s="1" t="str">
        <f t="shared" si="81"/>
        <v>قراردادي بهره بردار</v>
      </c>
      <c r="E739" s="1" t="str">
        <f t="shared" si="82"/>
        <v>پروژه تعميرات نيروگاه بوشهر</v>
      </c>
      <c r="F739" s="1">
        <v>21139933</v>
      </c>
      <c r="G739" s="1">
        <v>0</v>
      </c>
      <c r="H739" s="1">
        <v>0</v>
      </c>
      <c r="I739" s="1">
        <v>16432191</v>
      </c>
      <c r="J739" s="1">
        <v>0</v>
      </c>
      <c r="K739" s="1">
        <v>5500000</v>
      </c>
      <c r="L739" s="1">
        <v>0</v>
      </c>
      <c r="M739" s="1">
        <v>1000000</v>
      </c>
      <c r="N739" s="1">
        <v>3661152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11097874</v>
      </c>
      <c r="W739" s="1">
        <v>1900000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2615108</v>
      </c>
      <c r="AF739" s="1">
        <v>1516881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4403240</v>
      </c>
      <c r="AM739" s="1">
        <v>0</v>
      </c>
      <c r="AN739" s="1">
        <v>0</v>
      </c>
      <c r="AO739" s="1">
        <v>69266379</v>
      </c>
      <c r="AP739" s="1">
        <v>10654046</v>
      </c>
      <c r="AQ739" s="1">
        <v>58612333</v>
      </c>
      <c r="AR739" s="1">
        <v>13549900</v>
      </c>
      <c r="AS739" s="1">
        <v>2032485</v>
      </c>
      <c r="AT739" s="1">
        <f t="shared" si="78"/>
        <v>84848764</v>
      </c>
    </row>
    <row r="740" spans="1:46" x14ac:dyDescent="0.2">
      <c r="A740" s="1" t="str">
        <f>"00846"</f>
        <v>00846</v>
      </c>
      <c r="B740" s="1" t="str">
        <f>"حميد"</f>
        <v>حميد</v>
      </c>
      <c r="C740" s="1" t="str">
        <f>"رضايي"</f>
        <v>رضايي</v>
      </c>
      <c r="D740" s="1" t="str">
        <f t="shared" si="81"/>
        <v>قراردادي بهره بردار</v>
      </c>
      <c r="E740" s="1" t="str">
        <f t="shared" si="82"/>
        <v>پروژه تعميرات نيروگاه بوشهر</v>
      </c>
      <c r="F740" s="1">
        <v>12618240</v>
      </c>
      <c r="G740" s="1">
        <v>0</v>
      </c>
      <c r="H740" s="1">
        <v>0</v>
      </c>
      <c r="I740" s="1">
        <v>9847135</v>
      </c>
      <c r="J740" s="1">
        <v>0</v>
      </c>
      <c r="K740" s="1">
        <v>3465000</v>
      </c>
      <c r="L740" s="1">
        <v>0</v>
      </c>
      <c r="M740" s="1">
        <v>1000000</v>
      </c>
      <c r="N740" s="1">
        <v>2135352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12783187</v>
      </c>
      <c r="W740" s="1">
        <v>1900000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1525252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7513987</v>
      </c>
      <c r="AM740" s="1">
        <v>0</v>
      </c>
      <c r="AN740" s="1">
        <v>0</v>
      </c>
      <c r="AO740" s="1">
        <v>52788153</v>
      </c>
      <c r="AP740" s="1">
        <v>15743504</v>
      </c>
      <c r="AQ740" s="1">
        <v>37044649</v>
      </c>
      <c r="AR740" s="1">
        <v>10557631</v>
      </c>
      <c r="AS740" s="1">
        <v>1583645</v>
      </c>
      <c r="AT740" s="1">
        <f t="shared" si="78"/>
        <v>64929429</v>
      </c>
    </row>
    <row r="741" spans="1:46" x14ac:dyDescent="0.2">
      <c r="A741" s="1" t="str">
        <f>"00847"</f>
        <v>00847</v>
      </c>
      <c r="B741" s="1" t="str">
        <f>"امين"</f>
        <v>امين</v>
      </c>
      <c r="C741" s="1" t="str">
        <f>"رودحله پور"</f>
        <v>رودحله پور</v>
      </c>
      <c r="D741" s="1" t="str">
        <f t="shared" si="81"/>
        <v>قراردادي بهره بردار</v>
      </c>
      <c r="E741" s="1" t="str">
        <f t="shared" si="82"/>
        <v>پروژه تعميرات نيروگاه بوشهر</v>
      </c>
      <c r="F741" s="1">
        <v>18478273</v>
      </c>
      <c r="G741" s="1">
        <v>7434764</v>
      </c>
      <c r="H741" s="1">
        <v>0</v>
      </c>
      <c r="I741" s="1">
        <v>14091135</v>
      </c>
      <c r="J741" s="1">
        <v>0</v>
      </c>
      <c r="K741" s="1">
        <v>5500000</v>
      </c>
      <c r="L741" s="1">
        <v>0</v>
      </c>
      <c r="M741" s="1">
        <v>1000000</v>
      </c>
      <c r="N741" s="1">
        <v>3109104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10196247</v>
      </c>
      <c r="W741" s="1">
        <v>1900000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2220788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4585065</v>
      </c>
      <c r="AM741" s="1">
        <v>0</v>
      </c>
      <c r="AN741" s="1">
        <v>0</v>
      </c>
      <c r="AO741" s="1">
        <v>68515376</v>
      </c>
      <c r="AP741" s="1">
        <v>21685264</v>
      </c>
      <c r="AQ741" s="1">
        <v>46830112</v>
      </c>
      <c r="AR741" s="1">
        <v>13703075</v>
      </c>
      <c r="AS741" s="1">
        <v>2055461</v>
      </c>
      <c r="AT741" s="1">
        <f t="shared" si="78"/>
        <v>84273912</v>
      </c>
    </row>
    <row r="742" spans="1:46" x14ac:dyDescent="0.2">
      <c r="A742" s="1" t="str">
        <f>"00848"</f>
        <v>00848</v>
      </c>
      <c r="B742" s="1" t="str">
        <f>"سلمان"</f>
        <v>سلمان</v>
      </c>
      <c r="C742" s="1" t="str">
        <f>"شجاعي خو"</f>
        <v>شجاعي خو</v>
      </c>
      <c r="D742" s="1" t="str">
        <f t="shared" si="81"/>
        <v>قراردادي بهره بردار</v>
      </c>
      <c r="E742" s="1" t="str">
        <f t="shared" si="82"/>
        <v>پروژه تعميرات نيروگاه بوشهر</v>
      </c>
      <c r="F742" s="1">
        <v>12405745</v>
      </c>
      <c r="G742" s="1">
        <v>0</v>
      </c>
      <c r="H742" s="1">
        <v>0</v>
      </c>
      <c r="I742" s="1">
        <v>9347069</v>
      </c>
      <c r="J742" s="1">
        <v>0</v>
      </c>
      <c r="K742" s="1">
        <v>4620000</v>
      </c>
      <c r="L742" s="1">
        <v>0</v>
      </c>
      <c r="M742" s="1">
        <v>1000000</v>
      </c>
      <c r="N742" s="1">
        <v>2060979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6765702</v>
      </c>
      <c r="W742" s="1">
        <v>1900000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1472128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6931707</v>
      </c>
      <c r="AM742" s="1">
        <v>0</v>
      </c>
      <c r="AN742" s="1">
        <v>0</v>
      </c>
      <c r="AO742" s="1">
        <v>46503330</v>
      </c>
      <c r="AP742" s="1">
        <v>7639858</v>
      </c>
      <c r="AQ742" s="1">
        <v>38863472</v>
      </c>
      <c r="AR742" s="1">
        <v>9300666</v>
      </c>
      <c r="AS742" s="1">
        <v>1395100</v>
      </c>
      <c r="AT742" s="1">
        <f t="shared" si="78"/>
        <v>57199096</v>
      </c>
    </row>
    <row r="743" spans="1:46" x14ac:dyDescent="0.2">
      <c r="A743" s="1" t="str">
        <f>"00849"</f>
        <v>00849</v>
      </c>
      <c r="B743" s="1" t="str">
        <f>"مرتضي"</f>
        <v>مرتضي</v>
      </c>
      <c r="C743" s="1" t="str">
        <f>"شريفيان"</f>
        <v>شريفيان</v>
      </c>
      <c r="D743" s="1" t="str">
        <f t="shared" si="81"/>
        <v>قراردادي بهره بردار</v>
      </c>
      <c r="E743" s="1" t="str">
        <f t="shared" si="82"/>
        <v>پروژه تعميرات نيروگاه بوشهر</v>
      </c>
      <c r="F743" s="1">
        <v>13067327</v>
      </c>
      <c r="G743" s="1">
        <v>0</v>
      </c>
      <c r="H743" s="1">
        <v>0</v>
      </c>
      <c r="I743" s="1">
        <v>10525428</v>
      </c>
      <c r="J743" s="1">
        <v>0</v>
      </c>
      <c r="K743" s="1">
        <v>4620000</v>
      </c>
      <c r="L743" s="1">
        <v>0</v>
      </c>
      <c r="M743" s="1">
        <v>1000000</v>
      </c>
      <c r="N743" s="1">
        <v>2292533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7635032</v>
      </c>
      <c r="W743" s="1">
        <v>1900000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1637523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7181882</v>
      </c>
      <c r="AM743" s="1">
        <v>0</v>
      </c>
      <c r="AN743" s="1">
        <v>0</v>
      </c>
      <c r="AO743" s="1">
        <v>49859725</v>
      </c>
      <c r="AP743" s="1">
        <v>7477535</v>
      </c>
      <c r="AQ743" s="1">
        <v>42382190</v>
      </c>
      <c r="AR743" s="1">
        <v>9971945</v>
      </c>
      <c r="AS743" s="1">
        <v>1495792</v>
      </c>
      <c r="AT743" s="1">
        <f t="shared" si="78"/>
        <v>61327462</v>
      </c>
    </row>
    <row r="744" spans="1:46" x14ac:dyDescent="0.2">
      <c r="A744" s="1" t="str">
        <f>"00850"</f>
        <v>00850</v>
      </c>
      <c r="B744" s="1" t="str">
        <f>"رضا"</f>
        <v>رضا</v>
      </c>
      <c r="C744" s="1" t="str">
        <f>"شکرانه"</f>
        <v>شکرانه</v>
      </c>
      <c r="D744" s="1" t="str">
        <f t="shared" si="81"/>
        <v>قراردادي بهره بردار</v>
      </c>
      <c r="E744" s="1" t="str">
        <f t="shared" si="82"/>
        <v>پروژه تعميرات نيروگاه بوشهر</v>
      </c>
      <c r="F744" s="1">
        <v>13183083</v>
      </c>
      <c r="G744" s="1">
        <v>6212888</v>
      </c>
      <c r="H744" s="1">
        <v>0</v>
      </c>
      <c r="I744" s="1">
        <v>13370582</v>
      </c>
      <c r="J744" s="1">
        <v>0</v>
      </c>
      <c r="K744" s="1">
        <v>4620000</v>
      </c>
      <c r="L744" s="1">
        <v>0</v>
      </c>
      <c r="M744" s="1">
        <v>1000000</v>
      </c>
      <c r="N744" s="1">
        <v>2389960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25330716</v>
      </c>
      <c r="W744" s="1">
        <v>1900000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1707114</v>
      </c>
      <c r="AF744" s="1">
        <v>1516881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6968257</v>
      </c>
      <c r="AM744" s="1">
        <v>0</v>
      </c>
      <c r="AN744" s="1">
        <v>0</v>
      </c>
      <c r="AO744" s="1">
        <v>78199481</v>
      </c>
      <c r="AP744" s="1">
        <v>12591095</v>
      </c>
      <c r="AQ744" s="1">
        <v>65608386</v>
      </c>
      <c r="AR744" s="1">
        <v>15336522</v>
      </c>
      <c r="AS744" s="1">
        <v>2300478</v>
      </c>
      <c r="AT744" s="1">
        <f t="shared" si="78"/>
        <v>95836481</v>
      </c>
    </row>
    <row r="745" spans="1:46" x14ac:dyDescent="0.2">
      <c r="A745" s="1" t="str">
        <f>"00851"</f>
        <v>00851</v>
      </c>
      <c r="B745" s="1" t="str">
        <f>"حسن"</f>
        <v>حسن</v>
      </c>
      <c r="C745" s="1" t="str">
        <f>"شيخياني"</f>
        <v>شيخياني</v>
      </c>
      <c r="D745" s="1" t="str">
        <f t="shared" si="81"/>
        <v>قراردادي بهره بردار</v>
      </c>
      <c r="E745" s="1" t="str">
        <f t="shared" si="82"/>
        <v>پروژه تعميرات نيروگاه بوشهر</v>
      </c>
      <c r="F745" s="1">
        <v>18502371</v>
      </c>
      <c r="G745" s="1">
        <v>7255000</v>
      </c>
      <c r="H745" s="1">
        <v>0</v>
      </c>
      <c r="I745" s="1">
        <v>13616950</v>
      </c>
      <c r="J745" s="1">
        <v>0</v>
      </c>
      <c r="K745" s="1">
        <v>5500000</v>
      </c>
      <c r="L745" s="1">
        <v>0</v>
      </c>
      <c r="M745" s="1">
        <v>1000000</v>
      </c>
      <c r="N745" s="1">
        <v>3117538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7113688</v>
      </c>
      <c r="W745" s="1">
        <v>1900000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2226813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4381552</v>
      </c>
      <c r="AM745" s="1">
        <v>0</v>
      </c>
      <c r="AN745" s="1">
        <v>0</v>
      </c>
      <c r="AO745" s="1">
        <v>64613912</v>
      </c>
      <c r="AP745" s="1">
        <v>26128340</v>
      </c>
      <c r="AQ745" s="1">
        <v>38485572</v>
      </c>
      <c r="AR745" s="1">
        <v>12922782</v>
      </c>
      <c r="AS745" s="1">
        <v>1938417</v>
      </c>
      <c r="AT745" s="1">
        <f t="shared" si="78"/>
        <v>79475111</v>
      </c>
    </row>
    <row r="746" spans="1:46" x14ac:dyDescent="0.2">
      <c r="A746" s="1" t="str">
        <f>"00852"</f>
        <v>00852</v>
      </c>
      <c r="B746" s="1" t="str">
        <f>"علي"</f>
        <v>علي</v>
      </c>
      <c r="C746" s="1" t="str">
        <f>"صالحي"</f>
        <v>صالحي</v>
      </c>
      <c r="D746" s="1" t="str">
        <f t="shared" si="81"/>
        <v>قراردادي بهره بردار</v>
      </c>
      <c r="E746" s="1" t="str">
        <f t="shared" si="82"/>
        <v>پروژه تعميرات نيروگاه بوشهر</v>
      </c>
      <c r="F746" s="1">
        <v>13374020</v>
      </c>
      <c r="G746" s="1">
        <v>14442071</v>
      </c>
      <c r="H746" s="1">
        <v>0</v>
      </c>
      <c r="I746" s="1">
        <v>10689251</v>
      </c>
      <c r="J746" s="1">
        <v>0</v>
      </c>
      <c r="K746" s="1">
        <v>4620000</v>
      </c>
      <c r="L746" s="1">
        <v>0</v>
      </c>
      <c r="M746" s="1">
        <v>1000000</v>
      </c>
      <c r="N746" s="1">
        <v>2399875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14830781</v>
      </c>
      <c r="W746" s="1">
        <v>1900000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1714197</v>
      </c>
      <c r="AF746" s="1">
        <v>1516881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10851029</v>
      </c>
      <c r="AM746" s="1">
        <v>0</v>
      </c>
      <c r="AN746" s="1">
        <v>0</v>
      </c>
      <c r="AO746" s="1">
        <v>77338105</v>
      </c>
      <c r="AP746" s="1">
        <v>34708498</v>
      </c>
      <c r="AQ746" s="1">
        <v>42629607</v>
      </c>
      <c r="AR746" s="1">
        <v>15164245</v>
      </c>
      <c r="AS746" s="1">
        <v>2274637</v>
      </c>
      <c r="AT746" s="1">
        <f t="shared" si="78"/>
        <v>94776987</v>
      </c>
    </row>
    <row r="747" spans="1:46" x14ac:dyDescent="0.2">
      <c r="A747" s="1" t="str">
        <f>"00853"</f>
        <v>00853</v>
      </c>
      <c r="B747" s="1" t="str">
        <f>"مهدي"</f>
        <v>مهدي</v>
      </c>
      <c r="C747" s="1" t="str">
        <f>"صفري"</f>
        <v>صفري</v>
      </c>
      <c r="D747" s="1" t="str">
        <f t="shared" si="81"/>
        <v>قراردادي بهره بردار</v>
      </c>
      <c r="E747" s="1" t="str">
        <f t="shared" si="82"/>
        <v>پروژه تعميرات نيروگاه بوشهر</v>
      </c>
      <c r="F747" s="1">
        <v>26259956</v>
      </c>
      <c r="G747" s="1">
        <v>12264930</v>
      </c>
      <c r="H747" s="1">
        <v>0</v>
      </c>
      <c r="I747" s="1">
        <v>21572635</v>
      </c>
      <c r="J747" s="1">
        <v>0</v>
      </c>
      <c r="K747" s="1">
        <v>4620000</v>
      </c>
      <c r="L747" s="1">
        <v>0</v>
      </c>
      <c r="M747" s="1">
        <v>4000000</v>
      </c>
      <c r="N747" s="1">
        <v>5418390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22570949</v>
      </c>
      <c r="W747" s="1">
        <v>5900000</v>
      </c>
      <c r="X747" s="1">
        <v>683256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3870279</v>
      </c>
      <c r="AF747" s="1">
        <v>3544941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5575819</v>
      </c>
      <c r="AM747" s="1">
        <v>0</v>
      </c>
      <c r="AN747" s="1">
        <v>0</v>
      </c>
      <c r="AO747" s="1">
        <v>116281155</v>
      </c>
      <c r="AP747" s="1">
        <v>36158504</v>
      </c>
      <c r="AQ747" s="1">
        <v>80122651</v>
      </c>
      <c r="AR747" s="1">
        <v>22547244</v>
      </c>
      <c r="AS747" s="1">
        <v>3382090</v>
      </c>
      <c r="AT747" s="1">
        <f t="shared" si="78"/>
        <v>142210489</v>
      </c>
    </row>
    <row r="748" spans="1:46" x14ac:dyDescent="0.2">
      <c r="A748" s="1" t="str">
        <f>"00854"</f>
        <v>00854</v>
      </c>
      <c r="B748" s="1" t="str">
        <f>"علي"</f>
        <v>علي</v>
      </c>
      <c r="C748" s="1" t="str">
        <f>"عطاپوريان"</f>
        <v>عطاپوريان</v>
      </c>
      <c r="D748" s="1" t="str">
        <f t="shared" si="81"/>
        <v>قراردادي بهره بردار</v>
      </c>
      <c r="E748" s="1" t="str">
        <f t="shared" si="82"/>
        <v>پروژه تعميرات نيروگاه بوشهر</v>
      </c>
      <c r="F748" s="1">
        <v>15704889</v>
      </c>
      <c r="G748" s="1">
        <v>0</v>
      </c>
      <c r="H748" s="1">
        <v>0</v>
      </c>
      <c r="I748" s="1">
        <v>13917996</v>
      </c>
      <c r="J748" s="1">
        <v>0</v>
      </c>
      <c r="K748" s="1">
        <v>4620000</v>
      </c>
      <c r="L748" s="1">
        <v>0</v>
      </c>
      <c r="M748" s="1">
        <v>1000000</v>
      </c>
      <c r="N748" s="1">
        <v>2974159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13266598</v>
      </c>
      <c r="W748" s="1">
        <v>1900000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2124399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9135080</v>
      </c>
      <c r="AM748" s="1">
        <v>0</v>
      </c>
      <c r="AN748" s="1">
        <v>0</v>
      </c>
      <c r="AO748" s="1">
        <v>64643121</v>
      </c>
      <c r="AP748" s="1">
        <v>13014043</v>
      </c>
      <c r="AQ748" s="1">
        <v>51629078</v>
      </c>
      <c r="AR748" s="1">
        <v>12928624</v>
      </c>
      <c r="AS748" s="1">
        <v>1939294</v>
      </c>
      <c r="AT748" s="1">
        <f t="shared" si="78"/>
        <v>79511039</v>
      </c>
    </row>
    <row r="749" spans="1:46" x14ac:dyDescent="0.2">
      <c r="A749" s="1" t="str">
        <f>"00855"</f>
        <v>00855</v>
      </c>
      <c r="B749" s="1" t="str">
        <f>"ايوب"</f>
        <v>ايوب</v>
      </c>
      <c r="C749" s="1" t="str">
        <f>"عليزاده"</f>
        <v>عليزاده</v>
      </c>
      <c r="D749" s="1" t="str">
        <f t="shared" si="81"/>
        <v>قراردادي بهره بردار</v>
      </c>
      <c r="E749" s="1" t="str">
        <f t="shared" si="82"/>
        <v>پروژه تعميرات نيروگاه بوشهر</v>
      </c>
      <c r="F749" s="1">
        <v>15603390</v>
      </c>
      <c r="G749" s="1">
        <v>3551570</v>
      </c>
      <c r="H749" s="1">
        <v>0</v>
      </c>
      <c r="I749" s="1">
        <v>12269986</v>
      </c>
      <c r="J749" s="1">
        <v>0</v>
      </c>
      <c r="K749" s="1">
        <v>3465000</v>
      </c>
      <c r="L749" s="1">
        <v>0</v>
      </c>
      <c r="M749" s="1">
        <v>1000000</v>
      </c>
      <c r="N749" s="1">
        <v>3180157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9042325</v>
      </c>
      <c r="W749" s="1">
        <v>1900000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2271540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7314602</v>
      </c>
      <c r="AM749" s="1">
        <v>0</v>
      </c>
      <c r="AN749" s="1">
        <v>0</v>
      </c>
      <c r="AO749" s="1">
        <v>59598570</v>
      </c>
      <c r="AP749" s="1">
        <v>25583908</v>
      </c>
      <c r="AQ749" s="1">
        <v>34014662</v>
      </c>
      <c r="AR749" s="1">
        <v>11919715</v>
      </c>
      <c r="AS749" s="1">
        <v>1787956</v>
      </c>
      <c r="AT749" s="1">
        <f t="shared" si="78"/>
        <v>73306241</v>
      </c>
    </row>
    <row r="750" spans="1:46" x14ac:dyDescent="0.2">
      <c r="A750" s="1" t="str">
        <f>"00856"</f>
        <v>00856</v>
      </c>
      <c r="B750" s="1" t="str">
        <f>"محمد"</f>
        <v>محمد</v>
      </c>
      <c r="C750" s="1" t="str">
        <f>"غلامي مندلي"</f>
        <v>غلامي مندلي</v>
      </c>
      <c r="D750" s="1" t="str">
        <f t="shared" si="81"/>
        <v>قراردادي بهره بردار</v>
      </c>
      <c r="E750" s="1" t="str">
        <f t="shared" si="82"/>
        <v>پروژه تعميرات نيروگاه بوشهر</v>
      </c>
      <c r="F750" s="1">
        <v>12585380</v>
      </c>
      <c r="G750" s="1">
        <v>1450259</v>
      </c>
      <c r="H750" s="1">
        <v>0</v>
      </c>
      <c r="I750" s="1">
        <v>9809543</v>
      </c>
      <c r="J750" s="1">
        <v>0</v>
      </c>
      <c r="K750" s="1">
        <v>4620000</v>
      </c>
      <c r="L750" s="1">
        <v>0</v>
      </c>
      <c r="M750" s="1">
        <v>1000000</v>
      </c>
      <c r="N750" s="1">
        <v>2123851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7412282</v>
      </c>
      <c r="W750" s="1">
        <v>1900000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1517037</v>
      </c>
      <c r="AF750" s="1">
        <v>1516881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7656380</v>
      </c>
      <c r="AM750" s="1">
        <v>0</v>
      </c>
      <c r="AN750" s="1">
        <v>0</v>
      </c>
      <c r="AO750" s="1">
        <v>51591613</v>
      </c>
      <c r="AP750" s="1">
        <v>10137262</v>
      </c>
      <c r="AQ750" s="1">
        <v>41454351</v>
      </c>
      <c r="AR750" s="1">
        <v>10014946</v>
      </c>
      <c r="AS750" s="1">
        <v>1502242</v>
      </c>
      <c r="AT750" s="1">
        <f t="shared" si="78"/>
        <v>63108801</v>
      </c>
    </row>
    <row r="751" spans="1:46" x14ac:dyDescent="0.2">
      <c r="A751" s="1" t="str">
        <f>"00858"</f>
        <v>00858</v>
      </c>
      <c r="B751" s="1" t="str">
        <f>"عرفان"</f>
        <v>عرفان</v>
      </c>
      <c r="C751" s="1" t="str">
        <f>"محمدي"</f>
        <v>محمدي</v>
      </c>
      <c r="D751" s="1" t="str">
        <f t="shared" si="81"/>
        <v>قراردادي بهره بردار</v>
      </c>
      <c r="E751" s="1" t="str">
        <f t="shared" si="82"/>
        <v>پروژه تعميرات نيروگاه بوشهر</v>
      </c>
      <c r="F751" s="1">
        <v>18631620</v>
      </c>
      <c r="G751" s="1">
        <v>8343501</v>
      </c>
      <c r="H751" s="1">
        <v>0</v>
      </c>
      <c r="I751" s="1">
        <v>15067624</v>
      </c>
      <c r="J751" s="1">
        <v>0</v>
      </c>
      <c r="K751" s="1">
        <v>4125000</v>
      </c>
      <c r="L751" s="1">
        <v>0</v>
      </c>
      <c r="M751" s="1">
        <v>1000000</v>
      </c>
      <c r="N751" s="1">
        <v>3162775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17136136</v>
      </c>
      <c r="W751" s="1">
        <v>1900000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2259125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5973948</v>
      </c>
      <c r="AM751" s="1">
        <v>0</v>
      </c>
      <c r="AN751" s="1">
        <v>0</v>
      </c>
      <c r="AO751" s="1">
        <v>77599729</v>
      </c>
      <c r="AP751" s="1">
        <v>32509313</v>
      </c>
      <c r="AQ751" s="1">
        <v>45090416</v>
      </c>
      <c r="AR751" s="1">
        <v>15519946</v>
      </c>
      <c r="AS751" s="1">
        <v>2327992</v>
      </c>
      <c r="AT751" s="1">
        <f t="shared" si="78"/>
        <v>95447667</v>
      </c>
    </row>
    <row r="752" spans="1:46" x14ac:dyDescent="0.2">
      <c r="A752" s="1" t="str">
        <f>"00860"</f>
        <v>00860</v>
      </c>
      <c r="B752" s="1" t="str">
        <f>"سيد عبدالحميد"</f>
        <v>سيد عبدالحميد</v>
      </c>
      <c r="C752" s="1" t="str">
        <f>"موسوي"</f>
        <v>موسوي</v>
      </c>
      <c r="D752" s="1" t="str">
        <f t="shared" si="81"/>
        <v>قراردادي بهره بردار</v>
      </c>
      <c r="E752" s="1" t="str">
        <f t="shared" si="82"/>
        <v>پروژه تعميرات نيروگاه بوشهر</v>
      </c>
      <c r="F752" s="1">
        <v>26445728</v>
      </c>
      <c r="G752" s="1">
        <v>15864387</v>
      </c>
      <c r="H752" s="1">
        <v>0</v>
      </c>
      <c r="I752" s="1">
        <v>25718771</v>
      </c>
      <c r="J752" s="1">
        <v>0</v>
      </c>
      <c r="K752" s="1">
        <v>5500000</v>
      </c>
      <c r="L752" s="1">
        <v>0</v>
      </c>
      <c r="M752" s="1">
        <v>1000000</v>
      </c>
      <c r="N752" s="1">
        <v>4759114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11999619</v>
      </c>
      <c r="W752" s="1">
        <v>1900000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3399367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6341542</v>
      </c>
      <c r="AM752" s="1">
        <v>0</v>
      </c>
      <c r="AN752" s="1">
        <v>0</v>
      </c>
      <c r="AO752" s="1">
        <v>102928528</v>
      </c>
      <c r="AP752" s="1">
        <v>24639053</v>
      </c>
      <c r="AQ752" s="1">
        <v>78289475</v>
      </c>
      <c r="AR752" s="1">
        <v>20585706</v>
      </c>
      <c r="AS752" s="1">
        <v>3087857</v>
      </c>
      <c r="AT752" s="1">
        <f t="shared" si="78"/>
        <v>126602091</v>
      </c>
    </row>
    <row r="753" spans="1:46" x14ac:dyDescent="0.2">
      <c r="A753" s="1" t="str">
        <f>"00861"</f>
        <v>00861</v>
      </c>
      <c r="B753" s="1" t="str">
        <f>"زين العابدين"</f>
        <v>زين العابدين</v>
      </c>
      <c r="C753" s="1" t="str">
        <f>"ميرکي"</f>
        <v>ميرکي</v>
      </c>
      <c r="D753" s="1" t="str">
        <f t="shared" si="81"/>
        <v>قراردادي بهره بردار</v>
      </c>
      <c r="E753" s="1" t="str">
        <f t="shared" si="82"/>
        <v>پروژه تعميرات نيروگاه بوشهر</v>
      </c>
      <c r="F753" s="1">
        <v>13912924</v>
      </c>
      <c r="G753" s="1">
        <v>4617509</v>
      </c>
      <c r="H753" s="1">
        <v>0</v>
      </c>
      <c r="I753" s="1">
        <v>11714443</v>
      </c>
      <c r="J753" s="1">
        <v>0</v>
      </c>
      <c r="K753" s="1">
        <v>4620000</v>
      </c>
      <c r="L753" s="1">
        <v>0</v>
      </c>
      <c r="M753" s="1">
        <v>1000000</v>
      </c>
      <c r="N753" s="1">
        <v>2588492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11690300</v>
      </c>
      <c r="W753" s="1">
        <v>1900000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1848923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8580841</v>
      </c>
      <c r="AM753" s="1">
        <v>0</v>
      </c>
      <c r="AN753" s="1">
        <v>0</v>
      </c>
      <c r="AO753" s="1">
        <v>62473432</v>
      </c>
      <c r="AP753" s="1">
        <v>12307749</v>
      </c>
      <c r="AQ753" s="1">
        <v>50165683</v>
      </c>
      <c r="AR753" s="1">
        <v>12494686</v>
      </c>
      <c r="AS753" s="1">
        <v>1874203</v>
      </c>
      <c r="AT753" s="1">
        <f t="shared" si="78"/>
        <v>76842321</v>
      </c>
    </row>
    <row r="754" spans="1:46" x14ac:dyDescent="0.2">
      <c r="A754" s="1" t="str">
        <f>"00862"</f>
        <v>00862</v>
      </c>
      <c r="B754" s="1" t="str">
        <f>"محمدجواد"</f>
        <v>محمدجواد</v>
      </c>
      <c r="C754" s="1" t="str">
        <f>"يزدان پناه"</f>
        <v>يزدان پناه</v>
      </c>
      <c r="D754" s="1" t="str">
        <f t="shared" si="81"/>
        <v>قراردادي بهره بردار</v>
      </c>
      <c r="E754" s="1" t="str">
        <f t="shared" si="82"/>
        <v>پروژه تعميرات نيروگاه بوشهر</v>
      </c>
      <c r="F754" s="1">
        <v>17945941</v>
      </c>
      <c r="G754" s="1">
        <v>18736070</v>
      </c>
      <c r="H754" s="1">
        <v>0</v>
      </c>
      <c r="I754" s="1">
        <v>12709225</v>
      </c>
      <c r="J754" s="1">
        <v>0</v>
      </c>
      <c r="K754" s="1">
        <v>5500000</v>
      </c>
      <c r="L754" s="1">
        <v>0</v>
      </c>
      <c r="M754" s="1">
        <v>1000000</v>
      </c>
      <c r="N754" s="1">
        <v>2922787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7961979</v>
      </c>
      <c r="W754" s="1">
        <v>1900000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2087705</v>
      </c>
      <c r="AF754" s="1">
        <v>1516881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4648157</v>
      </c>
      <c r="AM754" s="1">
        <v>0</v>
      </c>
      <c r="AN754" s="1">
        <v>0</v>
      </c>
      <c r="AO754" s="1">
        <v>76928745</v>
      </c>
      <c r="AP754" s="1">
        <v>11953026</v>
      </c>
      <c r="AQ754" s="1">
        <v>64975719</v>
      </c>
      <c r="AR754" s="1">
        <v>15082373</v>
      </c>
      <c r="AS754" s="1">
        <v>2262356</v>
      </c>
      <c r="AT754" s="1">
        <f t="shared" si="78"/>
        <v>94273474</v>
      </c>
    </row>
    <row r="755" spans="1:46" x14ac:dyDescent="0.2">
      <c r="A755" s="1" t="str">
        <f>"00863"</f>
        <v>00863</v>
      </c>
      <c r="B755" s="1" t="str">
        <f>"هادي"</f>
        <v>هادي</v>
      </c>
      <c r="C755" s="1" t="str">
        <f>"آب رخت"</f>
        <v>آب رخت</v>
      </c>
      <c r="D755" s="1" t="str">
        <f t="shared" si="81"/>
        <v>قراردادي بهره بردار</v>
      </c>
      <c r="E755" s="1" t="str">
        <f t="shared" si="82"/>
        <v>پروژه تعميرات نيروگاه بوشهر</v>
      </c>
      <c r="F755" s="1">
        <v>15328095</v>
      </c>
      <c r="G755" s="1">
        <v>0</v>
      </c>
      <c r="H755" s="1">
        <v>0</v>
      </c>
      <c r="I755" s="1">
        <v>13455486</v>
      </c>
      <c r="J755" s="1">
        <v>0</v>
      </c>
      <c r="K755" s="1">
        <v>3465000</v>
      </c>
      <c r="L755" s="1">
        <v>0</v>
      </c>
      <c r="M755" s="1">
        <v>1000000</v>
      </c>
      <c r="N755" s="1">
        <v>2842280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16041698</v>
      </c>
      <c r="W755" s="1">
        <v>1900000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2030200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8558935</v>
      </c>
      <c r="AM755" s="1">
        <v>0</v>
      </c>
      <c r="AN755" s="1">
        <v>0</v>
      </c>
      <c r="AO755" s="1">
        <v>64621694</v>
      </c>
      <c r="AP755" s="1">
        <v>11761603</v>
      </c>
      <c r="AQ755" s="1">
        <v>52860091</v>
      </c>
      <c r="AR755" s="1">
        <v>12924339</v>
      </c>
      <c r="AS755" s="1">
        <v>1938651</v>
      </c>
      <c r="AT755" s="1">
        <f t="shared" si="78"/>
        <v>79484684</v>
      </c>
    </row>
    <row r="756" spans="1:46" x14ac:dyDescent="0.2">
      <c r="A756" s="1" t="str">
        <f>"00864"</f>
        <v>00864</v>
      </c>
      <c r="B756" s="1" t="str">
        <f>"مهرداد"</f>
        <v>مهرداد</v>
      </c>
      <c r="C756" s="1" t="str">
        <f>"رحيمي"</f>
        <v>رحيمي</v>
      </c>
      <c r="D756" s="1" t="str">
        <f>"قراردادي کارگري"</f>
        <v>قراردادي کارگري</v>
      </c>
      <c r="E756" s="1" t="str">
        <f>"پروژه بهره برداري نيروگاه بوشهر"</f>
        <v>پروژه بهره برداري نيروگاه بوشهر</v>
      </c>
      <c r="F756" s="1">
        <v>14320388</v>
      </c>
      <c r="G756" s="1">
        <v>6909430</v>
      </c>
      <c r="H756" s="1">
        <v>0</v>
      </c>
      <c r="I756" s="1">
        <v>7146491</v>
      </c>
      <c r="J756" s="1">
        <v>0</v>
      </c>
      <c r="K756" s="1">
        <v>0</v>
      </c>
      <c r="L756" s="1">
        <v>0</v>
      </c>
      <c r="M756" s="1">
        <v>1000000</v>
      </c>
      <c r="N756" s="1">
        <v>1826359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2781719</v>
      </c>
      <c r="W756" s="1">
        <v>1900000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1304542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3219404</v>
      </c>
      <c r="AM756" s="1">
        <v>0</v>
      </c>
      <c r="AN756" s="1">
        <v>0</v>
      </c>
      <c r="AO756" s="1">
        <v>40408333</v>
      </c>
      <c r="AP756" s="1">
        <v>6842107</v>
      </c>
      <c r="AQ756" s="1">
        <v>33566226</v>
      </c>
      <c r="AR756" s="1">
        <v>8081667</v>
      </c>
      <c r="AS756" s="1">
        <v>1212250</v>
      </c>
      <c r="AT756" s="1">
        <f t="shared" si="78"/>
        <v>49702250</v>
      </c>
    </row>
    <row r="757" spans="1:46" x14ac:dyDescent="0.2">
      <c r="A757" s="1" t="str">
        <f>"00865"</f>
        <v>00865</v>
      </c>
      <c r="B757" s="1" t="str">
        <f>"محمد"</f>
        <v>محمد</v>
      </c>
      <c r="C757" s="1" t="str">
        <f>"احمدي"</f>
        <v>احمدي</v>
      </c>
      <c r="D757" s="1" t="str">
        <f t="shared" ref="D757:D774" si="83">"قراردادي بهره بردار"</f>
        <v>قراردادي بهره بردار</v>
      </c>
      <c r="E757" s="1" t="str">
        <f>"پروژه تعميرات نيروگاه بوشهر"</f>
        <v>پروژه تعميرات نيروگاه بوشهر</v>
      </c>
      <c r="F757" s="1">
        <v>18436651</v>
      </c>
      <c r="G757" s="1">
        <v>6669214</v>
      </c>
      <c r="H757" s="1">
        <v>0</v>
      </c>
      <c r="I757" s="1">
        <v>13933695</v>
      </c>
      <c r="J757" s="1">
        <v>0</v>
      </c>
      <c r="K757" s="1">
        <v>5500000</v>
      </c>
      <c r="L757" s="1">
        <v>0</v>
      </c>
      <c r="M757" s="1">
        <v>1000000</v>
      </c>
      <c r="N757" s="1">
        <v>3094536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10247812</v>
      </c>
      <c r="W757" s="1">
        <v>1900000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2210383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4583751</v>
      </c>
      <c r="AM757" s="1">
        <v>0</v>
      </c>
      <c r="AN757" s="1">
        <v>0</v>
      </c>
      <c r="AO757" s="1">
        <v>67576042</v>
      </c>
      <c r="AP757" s="1">
        <v>26978664</v>
      </c>
      <c r="AQ757" s="1">
        <v>40597378</v>
      </c>
      <c r="AR757" s="1">
        <v>13515208</v>
      </c>
      <c r="AS757" s="1">
        <v>2027281</v>
      </c>
      <c r="AT757" s="1">
        <f t="shared" si="78"/>
        <v>83118531</v>
      </c>
    </row>
    <row r="758" spans="1:46" x14ac:dyDescent="0.2">
      <c r="A758" s="1" t="str">
        <f>"00866"</f>
        <v>00866</v>
      </c>
      <c r="B758" s="1" t="str">
        <f>"اميدرضا"</f>
        <v>اميدرضا</v>
      </c>
      <c r="C758" s="1" t="str">
        <f>"ايزدي"</f>
        <v>ايزدي</v>
      </c>
      <c r="D758" s="1" t="str">
        <f t="shared" si="83"/>
        <v>قراردادي بهره بردار</v>
      </c>
      <c r="E758" s="1" t="str">
        <f>"پروژه تعميرات نيروگاه بوشهر"</f>
        <v>پروژه تعميرات نيروگاه بوشهر</v>
      </c>
      <c r="F758" s="1">
        <v>18758679</v>
      </c>
      <c r="G758" s="1">
        <v>0</v>
      </c>
      <c r="H758" s="1">
        <v>0</v>
      </c>
      <c r="I758" s="1">
        <v>14310147</v>
      </c>
      <c r="J758" s="1">
        <v>0</v>
      </c>
      <c r="K758" s="1">
        <v>5500000</v>
      </c>
      <c r="L758" s="1">
        <v>0</v>
      </c>
      <c r="M758" s="1">
        <v>1000000</v>
      </c>
      <c r="N758" s="1">
        <v>3207246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8558089</v>
      </c>
      <c r="W758" s="1">
        <v>1900000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2290890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4765138</v>
      </c>
      <c r="AM758" s="1">
        <v>0</v>
      </c>
      <c r="AN758" s="1">
        <v>0</v>
      </c>
      <c r="AO758" s="1">
        <v>60290189</v>
      </c>
      <c r="AP758" s="1">
        <v>9735837</v>
      </c>
      <c r="AQ758" s="1">
        <v>50554352</v>
      </c>
      <c r="AR758" s="1">
        <v>12058038</v>
      </c>
      <c r="AS758" s="1">
        <v>1808706</v>
      </c>
      <c r="AT758" s="1">
        <f t="shared" si="78"/>
        <v>74156933</v>
      </c>
    </row>
    <row r="759" spans="1:46" x14ac:dyDescent="0.2">
      <c r="A759" s="1" t="str">
        <f>"00867"</f>
        <v>00867</v>
      </c>
      <c r="B759" s="1" t="str">
        <f>"سيد محمد علي"</f>
        <v>سيد محمد علي</v>
      </c>
      <c r="C759" s="1" t="str">
        <f>"باقري"</f>
        <v>باقري</v>
      </c>
      <c r="D759" s="1" t="str">
        <f t="shared" si="83"/>
        <v>قراردادي بهره بردار</v>
      </c>
      <c r="E759" s="1" t="str">
        <f>"پروژه تعميرات نيروگاه بوشهر"</f>
        <v>پروژه تعميرات نيروگاه بوشهر</v>
      </c>
      <c r="F759" s="1">
        <v>13196576</v>
      </c>
      <c r="G759" s="1">
        <v>2232898</v>
      </c>
      <c r="H759" s="1">
        <v>0</v>
      </c>
      <c r="I759" s="1">
        <v>10546778</v>
      </c>
      <c r="J759" s="1">
        <v>0</v>
      </c>
      <c r="K759" s="1">
        <v>4620000</v>
      </c>
      <c r="L759" s="1">
        <v>0</v>
      </c>
      <c r="M759" s="1">
        <v>1000000</v>
      </c>
      <c r="N759" s="1">
        <v>2337770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14522311</v>
      </c>
      <c r="W759" s="1">
        <v>1900000</v>
      </c>
      <c r="X759" s="1">
        <v>1915632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1669836</v>
      </c>
      <c r="AF759" s="1">
        <v>1516881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10465648</v>
      </c>
      <c r="AM759" s="1">
        <v>0</v>
      </c>
      <c r="AN759" s="1">
        <v>0</v>
      </c>
      <c r="AO759" s="1">
        <v>65924330</v>
      </c>
      <c r="AP759" s="1">
        <v>9123466</v>
      </c>
      <c r="AQ759" s="1">
        <v>56800864</v>
      </c>
      <c r="AR759" s="1">
        <v>12881490</v>
      </c>
      <c r="AS759" s="1">
        <v>1932223</v>
      </c>
      <c r="AT759" s="1">
        <f t="shared" si="78"/>
        <v>80738043</v>
      </c>
    </row>
    <row r="760" spans="1:46" x14ac:dyDescent="0.2">
      <c r="A760" s="1" t="str">
        <f>"00869"</f>
        <v>00869</v>
      </c>
      <c r="B760" s="1" t="str">
        <f>"موسي"</f>
        <v>موسي</v>
      </c>
      <c r="C760" s="1" t="str">
        <f>"خدري"</f>
        <v>خدري</v>
      </c>
      <c r="D760" s="1" t="str">
        <f t="shared" si="83"/>
        <v>قراردادي بهره بردار</v>
      </c>
      <c r="E760" s="1" t="str">
        <f>"پروژه تعميرات نيروگاه بوشهر"</f>
        <v>پروژه تعميرات نيروگاه بوشهر</v>
      </c>
      <c r="F760" s="1">
        <v>18217584</v>
      </c>
      <c r="G760" s="1">
        <v>13389741</v>
      </c>
      <c r="H760" s="1">
        <v>0</v>
      </c>
      <c r="I760" s="1">
        <v>15419884</v>
      </c>
      <c r="J760" s="1">
        <v>0</v>
      </c>
      <c r="K760" s="1">
        <v>4125000</v>
      </c>
      <c r="L760" s="1">
        <v>0</v>
      </c>
      <c r="M760" s="1">
        <v>1000000</v>
      </c>
      <c r="N760" s="1">
        <v>3017862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10272169</v>
      </c>
      <c r="W760" s="1">
        <v>1900000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2155616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8417418</v>
      </c>
      <c r="AM760" s="1">
        <v>0</v>
      </c>
      <c r="AN760" s="1">
        <v>0</v>
      </c>
      <c r="AO760" s="1">
        <v>77915274</v>
      </c>
      <c r="AP760" s="1">
        <v>13314650</v>
      </c>
      <c r="AQ760" s="1">
        <v>64600624</v>
      </c>
      <c r="AR760" s="1">
        <v>15583055</v>
      </c>
      <c r="AS760" s="1">
        <v>2337458</v>
      </c>
      <c r="AT760" s="1">
        <f t="shared" si="78"/>
        <v>95835787</v>
      </c>
    </row>
    <row r="761" spans="1:46" x14ac:dyDescent="0.2">
      <c r="A761" s="1" t="str">
        <f>"00870"</f>
        <v>00870</v>
      </c>
      <c r="B761" s="1" t="str">
        <f>"سينا"</f>
        <v>سينا</v>
      </c>
      <c r="C761" s="1" t="str">
        <f>"دشتستاني نژاد"</f>
        <v>دشتستاني نژاد</v>
      </c>
      <c r="D761" s="1" t="str">
        <f t="shared" si="83"/>
        <v>قراردادي بهره بردار</v>
      </c>
      <c r="E761" s="1" t="str">
        <f>"پروژه تعميرات نيروگاه بوشهر"</f>
        <v>پروژه تعميرات نيروگاه بوشهر</v>
      </c>
      <c r="F761" s="1">
        <v>17878760</v>
      </c>
      <c r="G761" s="1">
        <v>3692539</v>
      </c>
      <c r="H761" s="1">
        <v>0</v>
      </c>
      <c r="I761" s="1">
        <v>13090524</v>
      </c>
      <c r="J761" s="1">
        <v>0</v>
      </c>
      <c r="K761" s="1">
        <v>4125000</v>
      </c>
      <c r="L761" s="1">
        <v>0</v>
      </c>
      <c r="M761" s="1">
        <v>1000000</v>
      </c>
      <c r="N761" s="1">
        <v>2899275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10729273</v>
      </c>
      <c r="W761" s="1">
        <v>1900000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2070910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5326972</v>
      </c>
      <c r="AM761" s="1">
        <v>0</v>
      </c>
      <c r="AN761" s="1">
        <v>0</v>
      </c>
      <c r="AO761" s="1">
        <v>62713253</v>
      </c>
      <c r="AP761" s="1">
        <v>27233890</v>
      </c>
      <c r="AQ761" s="1">
        <v>35479363</v>
      </c>
      <c r="AR761" s="1">
        <v>12542650</v>
      </c>
      <c r="AS761" s="1">
        <v>1881397</v>
      </c>
      <c r="AT761" s="1">
        <f t="shared" si="78"/>
        <v>77137300</v>
      </c>
    </row>
    <row r="762" spans="1:46" x14ac:dyDescent="0.2">
      <c r="A762" s="1" t="str">
        <f>"00871"</f>
        <v>00871</v>
      </c>
      <c r="B762" s="1" t="str">
        <f>"مسعود"</f>
        <v>مسعود</v>
      </c>
      <c r="C762" s="1" t="str">
        <f>"سهرابي تيمورلو"</f>
        <v>سهرابي تيمورلو</v>
      </c>
      <c r="D762" s="1" t="str">
        <f t="shared" si="83"/>
        <v>قراردادي بهره بردار</v>
      </c>
      <c r="E762" s="1" t="str">
        <f>"پروژه بهره برداري نيروگاه بوشهر"</f>
        <v>پروژه بهره برداري نيروگاه بوشهر</v>
      </c>
      <c r="F762" s="1">
        <v>16145213</v>
      </c>
      <c r="G762" s="1">
        <v>18282556</v>
      </c>
      <c r="H762" s="1">
        <v>0</v>
      </c>
      <c r="I762" s="1">
        <v>12565798</v>
      </c>
      <c r="J762" s="1">
        <v>0</v>
      </c>
      <c r="K762" s="1">
        <v>4125000</v>
      </c>
      <c r="L762" s="1">
        <v>0</v>
      </c>
      <c r="M762" s="1">
        <v>1000000</v>
      </c>
      <c r="N762" s="1">
        <v>2465048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8146246</v>
      </c>
      <c r="W762" s="1">
        <v>1900000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5520480</v>
      </c>
      <c r="AD762" s="1">
        <v>0</v>
      </c>
      <c r="AE762" s="1">
        <v>1760748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4417698</v>
      </c>
      <c r="AM762" s="1">
        <v>0</v>
      </c>
      <c r="AN762" s="1">
        <v>0</v>
      </c>
      <c r="AO762" s="1">
        <v>76328787</v>
      </c>
      <c r="AP762" s="1">
        <v>33779402</v>
      </c>
      <c r="AQ762" s="1">
        <v>42549385</v>
      </c>
      <c r="AR762" s="1">
        <v>15265758</v>
      </c>
      <c r="AS762" s="1">
        <v>2289863</v>
      </c>
      <c r="AT762" s="1">
        <f t="shared" si="78"/>
        <v>93884408</v>
      </c>
    </row>
    <row r="763" spans="1:46" x14ac:dyDescent="0.2">
      <c r="A763" s="1" t="str">
        <f>"00872"</f>
        <v>00872</v>
      </c>
      <c r="B763" s="1" t="str">
        <f>"سيدرضا"</f>
        <v>سيدرضا</v>
      </c>
      <c r="C763" s="1" t="str">
        <f>"شجاع الدين"</f>
        <v>شجاع الدين</v>
      </c>
      <c r="D763" s="1" t="str">
        <f t="shared" si="83"/>
        <v>قراردادي بهره بردار</v>
      </c>
      <c r="E763" s="1" t="str">
        <f t="shared" ref="E763:E780" si="84">"پروژه تعميرات نيروگاه بوشهر"</f>
        <v>پروژه تعميرات نيروگاه بوشهر</v>
      </c>
      <c r="F763" s="1">
        <v>17956633</v>
      </c>
      <c r="G763" s="1">
        <v>6974301</v>
      </c>
      <c r="H763" s="1">
        <v>0</v>
      </c>
      <c r="I763" s="1">
        <v>12967375</v>
      </c>
      <c r="J763" s="1">
        <v>0</v>
      </c>
      <c r="K763" s="1">
        <v>5500000</v>
      </c>
      <c r="L763" s="1">
        <v>0</v>
      </c>
      <c r="M763" s="1">
        <v>1000000</v>
      </c>
      <c r="N763" s="1">
        <v>2965228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18486555</v>
      </c>
      <c r="W763" s="1">
        <v>1900000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2118020</v>
      </c>
      <c r="AF763" s="1">
        <v>1516881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4475391</v>
      </c>
      <c r="AM763" s="1">
        <v>0</v>
      </c>
      <c r="AN763" s="1">
        <v>0</v>
      </c>
      <c r="AO763" s="1">
        <v>75860384</v>
      </c>
      <c r="AP763" s="1">
        <v>9711271</v>
      </c>
      <c r="AQ763" s="1">
        <v>66149113</v>
      </c>
      <c r="AR763" s="1">
        <v>14868700</v>
      </c>
      <c r="AS763" s="1">
        <v>2230303</v>
      </c>
      <c r="AT763" s="1">
        <f t="shared" si="78"/>
        <v>92959387</v>
      </c>
    </row>
    <row r="764" spans="1:46" x14ac:dyDescent="0.2">
      <c r="A764" s="1" t="str">
        <f>"00873"</f>
        <v>00873</v>
      </c>
      <c r="B764" s="1" t="str">
        <f>"علي"</f>
        <v>علي</v>
      </c>
      <c r="C764" s="1" t="str">
        <f>"شهرياري"</f>
        <v>شهرياري</v>
      </c>
      <c r="D764" s="1" t="str">
        <f t="shared" si="83"/>
        <v>قراردادي بهره بردار</v>
      </c>
      <c r="E764" s="1" t="str">
        <f t="shared" si="84"/>
        <v>پروژه تعميرات نيروگاه بوشهر</v>
      </c>
      <c r="F764" s="1">
        <v>14727852</v>
      </c>
      <c r="G764" s="1">
        <v>2370125</v>
      </c>
      <c r="H764" s="1">
        <v>0</v>
      </c>
      <c r="I764" s="1">
        <v>11621180</v>
      </c>
      <c r="J764" s="1">
        <v>0</v>
      </c>
      <c r="K764" s="1">
        <v>4620000</v>
      </c>
      <c r="L764" s="1">
        <v>0</v>
      </c>
      <c r="M764" s="1">
        <v>1000000</v>
      </c>
      <c r="N764" s="1">
        <v>2873717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8327617</v>
      </c>
      <c r="W764" s="1">
        <v>1900000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2052655</v>
      </c>
      <c r="AF764" s="1">
        <v>1516881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8379914</v>
      </c>
      <c r="AM764" s="1">
        <v>0</v>
      </c>
      <c r="AN764" s="1">
        <v>0</v>
      </c>
      <c r="AO764" s="1">
        <v>59389941</v>
      </c>
      <c r="AP764" s="1">
        <v>11717650</v>
      </c>
      <c r="AQ764" s="1">
        <v>47672291</v>
      </c>
      <c r="AR764" s="1">
        <v>11574612</v>
      </c>
      <c r="AS764" s="1">
        <v>1736192</v>
      </c>
      <c r="AT764" s="1">
        <f t="shared" si="78"/>
        <v>72700745</v>
      </c>
    </row>
    <row r="765" spans="1:46" x14ac:dyDescent="0.2">
      <c r="A765" s="1" t="str">
        <f>"00874"</f>
        <v>00874</v>
      </c>
      <c r="B765" s="1" t="str">
        <f>"مجيد"</f>
        <v>مجيد</v>
      </c>
      <c r="C765" s="1" t="str">
        <f>"صادقي"</f>
        <v>صادقي</v>
      </c>
      <c r="D765" s="1" t="str">
        <f t="shared" si="83"/>
        <v>قراردادي بهره بردار</v>
      </c>
      <c r="E765" s="1" t="str">
        <f t="shared" si="84"/>
        <v>پروژه تعميرات نيروگاه بوشهر</v>
      </c>
      <c r="F765" s="1">
        <v>18221965</v>
      </c>
      <c r="G765" s="1">
        <v>14260553</v>
      </c>
      <c r="H765" s="1">
        <v>0</v>
      </c>
      <c r="I765" s="1">
        <v>13736645</v>
      </c>
      <c r="J765" s="1">
        <v>0</v>
      </c>
      <c r="K765" s="1">
        <v>4125000</v>
      </c>
      <c r="L765" s="1">
        <v>0</v>
      </c>
      <c r="M765" s="1">
        <v>1000000</v>
      </c>
      <c r="N765" s="1">
        <v>3019396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16448162</v>
      </c>
      <c r="W765" s="1">
        <v>1900000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2156711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6149903</v>
      </c>
      <c r="AM765" s="1">
        <v>0</v>
      </c>
      <c r="AN765" s="1">
        <v>0</v>
      </c>
      <c r="AO765" s="1">
        <v>81018335</v>
      </c>
      <c r="AP765" s="1">
        <v>33209617</v>
      </c>
      <c r="AQ765" s="1">
        <v>47808718</v>
      </c>
      <c r="AR765" s="1">
        <v>16088758</v>
      </c>
      <c r="AS765" s="1">
        <v>2413315</v>
      </c>
      <c r="AT765" s="1">
        <f t="shared" si="78"/>
        <v>99520408</v>
      </c>
    </row>
    <row r="766" spans="1:46" x14ac:dyDescent="0.2">
      <c r="A766" s="1" t="str">
        <f>"00875"</f>
        <v>00875</v>
      </c>
      <c r="B766" s="1" t="str">
        <f>"امين"</f>
        <v>امين</v>
      </c>
      <c r="C766" s="1" t="str">
        <f>"عطايي"</f>
        <v>عطايي</v>
      </c>
      <c r="D766" s="1" t="str">
        <f t="shared" si="83"/>
        <v>قراردادي بهره بردار</v>
      </c>
      <c r="E766" s="1" t="str">
        <f t="shared" si="84"/>
        <v>پروژه تعميرات نيروگاه بوشهر</v>
      </c>
      <c r="F766" s="1">
        <v>24239729</v>
      </c>
      <c r="G766" s="1">
        <v>9704122</v>
      </c>
      <c r="H766" s="1">
        <v>13356000</v>
      </c>
      <c r="I766" s="1">
        <v>17963445</v>
      </c>
      <c r="J766" s="1">
        <v>0</v>
      </c>
      <c r="K766" s="1">
        <v>5500000</v>
      </c>
      <c r="L766" s="1">
        <v>0</v>
      </c>
      <c r="M766" s="1">
        <v>1000000</v>
      </c>
      <c r="N766" s="1">
        <v>3607481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9008210</v>
      </c>
      <c r="W766" s="1">
        <v>1900000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2576774</v>
      </c>
      <c r="AF766" s="1">
        <v>1516881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4602040</v>
      </c>
      <c r="AM766" s="1">
        <v>0</v>
      </c>
      <c r="AN766" s="1">
        <v>0</v>
      </c>
      <c r="AO766" s="1">
        <v>94974682</v>
      </c>
      <c r="AP766" s="1">
        <v>32767652</v>
      </c>
      <c r="AQ766" s="1">
        <v>62207030</v>
      </c>
      <c r="AR766" s="1">
        <v>16020362</v>
      </c>
      <c r="AS766" s="1">
        <v>2403055</v>
      </c>
      <c r="AT766" s="1">
        <f t="shared" si="78"/>
        <v>113398099</v>
      </c>
    </row>
    <row r="767" spans="1:46" x14ac:dyDescent="0.2">
      <c r="A767" s="1" t="str">
        <f>"00876"</f>
        <v>00876</v>
      </c>
      <c r="B767" s="1" t="str">
        <f>"يحيي"</f>
        <v>يحيي</v>
      </c>
      <c r="C767" s="1" t="str">
        <f>"غلامي"</f>
        <v>غلامي</v>
      </c>
      <c r="D767" s="1" t="str">
        <f t="shared" si="83"/>
        <v>قراردادي بهره بردار</v>
      </c>
      <c r="E767" s="1" t="str">
        <f t="shared" si="84"/>
        <v>پروژه تعميرات نيروگاه بوشهر</v>
      </c>
      <c r="F767" s="1">
        <v>18204440</v>
      </c>
      <c r="G767" s="1">
        <v>0</v>
      </c>
      <c r="H767" s="1">
        <v>0</v>
      </c>
      <c r="I767" s="1">
        <v>14845260</v>
      </c>
      <c r="J767" s="1">
        <v>0</v>
      </c>
      <c r="K767" s="1">
        <v>5500000</v>
      </c>
      <c r="L767" s="1">
        <v>0</v>
      </c>
      <c r="M767" s="1">
        <v>1000000</v>
      </c>
      <c r="N767" s="1">
        <v>3013262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9937063</v>
      </c>
      <c r="W767" s="1">
        <v>1900000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2152330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6953176</v>
      </c>
      <c r="AM767" s="1">
        <v>0</v>
      </c>
      <c r="AN767" s="1">
        <v>0</v>
      </c>
      <c r="AO767" s="1">
        <v>63505531</v>
      </c>
      <c r="AP767" s="1">
        <v>35910937</v>
      </c>
      <c r="AQ767" s="1">
        <v>27594594</v>
      </c>
      <c r="AR767" s="1">
        <v>12701106</v>
      </c>
      <c r="AS767" s="1">
        <v>1905166</v>
      </c>
      <c r="AT767" s="1">
        <f t="shared" si="78"/>
        <v>78111803</v>
      </c>
    </row>
    <row r="768" spans="1:46" x14ac:dyDescent="0.2">
      <c r="A768" s="1" t="str">
        <f>"00877"</f>
        <v>00877</v>
      </c>
      <c r="B768" s="1" t="str">
        <f>"مجتبي"</f>
        <v>مجتبي</v>
      </c>
      <c r="C768" s="1" t="str">
        <f>"محمدپور شورباخلو"</f>
        <v>محمدپور شورباخلو</v>
      </c>
      <c r="D768" s="1" t="str">
        <f t="shared" si="83"/>
        <v>قراردادي بهره بردار</v>
      </c>
      <c r="E768" s="1" t="str">
        <f t="shared" si="84"/>
        <v>پروژه تعميرات نيروگاه بوشهر</v>
      </c>
      <c r="F768" s="1">
        <v>18728742</v>
      </c>
      <c r="G768" s="1">
        <v>3827025</v>
      </c>
      <c r="H768" s="1">
        <v>0</v>
      </c>
      <c r="I768" s="1">
        <v>14819496</v>
      </c>
      <c r="J768" s="1">
        <v>0</v>
      </c>
      <c r="K768" s="1">
        <v>4125000</v>
      </c>
      <c r="L768" s="1">
        <v>0</v>
      </c>
      <c r="M768" s="1">
        <v>1000000</v>
      </c>
      <c r="N768" s="1">
        <v>3196768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9803485</v>
      </c>
      <c r="W768" s="1">
        <v>1900000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2283408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5532891</v>
      </c>
      <c r="AM768" s="1">
        <v>0</v>
      </c>
      <c r="AN768" s="1">
        <v>0</v>
      </c>
      <c r="AO768" s="1">
        <v>65216815</v>
      </c>
      <c r="AP768" s="1">
        <v>9945941</v>
      </c>
      <c r="AQ768" s="1">
        <v>55270874</v>
      </c>
      <c r="AR768" s="1">
        <v>13043363</v>
      </c>
      <c r="AS768" s="1">
        <v>1956504</v>
      </c>
      <c r="AT768" s="1">
        <f t="shared" si="78"/>
        <v>80216682</v>
      </c>
    </row>
    <row r="769" spans="1:46" x14ac:dyDescent="0.2">
      <c r="A769" s="1" t="str">
        <f>"00878"</f>
        <v>00878</v>
      </c>
      <c r="B769" s="1" t="str">
        <f>"سجاد"</f>
        <v>سجاد</v>
      </c>
      <c r="C769" s="1" t="str">
        <f>"محمدي"</f>
        <v>محمدي</v>
      </c>
      <c r="D769" s="1" t="str">
        <f t="shared" si="83"/>
        <v>قراردادي بهره بردار</v>
      </c>
      <c r="E769" s="1" t="str">
        <f t="shared" si="84"/>
        <v>پروژه تعميرات نيروگاه بوشهر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980564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980564</v>
      </c>
      <c r="AP769" s="1">
        <v>980564</v>
      </c>
      <c r="AQ769" s="1">
        <v>0</v>
      </c>
      <c r="AR769" s="1">
        <v>0</v>
      </c>
      <c r="AS769" s="1">
        <v>0</v>
      </c>
      <c r="AT769" s="1">
        <f t="shared" si="78"/>
        <v>980564</v>
      </c>
    </row>
    <row r="770" spans="1:46" x14ac:dyDescent="0.2">
      <c r="A770" s="1" t="str">
        <f>"00879"</f>
        <v>00879</v>
      </c>
      <c r="B770" s="1" t="str">
        <f>"ايوب"</f>
        <v>ايوب</v>
      </c>
      <c r="C770" s="1" t="str">
        <f>"محمودآبادي"</f>
        <v>محمودآبادي</v>
      </c>
      <c r="D770" s="1" t="str">
        <f t="shared" si="83"/>
        <v>قراردادي بهره بردار</v>
      </c>
      <c r="E770" s="1" t="str">
        <f t="shared" si="84"/>
        <v>پروژه تعميرات نيروگاه بوشهر</v>
      </c>
      <c r="F770" s="1">
        <v>13707001</v>
      </c>
      <c r="G770" s="1">
        <v>3157569</v>
      </c>
      <c r="H770" s="1">
        <v>0</v>
      </c>
      <c r="I770" s="1">
        <v>11012848</v>
      </c>
      <c r="J770" s="1">
        <v>0</v>
      </c>
      <c r="K770" s="1">
        <v>3465000</v>
      </c>
      <c r="L770" s="1">
        <v>0</v>
      </c>
      <c r="M770" s="1">
        <v>1000000</v>
      </c>
      <c r="N770" s="1">
        <v>2516419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8069179</v>
      </c>
      <c r="W770" s="1">
        <v>1900000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1797442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7644375</v>
      </c>
      <c r="AM770" s="1">
        <v>0</v>
      </c>
      <c r="AN770" s="1">
        <v>0</v>
      </c>
      <c r="AO770" s="1">
        <v>54269833</v>
      </c>
      <c r="AP770" s="1">
        <v>19441751</v>
      </c>
      <c r="AQ770" s="1">
        <v>34828082</v>
      </c>
      <c r="AR770" s="1">
        <v>10853967</v>
      </c>
      <c r="AS770" s="1">
        <v>1628095</v>
      </c>
      <c r="AT770" s="1">
        <f t="shared" si="78"/>
        <v>66751895</v>
      </c>
    </row>
    <row r="771" spans="1:46" x14ac:dyDescent="0.2">
      <c r="A771" s="1" t="str">
        <f>"00880"</f>
        <v>00880</v>
      </c>
      <c r="B771" s="1" t="str">
        <f>"جاويد"</f>
        <v>جاويد</v>
      </c>
      <c r="C771" s="1" t="str">
        <f>"ميرشکاري"</f>
        <v>ميرشکاري</v>
      </c>
      <c r="D771" s="1" t="str">
        <f t="shared" si="83"/>
        <v>قراردادي بهره بردار</v>
      </c>
      <c r="E771" s="1" t="str">
        <f t="shared" si="84"/>
        <v>پروژه تعميرات نيروگاه بوشهر</v>
      </c>
      <c r="F771" s="1">
        <v>13157144</v>
      </c>
      <c r="G771" s="1">
        <v>2595757</v>
      </c>
      <c r="H771" s="1">
        <v>0</v>
      </c>
      <c r="I771" s="1">
        <v>10502405</v>
      </c>
      <c r="J771" s="1">
        <v>0</v>
      </c>
      <c r="K771" s="1">
        <v>3465000</v>
      </c>
      <c r="L771" s="1">
        <v>0</v>
      </c>
      <c r="M771" s="1">
        <v>1000000</v>
      </c>
      <c r="N771" s="1">
        <v>2323969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14470519</v>
      </c>
      <c r="W771" s="1">
        <v>1900000</v>
      </c>
      <c r="X771" s="1">
        <v>1909908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1659978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10436818</v>
      </c>
      <c r="AM771" s="1">
        <v>0</v>
      </c>
      <c r="AN771" s="1">
        <v>0</v>
      </c>
      <c r="AO771" s="1">
        <v>63421498</v>
      </c>
      <c r="AP771" s="1">
        <v>23995074</v>
      </c>
      <c r="AQ771" s="1">
        <v>39426424</v>
      </c>
      <c r="AR771" s="1">
        <v>12684300</v>
      </c>
      <c r="AS771" s="1">
        <v>1902645</v>
      </c>
      <c r="AT771" s="1">
        <f t="shared" ref="AT771:AT834" si="85">AO771+AR771+AS771</f>
        <v>78008443</v>
      </c>
    </row>
    <row r="772" spans="1:46" x14ac:dyDescent="0.2">
      <c r="A772" s="1" t="str">
        <f>"00882"</f>
        <v>00882</v>
      </c>
      <c r="B772" s="1" t="str">
        <f>"امين"</f>
        <v>امين</v>
      </c>
      <c r="C772" s="1" t="str">
        <f>"يزدي"</f>
        <v>يزدي</v>
      </c>
      <c r="D772" s="1" t="str">
        <f t="shared" si="83"/>
        <v>قراردادي بهره بردار</v>
      </c>
      <c r="E772" s="1" t="str">
        <f t="shared" si="84"/>
        <v>پروژه تعميرات نيروگاه بوشهر</v>
      </c>
      <c r="F772" s="1">
        <v>18526468</v>
      </c>
      <c r="G772" s="1">
        <v>12791035</v>
      </c>
      <c r="H772" s="1">
        <v>0</v>
      </c>
      <c r="I772" s="1">
        <v>13317041</v>
      </c>
      <c r="J772" s="1">
        <v>0</v>
      </c>
      <c r="K772" s="1">
        <v>5500000</v>
      </c>
      <c r="L772" s="1">
        <v>0</v>
      </c>
      <c r="M772" s="1">
        <v>1000000</v>
      </c>
      <c r="N772" s="1">
        <v>3125972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8392002</v>
      </c>
      <c r="W772" s="1">
        <v>1900000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2232837</v>
      </c>
      <c r="AF772" s="1">
        <v>3033762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4757690</v>
      </c>
      <c r="AM772" s="1">
        <v>0</v>
      </c>
      <c r="AN772" s="1">
        <v>0</v>
      </c>
      <c r="AO772" s="1">
        <v>74576807</v>
      </c>
      <c r="AP772" s="1">
        <v>35365573</v>
      </c>
      <c r="AQ772" s="1">
        <v>39211234</v>
      </c>
      <c r="AR772" s="1">
        <v>14308609</v>
      </c>
      <c r="AS772" s="1">
        <v>2146291</v>
      </c>
      <c r="AT772" s="1">
        <f t="shared" si="85"/>
        <v>91031707</v>
      </c>
    </row>
    <row r="773" spans="1:46" x14ac:dyDescent="0.2">
      <c r="A773" s="1" t="str">
        <f>"00883"</f>
        <v>00883</v>
      </c>
      <c r="B773" s="1" t="str">
        <f>"حميد"</f>
        <v>حميد</v>
      </c>
      <c r="C773" s="1" t="str">
        <f>"بادروح"</f>
        <v>بادروح</v>
      </c>
      <c r="D773" s="1" t="str">
        <f t="shared" si="83"/>
        <v>قراردادي بهره بردار</v>
      </c>
      <c r="E773" s="1" t="str">
        <f t="shared" si="84"/>
        <v>پروژه تعميرات نيروگاه بوشهر</v>
      </c>
      <c r="F773" s="1">
        <v>18191296</v>
      </c>
      <c r="G773" s="1">
        <v>9377475</v>
      </c>
      <c r="H773" s="1">
        <v>0</v>
      </c>
      <c r="I773" s="1">
        <v>12949519</v>
      </c>
      <c r="J773" s="1">
        <v>0</v>
      </c>
      <c r="K773" s="1">
        <v>4125000</v>
      </c>
      <c r="L773" s="1">
        <v>0</v>
      </c>
      <c r="M773" s="1">
        <v>1000000</v>
      </c>
      <c r="N773" s="1">
        <v>3008662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6809252</v>
      </c>
      <c r="W773" s="1">
        <v>1900000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2149044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4353731</v>
      </c>
      <c r="AM773" s="1">
        <v>0</v>
      </c>
      <c r="AN773" s="1">
        <v>0</v>
      </c>
      <c r="AO773" s="1">
        <v>63863979</v>
      </c>
      <c r="AP773" s="1">
        <v>25719702</v>
      </c>
      <c r="AQ773" s="1">
        <v>38144277</v>
      </c>
      <c r="AR773" s="1">
        <v>12772796</v>
      </c>
      <c r="AS773" s="1">
        <v>1915919</v>
      </c>
      <c r="AT773" s="1">
        <f t="shared" si="85"/>
        <v>78552694</v>
      </c>
    </row>
    <row r="774" spans="1:46" x14ac:dyDescent="0.2">
      <c r="A774" s="1" t="str">
        <f>"00884"</f>
        <v>00884</v>
      </c>
      <c r="B774" s="1" t="str">
        <f>"صادق"</f>
        <v>صادق</v>
      </c>
      <c r="C774" s="1" t="str">
        <f>"بناري"</f>
        <v>بناري</v>
      </c>
      <c r="D774" s="1" t="str">
        <f t="shared" si="83"/>
        <v>قراردادي بهره بردار</v>
      </c>
      <c r="E774" s="1" t="str">
        <f t="shared" si="84"/>
        <v>پروژه تعميرات نيروگاه بوشهر</v>
      </c>
      <c r="F774" s="1">
        <v>18515515</v>
      </c>
      <c r="G774" s="1">
        <v>4177460</v>
      </c>
      <c r="H774" s="1">
        <v>0</v>
      </c>
      <c r="I774" s="1">
        <v>14023946</v>
      </c>
      <c r="J774" s="1">
        <v>0</v>
      </c>
      <c r="K774" s="1">
        <v>4125000</v>
      </c>
      <c r="L774" s="1">
        <v>0</v>
      </c>
      <c r="M774" s="1">
        <v>1000000</v>
      </c>
      <c r="N774" s="1">
        <v>3122138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7077870</v>
      </c>
      <c r="W774" s="1">
        <v>1900000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2230099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4364246</v>
      </c>
      <c r="AM774" s="1">
        <v>0</v>
      </c>
      <c r="AN774" s="1">
        <v>0</v>
      </c>
      <c r="AO774" s="1">
        <v>60536274</v>
      </c>
      <c r="AP774" s="1">
        <v>25421972</v>
      </c>
      <c r="AQ774" s="1">
        <v>35114302</v>
      </c>
      <c r="AR774" s="1">
        <v>12107255</v>
      </c>
      <c r="AS774" s="1">
        <v>1816088</v>
      </c>
      <c r="AT774" s="1">
        <f t="shared" si="85"/>
        <v>74459617</v>
      </c>
    </row>
    <row r="775" spans="1:46" x14ac:dyDescent="0.2">
      <c r="A775" s="1" t="str">
        <f>"00886"</f>
        <v>00886</v>
      </c>
      <c r="B775" s="1" t="str">
        <f>"سيد محمد علي"</f>
        <v>سيد محمد علي</v>
      </c>
      <c r="C775" s="1" t="str">
        <f>"مير بهرسي"</f>
        <v>مير بهرسي</v>
      </c>
      <c r="D775" s="1" t="str">
        <f>"قراردادي کارگري"</f>
        <v>قراردادي کارگري</v>
      </c>
      <c r="E775" s="1" t="str">
        <f t="shared" si="84"/>
        <v>پروژه تعميرات نيروگاه بوشهر</v>
      </c>
      <c r="F775" s="1">
        <v>7989359</v>
      </c>
      <c r="G775" s="1">
        <v>3652067</v>
      </c>
      <c r="H775" s="1">
        <v>0</v>
      </c>
      <c r="I775" s="1">
        <v>5752338</v>
      </c>
      <c r="J775" s="1">
        <v>0</v>
      </c>
      <c r="K775" s="1">
        <v>0</v>
      </c>
      <c r="L775" s="1">
        <v>7628143</v>
      </c>
      <c r="M775" s="1">
        <v>1000000</v>
      </c>
      <c r="N775" s="1">
        <v>4204926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8928574</v>
      </c>
      <c r="W775" s="1">
        <v>1900000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3033762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44089169</v>
      </c>
      <c r="AP775" s="1">
        <v>11767836</v>
      </c>
      <c r="AQ775" s="1">
        <v>32321333</v>
      </c>
      <c r="AR775" s="1">
        <v>8211081</v>
      </c>
      <c r="AS775" s="1">
        <v>1231662</v>
      </c>
      <c r="AT775" s="1">
        <f t="shared" si="85"/>
        <v>53531912</v>
      </c>
    </row>
    <row r="776" spans="1:46" x14ac:dyDescent="0.2">
      <c r="A776" s="1" t="str">
        <f>"00887"</f>
        <v>00887</v>
      </c>
      <c r="B776" s="1" t="str">
        <f>"عبدالحسين"</f>
        <v>عبدالحسين</v>
      </c>
      <c r="C776" s="1" t="str">
        <f>"بچاچري نژاد"</f>
        <v>بچاچري نژاد</v>
      </c>
      <c r="D776" s="1" t="str">
        <f>"قراردادي کارگري"</f>
        <v>قراردادي کارگري</v>
      </c>
      <c r="E776" s="1" t="str">
        <f t="shared" si="84"/>
        <v>پروژه تعميرات نيروگاه بوشهر</v>
      </c>
      <c r="F776" s="1">
        <v>9586792</v>
      </c>
      <c r="G776" s="1">
        <v>4940736</v>
      </c>
      <c r="H776" s="1">
        <v>0</v>
      </c>
      <c r="I776" s="1">
        <v>6902490</v>
      </c>
      <c r="J776" s="1">
        <v>0</v>
      </c>
      <c r="K776" s="1">
        <v>0</v>
      </c>
      <c r="L776" s="1">
        <v>7628143</v>
      </c>
      <c r="M776" s="1">
        <v>1000000</v>
      </c>
      <c r="N776" s="1">
        <v>5112956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9668115</v>
      </c>
      <c r="W776" s="1">
        <v>1900000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0</v>
      </c>
      <c r="AF776" s="1">
        <v>4550643</v>
      </c>
      <c r="AG776" s="1">
        <v>0</v>
      </c>
      <c r="AH776" s="1">
        <v>0</v>
      </c>
      <c r="AI776" s="1">
        <v>0</v>
      </c>
      <c r="AJ776" s="1">
        <v>3513413</v>
      </c>
      <c r="AK776" s="1">
        <v>0</v>
      </c>
      <c r="AL776" s="1">
        <v>0</v>
      </c>
      <c r="AM776" s="1">
        <v>0</v>
      </c>
      <c r="AN776" s="1">
        <v>2923038</v>
      </c>
      <c r="AO776" s="1">
        <v>57726326</v>
      </c>
      <c r="AP776" s="1">
        <v>7203264</v>
      </c>
      <c r="AQ776" s="1">
        <v>50523062</v>
      </c>
      <c r="AR776" s="1">
        <v>10635137</v>
      </c>
      <c r="AS776" s="1">
        <v>1595270</v>
      </c>
      <c r="AT776" s="1">
        <f t="shared" si="85"/>
        <v>69956733</v>
      </c>
    </row>
    <row r="777" spans="1:46" x14ac:dyDescent="0.2">
      <c r="A777" s="1" t="str">
        <f>"00888"</f>
        <v>00888</v>
      </c>
      <c r="B777" s="1" t="str">
        <f>"جواد"</f>
        <v>جواد</v>
      </c>
      <c r="C777" s="1" t="str">
        <f>"رحيم زاده کچوئي"</f>
        <v>رحيم زاده کچوئي</v>
      </c>
      <c r="D777" s="1" t="str">
        <f>"قراردادي بهره بردار"</f>
        <v>قراردادي بهره بردار</v>
      </c>
      <c r="E777" s="1" t="str">
        <f t="shared" si="84"/>
        <v>پروژه تعميرات نيروگاه بوشهر</v>
      </c>
      <c r="F777" s="1">
        <v>15363145</v>
      </c>
      <c r="G777" s="1">
        <v>5053260</v>
      </c>
      <c r="H777" s="1">
        <v>0</v>
      </c>
      <c r="I777" s="1">
        <v>10877088</v>
      </c>
      <c r="J777" s="1">
        <v>0</v>
      </c>
      <c r="K777" s="1">
        <v>4620000</v>
      </c>
      <c r="L777" s="1">
        <v>0</v>
      </c>
      <c r="M777" s="1">
        <v>1000000</v>
      </c>
      <c r="N777" s="1">
        <v>2498017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8071014</v>
      </c>
      <c r="W777" s="1">
        <v>1900000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1784298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6163879</v>
      </c>
      <c r="AM777" s="1">
        <v>0</v>
      </c>
      <c r="AN777" s="1">
        <v>0</v>
      </c>
      <c r="AO777" s="1">
        <v>57330701</v>
      </c>
      <c r="AP777" s="1">
        <v>9829215</v>
      </c>
      <c r="AQ777" s="1">
        <v>47501486</v>
      </c>
      <c r="AR777" s="1">
        <v>11466140</v>
      </c>
      <c r="AS777" s="1">
        <v>1719921</v>
      </c>
      <c r="AT777" s="1">
        <f t="shared" si="85"/>
        <v>70516762</v>
      </c>
    </row>
    <row r="778" spans="1:46" x14ac:dyDescent="0.2">
      <c r="A778" s="1" t="str">
        <f>"00890"</f>
        <v>00890</v>
      </c>
      <c r="B778" s="1" t="str">
        <f>"محمدرضا"</f>
        <v>محمدرضا</v>
      </c>
      <c r="C778" s="1" t="str">
        <f>"راه پيماي فرد حقيقي"</f>
        <v>راه پيماي فرد حقيقي</v>
      </c>
      <c r="D778" s="1" t="str">
        <f>"قراردادي کارگري"</f>
        <v>قراردادي کارگري</v>
      </c>
      <c r="E778" s="1" t="str">
        <f t="shared" si="84"/>
        <v>پروژه تعميرات نيروگاه بوشهر</v>
      </c>
      <c r="F778" s="1">
        <v>9558559</v>
      </c>
      <c r="G778" s="1">
        <v>5907031</v>
      </c>
      <c r="H778" s="1">
        <v>0</v>
      </c>
      <c r="I778" s="1">
        <v>5735135</v>
      </c>
      <c r="J778" s="1">
        <v>0</v>
      </c>
      <c r="K778" s="1">
        <v>0</v>
      </c>
      <c r="L778" s="1">
        <v>7628143</v>
      </c>
      <c r="M778" s="1">
        <v>1000000</v>
      </c>
      <c r="N778" s="1">
        <v>5064137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6893637</v>
      </c>
      <c r="W778" s="1">
        <v>1900000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1516881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45203523</v>
      </c>
      <c r="AP778" s="1">
        <v>6625539</v>
      </c>
      <c r="AQ778" s="1">
        <v>38577984</v>
      </c>
      <c r="AR778" s="1">
        <v>8737328</v>
      </c>
      <c r="AS778" s="1">
        <v>1310599</v>
      </c>
      <c r="AT778" s="1">
        <f t="shared" si="85"/>
        <v>55251450</v>
      </c>
    </row>
    <row r="779" spans="1:46" x14ac:dyDescent="0.2">
      <c r="A779" s="1" t="str">
        <f>"00891"</f>
        <v>00891</v>
      </c>
      <c r="B779" s="1" t="str">
        <f>"غلامرضا"</f>
        <v>غلامرضا</v>
      </c>
      <c r="C779" s="1" t="str">
        <f>"مسافر"</f>
        <v>مسافر</v>
      </c>
      <c r="D779" s="1" t="str">
        <f>"قراردادي کارگري"</f>
        <v>قراردادي کارگري</v>
      </c>
      <c r="E779" s="1" t="str">
        <f t="shared" si="84"/>
        <v>پروژه تعميرات نيروگاه بوشهر</v>
      </c>
      <c r="F779" s="1">
        <v>5663876</v>
      </c>
      <c r="G779" s="1">
        <v>9362847</v>
      </c>
      <c r="H779" s="1">
        <v>0</v>
      </c>
      <c r="I779" s="1">
        <v>3398325</v>
      </c>
      <c r="J779" s="1">
        <v>0</v>
      </c>
      <c r="K779" s="1">
        <v>0</v>
      </c>
      <c r="L779" s="1">
        <v>7672721</v>
      </c>
      <c r="M779" s="1">
        <v>1000000</v>
      </c>
      <c r="N779" s="1">
        <v>2813182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6988880</v>
      </c>
      <c r="W779" s="1">
        <v>1900000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1516881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40316712</v>
      </c>
      <c r="AP779" s="1">
        <v>5965726</v>
      </c>
      <c r="AQ779" s="1">
        <v>34350986</v>
      </c>
      <c r="AR779" s="1">
        <v>7759966</v>
      </c>
      <c r="AS779" s="1">
        <v>1163995</v>
      </c>
      <c r="AT779" s="1">
        <f t="shared" si="85"/>
        <v>49240673</v>
      </c>
    </row>
    <row r="780" spans="1:46" x14ac:dyDescent="0.2">
      <c r="A780" s="1" t="str">
        <f>"00892"</f>
        <v>00892</v>
      </c>
      <c r="B780" s="1" t="str">
        <f>"اسلام"</f>
        <v>اسلام</v>
      </c>
      <c r="C780" s="1" t="str">
        <f>"دست نشان"</f>
        <v>دست نشان</v>
      </c>
      <c r="D780" s="1" t="str">
        <f>"قراردادي کارگري"</f>
        <v>قراردادي کارگري</v>
      </c>
      <c r="E780" s="1" t="str">
        <f t="shared" si="84"/>
        <v>پروژه تعميرات نيروگاه بوشهر</v>
      </c>
      <c r="F780" s="1">
        <v>8712854</v>
      </c>
      <c r="G780" s="1">
        <v>12416271</v>
      </c>
      <c r="H780" s="1">
        <v>0</v>
      </c>
      <c r="I780" s="1">
        <v>5227712</v>
      </c>
      <c r="J780" s="1">
        <v>0</v>
      </c>
      <c r="K780" s="1">
        <v>0</v>
      </c>
      <c r="L780" s="1">
        <v>7628143</v>
      </c>
      <c r="M780" s="1">
        <v>1000000</v>
      </c>
      <c r="N780" s="1">
        <v>4585712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9036838</v>
      </c>
      <c r="W780" s="1">
        <v>1900000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3033762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53541292</v>
      </c>
      <c r="AP780" s="1">
        <v>5636103</v>
      </c>
      <c r="AQ780" s="1">
        <v>47905189</v>
      </c>
      <c r="AR780" s="1">
        <v>10101506</v>
      </c>
      <c r="AS780" s="1">
        <v>1515226</v>
      </c>
      <c r="AT780" s="1">
        <f t="shared" si="85"/>
        <v>65158024</v>
      </c>
    </row>
    <row r="781" spans="1:46" x14ac:dyDescent="0.2">
      <c r="A781" s="1" t="str">
        <f>"00893"</f>
        <v>00893</v>
      </c>
      <c r="B781" s="1" t="str">
        <f>"يعقوب"</f>
        <v>يعقوب</v>
      </c>
      <c r="C781" s="1" t="str">
        <f>"صفوي"</f>
        <v>صفوي</v>
      </c>
      <c r="D781" s="1" t="str">
        <f t="shared" ref="D781:D799" si="86">"قراردادي بهره بردار"</f>
        <v>قراردادي بهره بردار</v>
      </c>
      <c r="E781" s="1" t="str">
        <f t="shared" ref="E781:E799" si="87">"پروژه بهره برداري نيروگاه بوشهر"</f>
        <v>پروژه بهره برداري نيروگاه بوشهر</v>
      </c>
      <c r="F781" s="1">
        <v>17873649</v>
      </c>
      <c r="G781" s="1">
        <v>15733098</v>
      </c>
      <c r="H781" s="1">
        <v>0</v>
      </c>
      <c r="I781" s="1">
        <v>18551550</v>
      </c>
      <c r="J781" s="1">
        <v>0</v>
      </c>
      <c r="K781" s="1">
        <v>5500000</v>
      </c>
      <c r="L781" s="1">
        <v>0</v>
      </c>
      <c r="M781" s="1">
        <v>1000000</v>
      </c>
      <c r="N781" s="1">
        <v>2897485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1606000</v>
      </c>
      <c r="U781" s="1">
        <v>0</v>
      </c>
      <c r="V781" s="1">
        <v>19666391</v>
      </c>
      <c r="W781" s="1">
        <v>1900000</v>
      </c>
      <c r="X781" s="1">
        <v>2594562</v>
      </c>
      <c r="Y781" s="1">
        <v>0</v>
      </c>
      <c r="Z781" s="1">
        <v>0</v>
      </c>
      <c r="AA781" s="1">
        <v>0</v>
      </c>
      <c r="AB781" s="1">
        <v>0</v>
      </c>
      <c r="AC781" s="1">
        <v>14217427</v>
      </c>
      <c r="AD781" s="1">
        <v>0</v>
      </c>
      <c r="AE781" s="1">
        <v>2069632</v>
      </c>
      <c r="AF781" s="1">
        <v>1516881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38039728</v>
      </c>
      <c r="AM781" s="1">
        <v>0</v>
      </c>
      <c r="AN781" s="1">
        <v>0</v>
      </c>
      <c r="AO781" s="1">
        <v>143166403</v>
      </c>
      <c r="AP781" s="1">
        <v>26196316</v>
      </c>
      <c r="AQ781" s="1">
        <v>116970087</v>
      </c>
      <c r="AR781" s="1">
        <v>28008704</v>
      </c>
      <c r="AS781" s="1">
        <v>4201306</v>
      </c>
      <c r="AT781" s="1">
        <f t="shared" si="85"/>
        <v>175376413</v>
      </c>
    </row>
    <row r="782" spans="1:46" x14ac:dyDescent="0.2">
      <c r="A782" s="1" t="str">
        <f>"00895"</f>
        <v>00895</v>
      </c>
      <c r="B782" s="1" t="str">
        <f>"رضا"</f>
        <v>رضا</v>
      </c>
      <c r="C782" s="1" t="str">
        <f>"ولي"</f>
        <v>ولي</v>
      </c>
      <c r="D782" s="1" t="str">
        <f t="shared" si="86"/>
        <v>قراردادي بهره بردار</v>
      </c>
      <c r="E782" s="1" t="str">
        <f t="shared" si="87"/>
        <v>پروژه بهره برداري نيروگاه بوشهر</v>
      </c>
      <c r="F782" s="1">
        <v>17799167</v>
      </c>
      <c r="G782" s="1">
        <v>9814921</v>
      </c>
      <c r="H782" s="1">
        <v>0</v>
      </c>
      <c r="I782" s="1">
        <v>13293511</v>
      </c>
      <c r="J782" s="1">
        <v>0</v>
      </c>
      <c r="K782" s="1">
        <v>5500000</v>
      </c>
      <c r="L782" s="1">
        <v>0</v>
      </c>
      <c r="M782" s="1">
        <v>1000000</v>
      </c>
      <c r="N782" s="1">
        <v>2871416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29355931</v>
      </c>
      <c r="W782" s="1">
        <v>1900000</v>
      </c>
      <c r="X782" s="1">
        <v>2660051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2051012</v>
      </c>
      <c r="AF782" s="1">
        <v>7887781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9769935</v>
      </c>
      <c r="AM782" s="1">
        <v>0</v>
      </c>
      <c r="AN782" s="1">
        <v>0</v>
      </c>
      <c r="AO782" s="1">
        <v>103903725</v>
      </c>
      <c r="AP782" s="1">
        <v>23250983</v>
      </c>
      <c r="AQ782" s="1">
        <v>80652742</v>
      </c>
      <c r="AR782" s="1">
        <v>19203188</v>
      </c>
      <c r="AS782" s="1">
        <v>2880480</v>
      </c>
      <c r="AT782" s="1">
        <f t="shared" si="85"/>
        <v>125987393</v>
      </c>
    </row>
    <row r="783" spans="1:46" x14ac:dyDescent="0.2">
      <c r="A783" s="1" t="str">
        <f>"00896"</f>
        <v>00896</v>
      </c>
      <c r="B783" s="1" t="str">
        <f>"سيدجاسم"</f>
        <v>سيدجاسم</v>
      </c>
      <c r="C783" s="1" t="str">
        <f>"حسيني"</f>
        <v>حسيني</v>
      </c>
      <c r="D783" s="1" t="str">
        <f t="shared" si="86"/>
        <v>قراردادي بهره بردار</v>
      </c>
      <c r="E783" s="1" t="str">
        <f t="shared" si="87"/>
        <v>پروژه بهره برداري نيروگاه بوشهر</v>
      </c>
      <c r="F783" s="1">
        <v>17190161</v>
      </c>
      <c r="G783" s="1">
        <v>0</v>
      </c>
      <c r="H783" s="1">
        <v>0</v>
      </c>
      <c r="I783" s="1">
        <v>12566653</v>
      </c>
      <c r="J783" s="1">
        <v>0</v>
      </c>
      <c r="K783" s="1">
        <v>0</v>
      </c>
      <c r="L783" s="1">
        <v>0</v>
      </c>
      <c r="M783" s="1">
        <v>1000000</v>
      </c>
      <c r="N783" s="1">
        <v>2658264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13122893</v>
      </c>
      <c r="W783" s="1">
        <v>1900000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1898760</v>
      </c>
      <c r="AF783" s="1">
        <v>1516881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5756065</v>
      </c>
      <c r="AM783" s="1">
        <v>0</v>
      </c>
      <c r="AN783" s="1">
        <v>0</v>
      </c>
      <c r="AO783" s="1">
        <v>57609677</v>
      </c>
      <c r="AP783" s="1">
        <v>22650697</v>
      </c>
      <c r="AQ783" s="1">
        <v>34958980</v>
      </c>
      <c r="AR783" s="1">
        <v>11218559</v>
      </c>
      <c r="AS783" s="1">
        <v>1682784</v>
      </c>
      <c r="AT783" s="1">
        <f t="shared" si="85"/>
        <v>70511020</v>
      </c>
    </row>
    <row r="784" spans="1:46" x14ac:dyDescent="0.2">
      <c r="A784" s="1" t="str">
        <f>"00897"</f>
        <v>00897</v>
      </c>
      <c r="B784" s="1" t="str">
        <f>"اکبر"</f>
        <v>اکبر</v>
      </c>
      <c r="C784" s="1" t="str">
        <f>"بهاروند"</f>
        <v>بهاروند</v>
      </c>
      <c r="D784" s="1" t="str">
        <f t="shared" si="86"/>
        <v>قراردادي بهره بردار</v>
      </c>
      <c r="E784" s="1" t="str">
        <f t="shared" si="87"/>
        <v>پروژه بهره برداري نيروگاه بوشهر</v>
      </c>
      <c r="F784" s="1">
        <v>12195441</v>
      </c>
      <c r="G784" s="1">
        <v>4323130</v>
      </c>
      <c r="H784" s="1">
        <v>0</v>
      </c>
      <c r="I784" s="1">
        <v>8532295</v>
      </c>
      <c r="J784" s="1">
        <v>0</v>
      </c>
      <c r="K784" s="1">
        <v>4620000</v>
      </c>
      <c r="L784" s="1">
        <v>0</v>
      </c>
      <c r="M784" s="1">
        <v>1000000</v>
      </c>
      <c r="N784" s="1">
        <v>1987373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1606000</v>
      </c>
      <c r="U784" s="1">
        <v>0</v>
      </c>
      <c r="V784" s="1">
        <v>13703556</v>
      </c>
      <c r="W784" s="1">
        <v>1900000</v>
      </c>
      <c r="X784" s="1">
        <v>1770306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1419552</v>
      </c>
      <c r="AF784" s="1">
        <v>1516881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9288646</v>
      </c>
      <c r="AM784" s="1">
        <v>0</v>
      </c>
      <c r="AN784" s="1">
        <v>0</v>
      </c>
      <c r="AO784" s="1">
        <v>63863180</v>
      </c>
      <c r="AP784" s="1">
        <v>30897326</v>
      </c>
      <c r="AQ784" s="1">
        <v>32965854</v>
      </c>
      <c r="AR784" s="1">
        <v>12148060</v>
      </c>
      <c r="AS784" s="1">
        <v>1822209</v>
      </c>
      <c r="AT784" s="1">
        <f t="shared" si="85"/>
        <v>77833449</v>
      </c>
    </row>
    <row r="785" spans="1:46" x14ac:dyDescent="0.2">
      <c r="A785" s="1" t="str">
        <f>"00898"</f>
        <v>00898</v>
      </c>
      <c r="B785" s="1" t="str">
        <f>"محمدرضا"</f>
        <v>محمدرضا</v>
      </c>
      <c r="C785" s="1" t="str">
        <f>"آزادمنش"</f>
        <v>آزادمنش</v>
      </c>
      <c r="D785" s="1" t="str">
        <f t="shared" si="86"/>
        <v>قراردادي بهره بردار</v>
      </c>
      <c r="E785" s="1" t="str">
        <f t="shared" si="87"/>
        <v>پروژه بهره برداري نيروگاه بوشهر</v>
      </c>
      <c r="F785" s="1">
        <v>14353248</v>
      </c>
      <c r="G785" s="1">
        <v>7516415</v>
      </c>
      <c r="H785" s="1">
        <v>0</v>
      </c>
      <c r="I785" s="1">
        <v>11432143</v>
      </c>
      <c r="J785" s="1">
        <v>0</v>
      </c>
      <c r="K785" s="1">
        <v>4620000</v>
      </c>
      <c r="L785" s="1">
        <v>0</v>
      </c>
      <c r="M785" s="1">
        <v>1000000</v>
      </c>
      <c r="N785" s="1">
        <v>2742605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1606000</v>
      </c>
      <c r="U785" s="1">
        <v>0</v>
      </c>
      <c r="V785" s="1">
        <v>9146773</v>
      </c>
      <c r="W785" s="1">
        <v>1900000</v>
      </c>
      <c r="X785" s="1">
        <v>2083536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1959004</v>
      </c>
      <c r="AF785" s="1">
        <v>1516881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11089243</v>
      </c>
      <c r="AM785" s="1">
        <v>0</v>
      </c>
      <c r="AN785" s="1">
        <v>0</v>
      </c>
      <c r="AO785" s="1">
        <v>70965848</v>
      </c>
      <c r="AP785" s="1">
        <v>13417322</v>
      </c>
      <c r="AQ785" s="1">
        <v>57548526</v>
      </c>
      <c r="AR785" s="1">
        <v>13568593</v>
      </c>
      <c r="AS785" s="1">
        <v>2035289</v>
      </c>
      <c r="AT785" s="1">
        <f t="shared" si="85"/>
        <v>86569730</v>
      </c>
    </row>
    <row r="786" spans="1:46" x14ac:dyDescent="0.2">
      <c r="A786" s="1" t="str">
        <f>"00899"</f>
        <v>00899</v>
      </c>
      <c r="B786" s="1" t="str">
        <f>"احمد"</f>
        <v>احمد</v>
      </c>
      <c r="C786" s="1" t="str">
        <f>"هوشمندي"</f>
        <v>هوشمندي</v>
      </c>
      <c r="D786" s="1" t="str">
        <f t="shared" si="86"/>
        <v>قراردادي بهره بردار</v>
      </c>
      <c r="E786" s="1" t="str">
        <f t="shared" si="87"/>
        <v>پروژه بهره برداري نيروگاه بوشهر</v>
      </c>
      <c r="F786" s="1">
        <v>13610612</v>
      </c>
      <c r="G786" s="1">
        <v>6619411</v>
      </c>
      <c r="H786" s="1">
        <v>0</v>
      </c>
      <c r="I786" s="1">
        <v>10428387</v>
      </c>
      <c r="J786" s="1">
        <v>0</v>
      </c>
      <c r="K786" s="1">
        <v>4620000</v>
      </c>
      <c r="L786" s="1">
        <v>0</v>
      </c>
      <c r="M786" s="1">
        <v>1000000</v>
      </c>
      <c r="N786" s="1">
        <v>2482683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1606000</v>
      </c>
      <c r="U786" s="1">
        <v>0</v>
      </c>
      <c r="V786" s="1">
        <v>12415568</v>
      </c>
      <c r="W786" s="1">
        <v>1900000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1773345</v>
      </c>
      <c r="AF786" s="1">
        <v>1516881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6192664</v>
      </c>
      <c r="AM786" s="1">
        <v>0</v>
      </c>
      <c r="AN786" s="1">
        <v>0</v>
      </c>
      <c r="AO786" s="1">
        <v>64165551</v>
      </c>
      <c r="AP786" s="1">
        <v>26906925</v>
      </c>
      <c r="AQ786" s="1">
        <v>37258626</v>
      </c>
      <c r="AR786" s="1">
        <v>12208534</v>
      </c>
      <c r="AS786" s="1">
        <v>1831280</v>
      </c>
      <c r="AT786" s="1">
        <f t="shared" si="85"/>
        <v>78205365</v>
      </c>
    </row>
    <row r="787" spans="1:46" x14ac:dyDescent="0.2">
      <c r="A787" s="1" t="str">
        <f>"00900"</f>
        <v>00900</v>
      </c>
      <c r="B787" s="1" t="str">
        <f>"اسماعيل"</f>
        <v>اسماعيل</v>
      </c>
      <c r="C787" s="1" t="str">
        <f>"مغانلو رحيمي زاده"</f>
        <v>مغانلو رحيمي زاده</v>
      </c>
      <c r="D787" s="1" t="str">
        <f t="shared" si="86"/>
        <v>قراردادي بهره بردار</v>
      </c>
      <c r="E787" s="1" t="str">
        <f t="shared" si="87"/>
        <v>پروژه بهره برداري نيروگاه بوشهر</v>
      </c>
      <c r="F787" s="1">
        <v>13102377</v>
      </c>
      <c r="G787" s="1">
        <v>6249990</v>
      </c>
      <c r="H787" s="1">
        <v>0</v>
      </c>
      <c r="I787" s="1">
        <v>9850598</v>
      </c>
      <c r="J787" s="1">
        <v>0</v>
      </c>
      <c r="K787" s="1">
        <v>3465000</v>
      </c>
      <c r="L787" s="1">
        <v>0</v>
      </c>
      <c r="M787" s="1">
        <v>1000000</v>
      </c>
      <c r="N787" s="1">
        <v>2304800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11420602</v>
      </c>
      <c r="W787" s="1">
        <v>1900000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1646286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5960980</v>
      </c>
      <c r="AM787" s="1">
        <v>0</v>
      </c>
      <c r="AN787" s="1">
        <v>0</v>
      </c>
      <c r="AO787" s="1">
        <v>56900633</v>
      </c>
      <c r="AP787" s="1">
        <v>30120571</v>
      </c>
      <c r="AQ787" s="1">
        <v>26780062</v>
      </c>
      <c r="AR787" s="1">
        <v>11380127</v>
      </c>
      <c r="AS787" s="1">
        <v>1707019</v>
      </c>
      <c r="AT787" s="1">
        <f t="shared" si="85"/>
        <v>69987779</v>
      </c>
    </row>
    <row r="788" spans="1:46" x14ac:dyDescent="0.2">
      <c r="A788" s="1" t="str">
        <f>"00901"</f>
        <v>00901</v>
      </c>
      <c r="B788" s="1" t="str">
        <f>"پيمان"</f>
        <v>پيمان</v>
      </c>
      <c r="C788" s="1" t="str">
        <f>"بحريني"</f>
        <v>بحريني</v>
      </c>
      <c r="D788" s="1" t="str">
        <f t="shared" si="86"/>
        <v>قراردادي بهره بردار</v>
      </c>
      <c r="E788" s="1" t="str">
        <f t="shared" si="87"/>
        <v>پروژه بهره برداري نيروگاه بوشهر</v>
      </c>
      <c r="F788" s="1">
        <v>14574505</v>
      </c>
      <c r="G788" s="1">
        <v>8935050</v>
      </c>
      <c r="H788" s="1">
        <v>0</v>
      </c>
      <c r="I788" s="1">
        <v>11821712</v>
      </c>
      <c r="J788" s="1">
        <v>0</v>
      </c>
      <c r="K788" s="1">
        <v>3465000</v>
      </c>
      <c r="L788" s="1">
        <v>0</v>
      </c>
      <c r="M788" s="1">
        <v>1000000</v>
      </c>
      <c r="N788" s="1">
        <v>2820045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12780581</v>
      </c>
      <c r="W788" s="1">
        <v>1900000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2014318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6637808</v>
      </c>
      <c r="AM788" s="1">
        <v>0</v>
      </c>
      <c r="AN788" s="1">
        <v>0</v>
      </c>
      <c r="AO788" s="1">
        <v>65949019</v>
      </c>
      <c r="AP788" s="1">
        <v>27305595</v>
      </c>
      <c r="AQ788" s="1">
        <v>38643424</v>
      </c>
      <c r="AR788" s="1">
        <v>13189804</v>
      </c>
      <c r="AS788" s="1">
        <v>1978471</v>
      </c>
      <c r="AT788" s="1">
        <f t="shared" si="85"/>
        <v>81117294</v>
      </c>
    </row>
    <row r="789" spans="1:46" x14ac:dyDescent="0.2">
      <c r="A789" s="1" t="str">
        <f>"00902"</f>
        <v>00902</v>
      </c>
      <c r="B789" s="1" t="str">
        <f>"علي"</f>
        <v>علي</v>
      </c>
      <c r="C789" s="1" t="str">
        <f>"پاژنگ"</f>
        <v>پاژنگ</v>
      </c>
      <c r="D789" s="1" t="str">
        <f t="shared" si="86"/>
        <v>قراردادي بهره بردار</v>
      </c>
      <c r="E789" s="1" t="str">
        <f t="shared" si="87"/>
        <v>پروژه بهره برداري نيروگاه بوشهر</v>
      </c>
      <c r="F789" s="1">
        <v>13573371</v>
      </c>
      <c r="G789" s="1">
        <v>11146055</v>
      </c>
      <c r="H789" s="1">
        <v>0</v>
      </c>
      <c r="I789" s="1">
        <v>10129922</v>
      </c>
      <c r="J789" s="1">
        <v>0</v>
      </c>
      <c r="K789" s="1">
        <v>4620000</v>
      </c>
      <c r="L789" s="1">
        <v>0</v>
      </c>
      <c r="M789" s="1">
        <v>1000000</v>
      </c>
      <c r="N789" s="1">
        <v>2469648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1606000</v>
      </c>
      <c r="U789" s="1">
        <v>0</v>
      </c>
      <c r="V789" s="1">
        <v>11513650</v>
      </c>
      <c r="W789" s="1">
        <v>1900000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1764034</v>
      </c>
      <c r="AF789" s="1">
        <v>1516881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5679522</v>
      </c>
      <c r="AM789" s="1">
        <v>0</v>
      </c>
      <c r="AN789" s="1">
        <v>0</v>
      </c>
      <c r="AO789" s="1">
        <v>66919083</v>
      </c>
      <c r="AP789" s="1">
        <v>28358526</v>
      </c>
      <c r="AQ789" s="1">
        <v>38560557</v>
      </c>
      <c r="AR789" s="1">
        <v>12759240</v>
      </c>
      <c r="AS789" s="1">
        <v>1913886</v>
      </c>
      <c r="AT789" s="1">
        <f t="shared" si="85"/>
        <v>81592209</v>
      </c>
    </row>
    <row r="790" spans="1:46" x14ac:dyDescent="0.2">
      <c r="A790" s="1" t="str">
        <f>"00903"</f>
        <v>00903</v>
      </c>
      <c r="B790" s="1" t="str">
        <f>"محمدکاظم"</f>
        <v>محمدکاظم</v>
      </c>
      <c r="C790" s="1" t="str">
        <f>"توکلي"</f>
        <v>توکلي</v>
      </c>
      <c r="D790" s="1" t="str">
        <f t="shared" si="86"/>
        <v>قراردادي بهره بردار</v>
      </c>
      <c r="E790" s="1" t="str">
        <f t="shared" si="87"/>
        <v>پروژه بهره برداري نيروگاه بوشهر</v>
      </c>
      <c r="F790" s="1">
        <v>15150651</v>
      </c>
      <c r="G790" s="1">
        <v>3710008</v>
      </c>
      <c r="H790" s="1">
        <v>0</v>
      </c>
      <c r="I790" s="1">
        <v>12181071</v>
      </c>
      <c r="J790" s="1">
        <v>0</v>
      </c>
      <c r="K790" s="1">
        <v>4620000</v>
      </c>
      <c r="L790" s="1">
        <v>0</v>
      </c>
      <c r="M790" s="1">
        <v>1000000</v>
      </c>
      <c r="N790" s="1">
        <v>2780175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1606000</v>
      </c>
      <c r="U790" s="1">
        <v>0</v>
      </c>
      <c r="V790" s="1">
        <v>9656837</v>
      </c>
      <c r="W790" s="1">
        <v>1900000</v>
      </c>
      <c r="X790" s="1">
        <v>2199288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1985839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10821539</v>
      </c>
      <c r="AM790" s="1">
        <v>0</v>
      </c>
      <c r="AN790" s="1">
        <v>0</v>
      </c>
      <c r="AO790" s="1">
        <v>67611408</v>
      </c>
      <c r="AP790" s="1">
        <v>28449649</v>
      </c>
      <c r="AQ790" s="1">
        <v>39161759</v>
      </c>
      <c r="AR790" s="1">
        <v>13201082</v>
      </c>
      <c r="AS790" s="1">
        <v>1980162</v>
      </c>
      <c r="AT790" s="1">
        <f t="shared" si="85"/>
        <v>82792652</v>
      </c>
    </row>
    <row r="791" spans="1:46" x14ac:dyDescent="0.2">
      <c r="A791" s="1" t="str">
        <f>"00904"</f>
        <v>00904</v>
      </c>
      <c r="B791" s="1" t="str">
        <f>"مهدي"</f>
        <v>مهدي</v>
      </c>
      <c r="C791" s="1" t="str">
        <f>"جمالي"</f>
        <v>جمالي</v>
      </c>
      <c r="D791" s="1" t="str">
        <f t="shared" si="86"/>
        <v>قراردادي بهره بردار</v>
      </c>
      <c r="E791" s="1" t="str">
        <f t="shared" si="87"/>
        <v>پروژه بهره برداري نيروگاه بوشهر</v>
      </c>
      <c r="F791" s="1">
        <v>13691667</v>
      </c>
      <c r="G791" s="1">
        <v>7232362</v>
      </c>
      <c r="H791" s="1">
        <v>0</v>
      </c>
      <c r="I791" s="1">
        <v>10513323</v>
      </c>
      <c r="J791" s="1">
        <v>0</v>
      </c>
      <c r="K791" s="1">
        <v>3465000</v>
      </c>
      <c r="L791" s="1">
        <v>0</v>
      </c>
      <c r="M791" s="1">
        <v>1000000</v>
      </c>
      <c r="N791" s="1">
        <v>2511052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11755771</v>
      </c>
      <c r="W791" s="1">
        <v>1900000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1793608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6322264</v>
      </c>
      <c r="AM791" s="1">
        <v>0</v>
      </c>
      <c r="AN791" s="1">
        <v>0</v>
      </c>
      <c r="AO791" s="1">
        <v>60185047</v>
      </c>
      <c r="AP791" s="1">
        <v>10700957</v>
      </c>
      <c r="AQ791" s="1">
        <v>49484090</v>
      </c>
      <c r="AR791" s="1">
        <v>12037009</v>
      </c>
      <c r="AS791" s="1">
        <v>1805551</v>
      </c>
      <c r="AT791" s="1">
        <f t="shared" si="85"/>
        <v>74027607</v>
      </c>
    </row>
    <row r="792" spans="1:46" x14ac:dyDescent="0.2">
      <c r="A792" s="1" t="str">
        <f>"00905"</f>
        <v>00905</v>
      </c>
      <c r="B792" s="1" t="str">
        <f>"محسن"</f>
        <v>محسن</v>
      </c>
      <c r="C792" s="1" t="str">
        <f>"حياتي"</f>
        <v>حياتي</v>
      </c>
      <c r="D792" s="1" t="str">
        <f t="shared" si="86"/>
        <v>قراردادي بهره بردار</v>
      </c>
      <c r="E792" s="1" t="str">
        <f t="shared" si="87"/>
        <v>پروژه بهره برداري نيروگاه بوشهر</v>
      </c>
      <c r="F792" s="1">
        <v>13426596</v>
      </c>
      <c r="G792" s="1">
        <v>4274239</v>
      </c>
      <c r="H792" s="1">
        <v>0</v>
      </c>
      <c r="I792" s="1">
        <v>9981515</v>
      </c>
      <c r="J792" s="1">
        <v>0</v>
      </c>
      <c r="K792" s="1">
        <v>4620000</v>
      </c>
      <c r="L792" s="1">
        <v>0</v>
      </c>
      <c r="M792" s="1">
        <v>1000000</v>
      </c>
      <c r="N792" s="1">
        <v>2418277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1606000</v>
      </c>
      <c r="U792" s="1">
        <v>0</v>
      </c>
      <c r="V792" s="1">
        <v>10048287</v>
      </c>
      <c r="W792" s="1">
        <v>1900000</v>
      </c>
      <c r="X792" s="1">
        <v>1949022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1727341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5663750</v>
      </c>
      <c r="AM792" s="1">
        <v>0</v>
      </c>
      <c r="AN792" s="1">
        <v>0</v>
      </c>
      <c r="AO792" s="1">
        <v>58615027</v>
      </c>
      <c r="AP792" s="1">
        <v>19856921</v>
      </c>
      <c r="AQ792" s="1">
        <v>38758106</v>
      </c>
      <c r="AR792" s="1">
        <v>11401805</v>
      </c>
      <c r="AS792" s="1">
        <v>1710271</v>
      </c>
      <c r="AT792" s="1">
        <f t="shared" si="85"/>
        <v>71727103</v>
      </c>
    </row>
    <row r="793" spans="1:46" x14ac:dyDescent="0.2">
      <c r="A793" s="1" t="str">
        <f>"00906"</f>
        <v>00906</v>
      </c>
      <c r="B793" s="1" t="str">
        <f>"حسين"</f>
        <v>حسين</v>
      </c>
      <c r="C793" s="1" t="str">
        <f>"خوهک"</f>
        <v>خوهک</v>
      </c>
      <c r="D793" s="1" t="str">
        <f t="shared" si="86"/>
        <v>قراردادي بهره بردار</v>
      </c>
      <c r="E793" s="1" t="str">
        <f t="shared" si="87"/>
        <v>پروژه بهره برداري نيروگاه بوشهر</v>
      </c>
      <c r="F793" s="1">
        <v>13382783</v>
      </c>
      <c r="G793" s="1">
        <v>9407490</v>
      </c>
      <c r="H793" s="1">
        <v>0</v>
      </c>
      <c r="I793" s="1">
        <v>10184013</v>
      </c>
      <c r="J793" s="1">
        <v>0</v>
      </c>
      <c r="K793" s="1">
        <v>3465000</v>
      </c>
      <c r="L793" s="1">
        <v>0</v>
      </c>
      <c r="M793" s="1">
        <v>1000000</v>
      </c>
      <c r="N793" s="1">
        <v>2402942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15506441</v>
      </c>
      <c r="W793" s="1">
        <v>1900000</v>
      </c>
      <c r="X793" s="1">
        <v>1942662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1716387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10134462</v>
      </c>
      <c r="AM793" s="1">
        <v>0</v>
      </c>
      <c r="AN793" s="1">
        <v>0</v>
      </c>
      <c r="AO793" s="1">
        <v>71042180</v>
      </c>
      <c r="AP793" s="1">
        <v>9435402</v>
      </c>
      <c r="AQ793" s="1">
        <v>61606778</v>
      </c>
      <c r="AR793" s="1">
        <v>14208436</v>
      </c>
      <c r="AS793" s="1">
        <v>2131265</v>
      </c>
      <c r="AT793" s="1">
        <f t="shared" si="85"/>
        <v>87381881</v>
      </c>
    </row>
    <row r="794" spans="1:46" x14ac:dyDescent="0.2">
      <c r="A794" s="1" t="str">
        <f>"00907"</f>
        <v>00907</v>
      </c>
      <c r="B794" s="1" t="str">
        <f>"مقداد"</f>
        <v>مقداد</v>
      </c>
      <c r="C794" s="1" t="str">
        <f>"ديرنه"</f>
        <v>ديرنه</v>
      </c>
      <c r="D794" s="1" t="str">
        <f t="shared" si="86"/>
        <v>قراردادي بهره بردار</v>
      </c>
      <c r="E794" s="1" t="str">
        <f t="shared" si="87"/>
        <v>پروژه بهره برداري نيروگاه بوشهر</v>
      </c>
      <c r="F794" s="1">
        <v>15639169</v>
      </c>
      <c r="G794" s="1">
        <v>4134973</v>
      </c>
      <c r="H794" s="1">
        <v>0</v>
      </c>
      <c r="I794" s="1">
        <v>12997528</v>
      </c>
      <c r="J794" s="1">
        <v>0</v>
      </c>
      <c r="K794" s="1">
        <v>4620000</v>
      </c>
      <c r="L794" s="1">
        <v>0</v>
      </c>
      <c r="M794" s="1">
        <v>1000000</v>
      </c>
      <c r="N794" s="1">
        <v>2951157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12372040</v>
      </c>
      <c r="W794" s="1">
        <v>1900000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2107969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7203481</v>
      </c>
      <c r="AM794" s="1">
        <v>0</v>
      </c>
      <c r="AN794" s="1">
        <v>0</v>
      </c>
      <c r="AO794" s="1">
        <v>64926317</v>
      </c>
      <c r="AP794" s="1">
        <v>8939527</v>
      </c>
      <c r="AQ794" s="1">
        <v>55986790</v>
      </c>
      <c r="AR794" s="1">
        <v>12985263</v>
      </c>
      <c r="AS794" s="1">
        <v>1947790</v>
      </c>
      <c r="AT794" s="1">
        <f t="shared" si="85"/>
        <v>79859370</v>
      </c>
    </row>
    <row r="795" spans="1:46" x14ac:dyDescent="0.2">
      <c r="A795" s="1" t="str">
        <f>"00908"</f>
        <v>00908</v>
      </c>
      <c r="B795" s="1" t="str">
        <f>"حسين"</f>
        <v>حسين</v>
      </c>
      <c r="C795" s="1" t="str">
        <f>"شيخياني"</f>
        <v>شيخياني</v>
      </c>
      <c r="D795" s="1" t="str">
        <f t="shared" si="86"/>
        <v>قراردادي بهره بردار</v>
      </c>
      <c r="E795" s="1" t="str">
        <f t="shared" si="87"/>
        <v>پروژه بهره برداري نيروگاه بوشهر</v>
      </c>
      <c r="F795" s="1">
        <v>12605096</v>
      </c>
      <c r="G795" s="1">
        <v>5725549</v>
      </c>
      <c r="H795" s="1">
        <v>0</v>
      </c>
      <c r="I795" s="1">
        <v>10195288</v>
      </c>
      <c r="J795" s="1">
        <v>0</v>
      </c>
      <c r="K795" s="1">
        <v>4620000</v>
      </c>
      <c r="L795" s="1">
        <v>0</v>
      </c>
      <c r="M795" s="1">
        <v>1000000</v>
      </c>
      <c r="N795" s="1">
        <v>2130752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1606000</v>
      </c>
      <c r="U795" s="1">
        <v>0</v>
      </c>
      <c r="V795" s="1">
        <v>14746045</v>
      </c>
      <c r="W795" s="1">
        <v>1900000</v>
      </c>
      <c r="X795" s="1">
        <v>1829772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1521966</v>
      </c>
      <c r="AF795" s="1">
        <v>1516881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9512860</v>
      </c>
      <c r="AM795" s="1">
        <v>0</v>
      </c>
      <c r="AN795" s="1">
        <v>0</v>
      </c>
      <c r="AO795" s="1">
        <v>68910209</v>
      </c>
      <c r="AP795" s="1">
        <v>20548923</v>
      </c>
      <c r="AQ795" s="1">
        <v>48361286</v>
      </c>
      <c r="AR795" s="1">
        <v>13157466</v>
      </c>
      <c r="AS795" s="1">
        <v>1973620</v>
      </c>
      <c r="AT795" s="1">
        <f t="shared" si="85"/>
        <v>84041295</v>
      </c>
    </row>
    <row r="796" spans="1:46" x14ac:dyDescent="0.2">
      <c r="A796" s="1" t="str">
        <f>"00909"</f>
        <v>00909</v>
      </c>
      <c r="B796" s="1" t="str">
        <f>"عبدالله"</f>
        <v>عبدالله</v>
      </c>
      <c r="C796" s="1" t="str">
        <f>"عالي پور"</f>
        <v>عالي پور</v>
      </c>
      <c r="D796" s="1" t="str">
        <f t="shared" si="86"/>
        <v>قراردادي بهره بردار</v>
      </c>
      <c r="E796" s="1" t="str">
        <f t="shared" si="87"/>
        <v>پروژه بهره برداري نيروگاه بوشهر</v>
      </c>
      <c r="F796" s="1">
        <v>13849395</v>
      </c>
      <c r="G796" s="1">
        <v>11646891</v>
      </c>
      <c r="H796" s="1">
        <v>0</v>
      </c>
      <c r="I796" s="1">
        <v>11651459</v>
      </c>
      <c r="J796" s="1">
        <v>0</v>
      </c>
      <c r="K796" s="1">
        <v>3465000</v>
      </c>
      <c r="L796" s="1">
        <v>0</v>
      </c>
      <c r="M796" s="1">
        <v>1000000</v>
      </c>
      <c r="N796" s="1">
        <v>2566256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10913222</v>
      </c>
      <c r="W796" s="1">
        <v>1900000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1833040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7731651</v>
      </c>
      <c r="AM796" s="1">
        <v>0</v>
      </c>
      <c r="AN796" s="1">
        <v>0</v>
      </c>
      <c r="AO796" s="1">
        <v>66556914</v>
      </c>
      <c r="AP796" s="1">
        <v>23759980</v>
      </c>
      <c r="AQ796" s="1">
        <v>42796934</v>
      </c>
      <c r="AR796" s="1">
        <v>13311383</v>
      </c>
      <c r="AS796" s="1">
        <v>1996707</v>
      </c>
      <c r="AT796" s="1">
        <f t="shared" si="85"/>
        <v>81865004</v>
      </c>
    </row>
    <row r="797" spans="1:46" x14ac:dyDescent="0.2">
      <c r="A797" s="1" t="str">
        <f>"00910"</f>
        <v>00910</v>
      </c>
      <c r="B797" s="1" t="str">
        <f>"مهدي"</f>
        <v>مهدي</v>
      </c>
      <c r="C797" s="1" t="str">
        <f>"كسرائي"</f>
        <v>كسرائي</v>
      </c>
      <c r="D797" s="1" t="str">
        <f t="shared" si="86"/>
        <v>قراردادي بهره بردار</v>
      </c>
      <c r="E797" s="1" t="str">
        <f t="shared" si="87"/>
        <v>پروژه بهره برداري نيروگاه بوشهر</v>
      </c>
      <c r="F797" s="1">
        <v>14449637</v>
      </c>
      <c r="G797" s="1">
        <v>5042120</v>
      </c>
      <c r="H797" s="1">
        <v>0</v>
      </c>
      <c r="I797" s="1">
        <v>10694572</v>
      </c>
      <c r="J797" s="1">
        <v>0</v>
      </c>
      <c r="K797" s="1">
        <v>4620000</v>
      </c>
      <c r="L797" s="1">
        <v>0</v>
      </c>
      <c r="M797" s="1">
        <v>1000000</v>
      </c>
      <c r="N797" s="1">
        <v>2776341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17473862</v>
      </c>
      <c r="W797" s="1">
        <v>1900000</v>
      </c>
      <c r="X797" s="1">
        <v>2097528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1983101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23047456</v>
      </c>
      <c r="AM797" s="1">
        <v>0</v>
      </c>
      <c r="AN797" s="1">
        <v>0</v>
      </c>
      <c r="AO797" s="1">
        <v>85084617</v>
      </c>
      <c r="AP797" s="1">
        <v>32063229</v>
      </c>
      <c r="AQ797" s="1">
        <v>53021388</v>
      </c>
      <c r="AR797" s="1">
        <v>17016923</v>
      </c>
      <c r="AS797" s="1">
        <v>2552539</v>
      </c>
      <c r="AT797" s="1">
        <f t="shared" si="85"/>
        <v>104654079</v>
      </c>
    </row>
    <row r="798" spans="1:46" x14ac:dyDescent="0.2">
      <c r="A798" s="1" t="str">
        <f>"00911"</f>
        <v>00911</v>
      </c>
      <c r="B798" s="1" t="str">
        <f>"مصيب"</f>
        <v>مصيب</v>
      </c>
      <c r="C798" s="1" t="str">
        <f>"كشاورز"</f>
        <v>كشاورز</v>
      </c>
      <c r="D798" s="1" t="str">
        <f t="shared" si="86"/>
        <v>قراردادي بهره بردار</v>
      </c>
      <c r="E798" s="1" t="str">
        <f t="shared" si="87"/>
        <v>پروژه بهره برداري نيروگاه بوشهر</v>
      </c>
      <c r="F798" s="1">
        <v>13374020</v>
      </c>
      <c r="G798" s="1">
        <v>10006926</v>
      </c>
      <c r="H798" s="1">
        <v>0</v>
      </c>
      <c r="I798" s="1">
        <v>10174755</v>
      </c>
      <c r="J798" s="1">
        <v>0</v>
      </c>
      <c r="K798" s="1">
        <v>3465000</v>
      </c>
      <c r="L798" s="1">
        <v>0</v>
      </c>
      <c r="M798" s="1">
        <v>1000000</v>
      </c>
      <c r="N798" s="1">
        <v>2399875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1606000</v>
      </c>
      <c r="U798" s="1">
        <v>0</v>
      </c>
      <c r="V798" s="1">
        <v>23877126</v>
      </c>
      <c r="W798" s="1">
        <v>1900000</v>
      </c>
      <c r="X798" s="1">
        <v>1941390</v>
      </c>
      <c r="Y798" s="1">
        <v>123707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1714197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10513013</v>
      </c>
      <c r="AM798" s="1">
        <v>0</v>
      </c>
      <c r="AN798" s="1">
        <v>0</v>
      </c>
      <c r="AO798" s="1">
        <v>82096009</v>
      </c>
      <c r="AP798" s="1">
        <v>12360120</v>
      </c>
      <c r="AQ798" s="1">
        <v>69735889</v>
      </c>
      <c r="AR798" s="1">
        <v>16098003</v>
      </c>
      <c r="AS798" s="1">
        <v>2414699</v>
      </c>
      <c r="AT798" s="1">
        <f t="shared" si="85"/>
        <v>100608711</v>
      </c>
    </row>
    <row r="799" spans="1:46" x14ac:dyDescent="0.2">
      <c r="A799" s="1" t="str">
        <f>"00913"</f>
        <v>00913</v>
      </c>
      <c r="B799" s="1" t="str">
        <f>"امير"</f>
        <v>امير</v>
      </c>
      <c r="C799" s="1" t="str">
        <f>"محمدي"</f>
        <v>محمدي</v>
      </c>
      <c r="D799" s="1" t="str">
        <f t="shared" si="86"/>
        <v>قراردادي بهره بردار</v>
      </c>
      <c r="E799" s="1" t="str">
        <f t="shared" si="87"/>
        <v>پروژه بهره برداري نيروگاه بوشهر</v>
      </c>
      <c r="F799" s="1">
        <v>18145292</v>
      </c>
      <c r="G799" s="1">
        <v>14550673</v>
      </c>
      <c r="H799" s="1">
        <v>0</v>
      </c>
      <c r="I799" s="1">
        <v>19515877</v>
      </c>
      <c r="J799" s="1">
        <v>0</v>
      </c>
      <c r="K799" s="1">
        <v>0</v>
      </c>
      <c r="L799" s="1">
        <v>0</v>
      </c>
      <c r="M799" s="1">
        <v>1000000</v>
      </c>
      <c r="N799" s="1">
        <v>2992560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1606000</v>
      </c>
      <c r="U799" s="1">
        <v>0</v>
      </c>
      <c r="V799" s="1">
        <v>19979669</v>
      </c>
      <c r="W799" s="1">
        <v>1900000</v>
      </c>
      <c r="X799" s="1">
        <v>2838560</v>
      </c>
      <c r="Y799" s="1">
        <v>0</v>
      </c>
      <c r="Z799" s="1">
        <v>0</v>
      </c>
      <c r="AA799" s="1">
        <v>0</v>
      </c>
      <c r="AB799" s="1">
        <v>0</v>
      </c>
      <c r="AC799" s="1">
        <v>14217427</v>
      </c>
      <c r="AD799" s="1">
        <v>0</v>
      </c>
      <c r="AE799" s="1">
        <v>2137543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38132584</v>
      </c>
      <c r="AM799" s="1">
        <v>0</v>
      </c>
      <c r="AN799" s="1">
        <v>0</v>
      </c>
      <c r="AO799" s="1">
        <v>137016185</v>
      </c>
      <c r="AP799" s="1">
        <v>35573344</v>
      </c>
      <c r="AQ799" s="1">
        <v>101442841</v>
      </c>
      <c r="AR799" s="1">
        <v>27082038</v>
      </c>
      <c r="AS799" s="1">
        <v>4062306</v>
      </c>
      <c r="AT799" s="1">
        <f t="shared" si="85"/>
        <v>168160529</v>
      </c>
    </row>
    <row r="800" spans="1:46" x14ac:dyDescent="0.2">
      <c r="A800" s="1" t="str">
        <f>"00914"</f>
        <v>00914</v>
      </c>
      <c r="B800" s="1" t="str">
        <f>"يعقوب"</f>
        <v>يعقوب</v>
      </c>
      <c r="C800" s="1" t="str">
        <f>"پذيرا"</f>
        <v>پذيرا</v>
      </c>
      <c r="D800" s="1" t="str">
        <f>"قراردادي کارگري"</f>
        <v>قراردادي کارگري</v>
      </c>
      <c r="E800" s="1" t="str">
        <f>"پروژه تعميرات نيروگاه بوشهر"</f>
        <v>پروژه تعميرات نيروگاه بوشهر</v>
      </c>
      <c r="F800" s="1">
        <v>6332124</v>
      </c>
      <c r="G800" s="1">
        <v>11852142</v>
      </c>
      <c r="H800" s="1">
        <v>0</v>
      </c>
      <c r="I800" s="1">
        <v>4305844</v>
      </c>
      <c r="J800" s="1">
        <v>0</v>
      </c>
      <c r="K800" s="1">
        <v>0</v>
      </c>
      <c r="L800" s="1">
        <v>7628143</v>
      </c>
      <c r="M800" s="1">
        <v>1000000</v>
      </c>
      <c r="N800" s="1">
        <v>3332696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6394824</v>
      </c>
      <c r="W800" s="1">
        <v>1900000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3033762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45779535</v>
      </c>
      <c r="AP800" s="1">
        <v>7381900</v>
      </c>
      <c r="AQ800" s="1">
        <v>38397635</v>
      </c>
      <c r="AR800" s="1">
        <v>8549155</v>
      </c>
      <c r="AS800" s="1">
        <v>1282373</v>
      </c>
      <c r="AT800" s="1">
        <f t="shared" si="85"/>
        <v>55611063</v>
      </c>
    </row>
    <row r="801" spans="1:46" x14ac:dyDescent="0.2">
      <c r="A801" s="1" t="str">
        <f>"00916"</f>
        <v>00916</v>
      </c>
      <c r="B801" s="1" t="str">
        <f>"عبدالرحيم"</f>
        <v>عبدالرحيم</v>
      </c>
      <c r="C801" s="1" t="str">
        <f>"آب يار"</f>
        <v>آب يار</v>
      </c>
      <c r="D801" s="1" t="str">
        <f t="shared" ref="D801:D832" si="88">"قراردادي بهره بردار"</f>
        <v>قراردادي بهره بردار</v>
      </c>
      <c r="E801" s="1" t="str">
        <f t="shared" ref="E801:E832" si="89">"پروژه بهره برداري نيروگاه بوشهر"</f>
        <v>پروژه بهره برداري نيروگاه بوشهر</v>
      </c>
      <c r="F801" s="1">
        <v>14213045</v>
      </c>
      <c r="G801" s="1">
        <v>18378719</v>
      </c>
      <c r="H801" s="1">
        <v>0</v>
      </c>
      <c r="I801" s="1">
        <v>13958834</v>
      </c>
      <c r="J801" s="1">
        <v>0</v>
      </c>
      <c r="K801" s="1">
        <v>4620000</v>
      </c>
      <c r="L801" s="1">
        <v>0</v>
      </c>
      <c r="M801" s="1">
        <v>1000000</v>
      </c>
      <c r="N801" s="1">
        <v>2720370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8132279</v>
      </c>
      <c r="W801" s="1">
        <v>1900000</v>
      </c>
      <c r="X801" s="1">
        <v>2063184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1943121</v>
      </c>
      <c r="AF801" s="1">
        <v>3033762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11122891</v>
      </c>
      <c r="AM801" s="1">
        <v>0</v>
      </c>
      <c r="AN801" s="1">
        <v>0</v>
      </c>
      <c r="AO801" s="1">
        <v>83086205</v>
      </c>
      <c r="AP801" s="1">
        <v>14838140</v>
      </c>
      <c r="AQ801" s="1">
        <v>68248065</v>
      </c>
      <c r="AR801" s="1">
        <v>16010489</v>
      </c>
      <c r="AS801" s="1">
        <v>2401573</v>
      </c>
      <c r="AT801" s="1">
        <f t="shared" si="85"/>
        <v>101498267</v>
      </c>
    </row>
    <row r="802" spans="1:46" x14ac:dyDescent="0.2">
      <c r="A802" s="1" t="str">
        <f>"00917"</f>
        <v>00917</v>
      </c>
      <c r="B802" s="1" t="str">
        <f>"ميثم"</f>
        <v>ميثم</v>
      </c>
      <c r="C802" s="1" t="str">
        <f>"آبائي"</f>
        <v>آبائي</v>
      </c>
      <c r="D802" s="1" t="str">
        <f t="shared" si="88"/>
        <v>قراردادي بهره بردار</v>
      </c>
      <c r="E802" s="1" t="str">
        <f t="shared" si="89"/>
        <v>پروژه بهره برداري نيروگاه بوشهر</v>
      </c>
      <c r="F802" s="1">
        <v>14876817</v>
      </c>
      <c r="G802" s="1">
        <v>26417702</v>
      </c>
      <c r="H802" s="1">
        <v>0</v>
      </c>
      <c r="I802" s="1">
        <v>14842783</v>
      </c>
      <c r="J802" s="1">
        <v>0</v>
      </c>
      <c r="K802" s="1">
        <v>4620000</v>
      </c>
      <c r="L802" s="1">
        <v>0</v>
      </c>
      <c r="M802" s="1">
        <v>1000000</v>
      </c>
      <c r="N802" s="1">
        <v>2952690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1606000</v>
      </c>
      <c r="U802" s="1">
        <v>0</v>
      </c>
      <c r="V802" s="1">
        <v>8692955</v>
      </c>
      <c r="W802" s="1">
        <v>1900000</v>
      </c>
      <c r="X802" s="1">
        <v>2159538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2109064</v>
      </c>
      <c r="AF802" s="1">
        <v>1516881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11581069</v>
      </c>
      <c r="AM802" s="1">
        <v>0</v>
      </c>
      <c r="AN802" s="1">
        <v>0</v>
      </c>
      <c r="AO802" s="1">
        <v>94275499</v>
      </c>
      <c r="AP802" s="1">
        <v>37134950</v>
      </c>
      <c r="AQ802" s="1">
        <v>57140549</v>
      </c>
      <c r="AR802" s="1">
        <v>18230524</v>
      </c>
      <c r="AS802" s="1">
        <v>2734579</v>
      </c>
      <c r="AT802" s="1">
        <f t="shared" si="85"/>
        <v>115240602</v>
      </c>
    </row>
    <row r="803" spans="1:46" x14ac:dyDescent="0.2">
      <c r="A803" s="1" t="str">
        <f>"00918"</f>
        <v>00918</v>
      </c>
      <c r="B803" s="1" t="str">
        <f>"محمدعلي"</f>
        <v>محمدعلي</v>
      </c>
      <c r="C803" s="1" t="str">
        <f>"آبادي"</f>
        <v>آبادي</v>
      </c>
      <c r="D803" s="1" t="str">
        <f t="shared" si="88"/>
        <v>قراردادي بهره بردار</v>
      </c>
      <c r="E803" s="1" t="str">
        <f t="shared" si="89"/>
        <v>پروژه بهره برداري نيروگاه بوشهر</v>
      </c>
      <c r="F803" s="1">
        <v>14780428</v>
      </c>
      <c r="G803" s="1">
        <v>7296299</v>
      </c>
      <c r="H803" s="1">
        <v>0</v>
      </c>
      <c r="I803" s="1">
        <v>15102765</v>
      </c>
      <c r="J803" s="1">
        <v>0</v>
      </c>
      <c r="K803" s="1">
        <v>4620000</v>
      </c>
      <c r="L803" s="1">
        <v>0</v>
      </c>
      <c r="M803" s="1">
        <v>1000000</v>
      </c>
      <c r="N803" s="1">
        <v>2918954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1606000</v>
      </c>
      <c r="U803" s="1">
        <v>0</v>
      </c>
      <c r="V803" s="1">
        <v>8163077</v>
      </c>
      <c r="W803" s="1">
        <v>1900000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1331925</v>
      </c>
      <c r="AD803" s="1">
        <v>0</v>
      </c>
      <c r="AE803" s="1">
        <v>2084967</v>
      </c>
      <c r="AF803" s="1">
        <v>1516881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7317374</v>
      </c>
      <c r="AM803" s="1">
        <v>0</v>
      </c>
      <c r="AN803" s="1">
        <v>0</v>
      </c>
      <c r="AO803" s="1">
        <v>69638670</v>
      </c>
      <c r="AP803" s="1">
        <v>30188951</v>
      </c>
      <c r="AQ803" s="1">
        <v>39449719</v>
      </c>
      <c r="AR803" s="1">
        <v>13303158</v>
      </c>
      <c r="AS803" s="1">
        <v>1995474</v>
      </c>
      <c r="AT803" s="1">
        <f t="shared" si="85"/>
        <v>84937302</v>
      </c>
    </row>
    <row r="804" spans="1:46" x14ac:dyDescent="0.2">
      <c r="A804" s="1" t="str">
        <f>"00919"</f>
        <v>00919</v>
      </c>
      <c r="B804" s="1" t="str">
        <f>"اکبر"</f>
        <v>اکبر</v>
      </c>
      <c r="C804" s="1" t="str">
        <f>"آذربخش"</f>
        <v>آذربخش</v>
      </c>
      <c r="D804" s="1" t="str">
        <f t="shared" si="88"/>
        <v>قراردادي بهره بردار</v>
      </c>
      <c r="E804" s="1" t="str">
        <f t="shared" si="89"/>
        <v>پروژه بهره برداري نيروگاه بوشهر</v>
      </c>
      <c r="F804" s="1">
        <v>12379457</v>
      </c>
      <c r="G804" s="1">
        <v>17409066</v>
      </c>
      <c r="H804" s="1">
        <v>0</v>
      </c>
      <c r="I804" s="1">
        <v>11812725</v>
      </c>
      <c r="J804" s="1">
        <v>0</v>
      </c>
      <c r="K804" s="1">
        <v>11242000</v>
      </c>
      <c r="L804" s="1">
        <v>0</v>
      </c>
      <c r="M804" s="1">
        <v>1000000</v>
      </c>
      <c r="N804" s="1">
        <v>2308634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10623002</v>
      </c>
      <c r="W804" s="1">
        <v>1900000</v>
      </c>
      <c r="X804" s="1">
        <v>1797018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1649024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10702610</v>
      </c>
      <c r="AM804" s="1">
        <v>0</v>
      </c>
      <c r="AN804" s="1">
        <v>0</v>
      </c>
      <c r="AO804" s="1">
        <v>82823536</v>
      </c>
      <c r="AP804" s="1">
        <v>26773041</v>
      </c>
      <c r="AQ804" s="1">
        <v>56050495</v>
      </c>
      <c r="AR804" s="1">
        <v>16564709</v>
      </c>
      <c r="AS804" s="1">
        <v>2484707</v>
      </c>
      <c r="AT804" s="1">
        <f t="shared" si="85"/>
        <v>101872952</v>
      </c>
    </row>
    <row r="805" spans="1:46" x14ac:dyDescent="0.2">
      <c r="A805" s="1" t="str">
        <f>"00920"</f>
        <v>00920</v>
      </c>
      <c r="B805" s="1" t="str">
        <f>"احمد"</f>
        <v>احمد</v>
      </c>
      <c r="C805" s="1" t="str">
        <f>"اسماعيلي"</f>
        <v>اسماعيلي</v>
      </c>
      <c r="D805" s="1" t="str">
        <f t="shared" si="88"/>
        <v>قراردادي بهره بردار</v>
      </c>
      <c r="E805" s="1" t="str">
        <f t="shared" si="89"/>
        <v>پروژه بهره برداري نيروگاه بوشهر</v>
      </c>
      <c r="F805" s="1">
        <v>14925012</v>
      </c>
      <c r="G805" s="1">
        <v>18776232</v>
      </c>
      <c r="H805" s="1">
        <v>0</v>
      </c>
      <c r="I805" s="1">
        <v>15167937</v>
      </c>
      <c r="J805" s="1">
        <v>0</v>
      </c>
      <c r="K805" s="1">
        <v>3465000</v>
      </c>
      <c r="L805" s="1">
        <v>0</v>
      </c>
      <c r="M805" s="1">
        <v>1000000</v>
      </c>
      <c r="N805" s="1">
        <v>2969558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8654345</v>
      </c>
      <c r="W805" s="1">
        <v>1900000</v>
      </c>
      <c r="X805" s="1">
        <v>2166534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2121113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11596623</v>
      </c>
      <c r="AM805" s="1">
        <v>0</v>
      </c>
      <c r="AN805" s="1">
        <v>0</v>
      </c>
      <c r="AO805" s="1">
        <v>82742354</v>
      </c>
      <c r="AP805" s="1">
        <v>20490574</v>
      </c>
      <c r="AQ805" s="1">
        <v>62251780</v>
      </c>
      <c r="AR805" s="1">
        <v>16548471</v>
      </c>
      <c r="AS805" s="1">
        <v>2482271</v>
      </c>
      <c r="AT805" s="1">
        <f t="shared" si="85"/>
        <v>101773096</v>
      </c>
    </row>
    <row r="806" spans="1:46" x14ac:dyDescent="0.2">
      <c r="A806" s="1" t="str">
        <f>"00921"</f>
        <v>00921</v>
      </c>
      <c r="B806" s="1" t="str">
        <f>"حسين"</f>
        <v>حسين</v>
      </c>
      <c r="C806" s="1" t="str">
        <f>"اسماعيلي فرد"</f>
        <v>اسماعيلي فرد</v>
      </c>
      <c r="D806" s="1" t="str">
        <f t="shared" si="88"/>
        <v>قراردادي بهره بردار</v>
      </c>
      <c r="E806" s="1" t="str">
        <f t="shared" si="89"/>
        <v>پروژه بهره برداري نيروگاه بوشهر</v>
      </c>
      <c r="F806" s="1">
        <v>27304469</v>
      </c>
      <c r="G806" s="1">
        <v>13738437</v>
      </c>
      <c r="H806" s="1">
        <v>0</v>
      </c>
      <c r="I806" s="1">
        <v>23395762</v>
      </c>
      <c r="J806" s="1">
        <v>0</v>
      </c>
      <c r="K806" s="1">
        <v>0</v>
      </c>
      <c r="L806" s="1">
        <v>0</v>
      </c>
      <c r="M806" s="1">
        <v>1000000</v>
      </c>
      <c r="N806" s="1">
        <v>4180230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1606000</v>
      </c>
      <c r="U806" s="1">
        <v>0</v>
      </c>
      <c r="V806" s="1">
        <v>32944435</v>
      </c>
      <c r="W806" s="1">
        <v>1900000</v>
      </c>
      <c r="X806" s="1">
        <v>0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2985879</v>
      </c>
      <c r="AF806" s="1">
        <v>3033762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6210628</v>
      </c>
      <c r="AM806" s="1">
        <v>0</v>
      </c>
      <c r="AN806" s="1">
        <v>0</v>
      </c>
      <c r="AO806" s="1">
        <v>118299602</v>
      </c>
      <c r="AP806" s="1">
        <v>49633223</v>
      </c>
      <c r="AQ806" s="1">
        <v>68666379</v>
      </c>
      <c r="AR806" s="1">
        <v>22343735</v>
      </c>
      <c r="AS806" s="1">
        <v>3351559</v>
      </c>
      <c r="AT806" s="1">
        <f t="shared" si="85"/>
        <v>143994896</v>
      </c>
    </row>
    <row r="807" spans="1:46" x14ac:dyDescent="0.2">
      <c r="A807" s="1" t="str">
        <f>"00922"</f>
        <v>00922</v>
      </c>
      <c r="B807" s="1" t="str">
        <f>"رضا"</f>
        <v>رضا</v>
      </c>
      <c r="C807" s="1" t="str">
        <f>"اسماعيلي نژاد"</f>
        <v>اسماعيلي نژاد</v>
      </c>
      <c r="D807" s="1" t="str">
        <f t="shared" si="88"/>
        <v>قراردادي بهره بردار</v>
      </c>
      <c r="E807" s="1" t="str">
        <f t="shared" si="89"/>
        <v>پروژه بهره برداري نيروگاه بوشهر</v>
      </c>
      <c r="F807" s="1">
        <v>28228931</v>
      </c>
      <c r="G807" s="1">
        <v>25256241</v>
      </c>
      <c r="H807" s="1">
        <v>0</v>
      </c>
      <c r="I807" s="1">
        <v>26642137</v>
      </c>
      <c r="J807" s="1">
        <v>0</v>
      </c>
      <c r="K807" s="1">
        <v>0</v>
      </c>
      <c r="L807" s="1">
        <v>0</v>
      </c>
      <c r="M807" s="1">
        <v>1000000</v>
      </c>
      <c r="N807" s="1">
        <v>4503792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18013632</v>
      </c>
      <c r="W807" s="1">
        <v>1900000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3216994</v>
      </c>
      <c r="AF807" s="1">
        <v>1516881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6691348</v>
      </c>
      <c r="AM807" s="1">
        <v>0</v>
      </c>
      <c r="AN807" s="1">
        <v>0</v>
      </c>
      <c r="AO807" s="1">
        <v>116969956</v>
      </c>
      <c r="AP807" s="1">
        <v>27897150</v>
      </c>
      <c r="AQ807" s="1">
        <v>89072806</v>
      </c>
      <c r="AR807" s="1">
        <v>21944212</v>
      </c>
      <c r="AS807" s="1">
        <v>3291632</v>
      </c>
      <c r="AT807" s="1">
        <f t="shared" si="85"/>
        <v>142205800</v>
      </c>
    </row>
    <row r="808" spans="1:46" x14ac:dyDescent="0.2">
      <c r="A808" s="1" t="str">
        <f>"00923"</f>
        <v>00923</v>
      </c>
      <c r="B808" s="1" t="str">
        <f>"قاسم"</f>
        <v>قاسم</v>
      </c>
      <c r="C808" s="1" t="str">
        <f>"اکراميان"</f>
        <v>اکراميان</v>
      </c>
      <c r="D808" s="1" t="str">
        <f t="shared" si="88"/>
        <v>قراردادي بهره بردار</v>
      </c>
      <c r="E808" s="1" t="str">
        <f t="shared" si="89"/>
        <v>پروژه بهره برداري نيروگاه بوشهر</v>
      </c>
      <c r="F808" s="1">
        <v>18035759</v>
      </c>
      <c r="G808" s="1">
        <v>23922347</v>
      </c>
      <c r="H808" s="1">
        <v>0</v>
      </c>
      <c r="I808" s="1">
        <v>19591249</v>
      </c>
      <c r="J808" s="1">
        <v>0</v>
      </c>
      <c r="K808" s="1">
        <v>4620000</v>
      </c>
      <c r="L808" s="1">
        <v>0</v>
      </c>
      <c r="M808" s="1">
        <v>1000000</v>
      </c>
      <c r="N808" s="1">
        <v>3582945</v>
      </c>
      <c r="O808" s="1">
        <v>0</v>
      </c>
      <c r="P808" s="1">
        <v>0</v>
      </c>
      <c r="Q808" s="1">
        <v>0</v>
      </c>
      <c r="R808" s="1">
        <v>4992000</v>
      </c>
      <c r="S808" s="1">
        <v>0</v>
      </c>
      <c r="T808" s="1">
        <v>1606000</v>
      </c>
      <c r="U808" s="1">
        <v>0</v>
      </c>
      <c r="V808" s="1">
        <v>10945101</v>
      </c>
      <c r="W808" s="1">
        <v>1900000</v>
      </c>
      <c r="X808" s="1">
        <v>2618094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2559246</v>
      </c>
      <c r="AF808" s="1">
        <v>1516881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13088467</v>
      </c>
      <c r="AM808" s="1">
        <v>0</v>
      </c>
      <c r="AN808" s="1">
        <v>0</v>
      </c>
      <c r="AO808" s="1">
        <v>109978089</v>
      </c>
      <c r="AP808" s="1">
        <v>47869315</v>
      </c>
      <c r="AQ808" s="1">
        <v>62108774</v>
      </c>
      <c r="AR808" s="1">
        <v>20372642</v>
      </c>
      <c r="AS808" s="1">
        <v>3055896</v>
      </c>
      <c r="AT808" s="1">
        <f t="shared" si="85"/>
        <v>133406627</v>
      </c>
    </row>
    <row r="809" spans="1:46" x14ac:dyDescent="0.2">
      <c r="A809" s="1" t="str">
        <f>"00924"</f>
        <v>00924</v>
      </c>
      <c r="B809" s="1" t="str">
        <f>"بهنام"</f>
        <v>بهنام</v>
      </c>
      <c r="C809" s="1" t="str">
        <f>"اميني"</f>
        <v>اميني</v>
      </c>
      <c r="D809" s="1" t="str">
        <f t="shared" si="88"/>
        <v>قراردادي بهره بردار</v>
      </c>
      <c r="E809" s="1" t="str">
        <f t="shared" si="89"/>
        <v>پروژه بهره برداري نيروگاه بوشهر</v>
      </c>
      <c r="F809" s="1">
        <v>15477060</v>
      </c>
      <c r="G809" s="1">
        <v>39153594</v>
      </c>
      <c r="H809" s="1">
        <v>0</v>
      </c>
      <c r="I809" s="1">
        <v>16608568</v>
      </c>
      <c r="J809" s="1">
        <v>0</v>
      </c>
      <c r="K809" s="1">
        <v>4620000</v>
      </c>
      <c r="L809" s="1">
        <v>0</v>
      </c>
      <c r="M809" s="1">
        <v>1000000</v>
      </c>
      <c r="N809" s="1">
        <v>3162775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9014121</v>
      </c>
      <c r="W809" s="1">
        <v>1900000</v>
      </c>
      <c r="X809" s="1">
        <v>2246670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2259125</v>
      </c>
      <c r="AF809" s="1">
        <v>6067524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11884914</v>
      </c>
      <c r="AM809" s="1">
        <v>0</v>
      </c>
      <c r="AN809" s="1">
        <v>0</v>
      </c>
      <c r="AO809" s="1">
        <v>113394351</v>
      </c>
      <c r="AP809" s="1">
        <v>43160668</v>
      </c>
      <c r="AQ809" s="1">
        <v>70233683</v>
      </c>
      <c r="AR809" s="1">
        <v>21465365</v>
      </c>
      <c r="AS809" s="1">
        <v>3219805</v>
      </c>
      <c r="AT809" s="1">
        <f t="shared" si="85"/>
        <v>138079521</v>
      </c>
    </row>
    <row r="810" spans="1:46" x14ac:dyDescent="0.2">
      <c r="A810" s="1" t="str">
        <f>"00925"</f>
        <v>00925</v>
      </c>
      <c r="B810" s="1" t="str">
        <f>"سياوش"</f>
        <v>سياوش</v>
      </c>
      <c r="C810" s="1" t="str">
        <f>"ايرانپور"</f>
        <v>ايرانپور</v>
      </c>
      <c r="D810" s="1" t="str">
        <f t="shared" si="88"/>
        <v>قراردادي بهره بردار</v>
      </c>
      <c r="E810" s="1" t="str">
        <f t="shared" si="89"/>
        <v>پروژه بهره برداري نيروگاه بوشهر</v>
      </c>
      <c r="F810" s="1">
        <v>24040376</v>
      </c>
      <c r="G810" s="1">
        <v>31454349</v>
      </c>
      <c r="H810" s="1">
        <v>0</v>
      </c>
      <c r="I810" s="1">
        <v>24501048</v>
      </c>
      <c r="J810" s="1">
        <v>0</v>
      </c>
      <c r="K810" s="1">
        <v>5500000</v>
      </c>
      <c r="L810" s="1">
        <v>0</v>
      </c>
      <c r="M810" s="1">
        <v>1000000</v>
      </c>
      <c r="N810" s="1">
        <v>3742425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14368165</v>
      </c>
      <c r="W810" s="1">
        <v>1900000</v>
      </c>
      <c r="X810" s="1">
        <v>3489732</v>
      </c>
      <c r="Y810" s="1">
        <v>0</v>
      </c>
      <c r="Z810" s="1">
        <v>0</v>
      </c>
      <c r="AA810" s="1">
        <v>0</v>
      </c>
      <c r="AB810" s="1">
        <v>0</v>
      </c>
      <c r="AC810" s="1">
        <v>5520480</v>
      </c>
      <c r="AD810" s="1">
        <v>0</v>
      </c>
      <c r="AE810" s="1">
        <v>2673161</v>
      </c>
      <c r="AF810" s="1">
        <v>1516881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14162331</v>
      </c>
      <c r="AM810" s="1">
        <v>0</v>
      </c>
      <c r="AN810" s="1">
        <v>0</v>
      </c>
      <c r="AO810" s="1">
        <v>133868948</v>
      </c>
      <c r="AP810" s="1">
        <v>47863539</v>
      </c>
      <c r="AQ810" s="1">
        <v>86005409</v>
      </c>
      <c r="AR810" s="1">
        <v>21944212</v>
      </c>
      <c r="AS810" s="1">
        <v>3291632</v>
      </c>
      <c r="AT810" s="1">
        <f t="shared" si="85"/>
        <v>159104792</v>
      </c>
    </row>
    <row r="811" spans="1:46" x14ac:dyDescent="0.2">
      <c r="A811" s="1" t="str">
        <f>"00926"</f>
        <v>00926</v>
      </c>
      <c r="B811" s="1" t="str">
        <f>"حسين"</f>
        <v>حسين</v>
      </c>
      <c r="C811" s="1" t="str">
        <f>"بادسار"</f>
        <v>بادسار</v>
      </c>
      <c r="D811" s="1" t="str">
        <f t="shared" si="88"/>
        <v>قراردادي بهره بردار</v>
      </c>
      <c r="E811" s="1" t="str">
        <f t="shared" si="89"/>
        <v>پروژه بهره برداري نيروگاه بوشهر</v>
      </c>
      <c r="F811" s="1">
        <v>14414587</v>
      </c>
      <c r="G811" s="1">
        <v>17857059</v>
      </c>
      <c r="H811" s="1">
        <v>0</v>
      </c>
      <c r="I811" s="1">
        <v>13722840</v>
      </c>
      <c r="J811" s="1">
        <v>0</v>
      </c>
      <c r="K811" s="1">
        <v>4620000</v>
      </c>
      <c r="L811" s="1">
        <v>0</v>
      </c>
      <c r="M811" s="1">
        <v>1000000</v>
      </c>
      <c r="N811" s="1">
        <v>2790909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1606000</v>
      </c>
      <c r="U811" s="1">
        <v>0</v>
      </c>
      <c r="V811" s="1">
        <v>8510492</v>
      </c>
      <c r="W811" s="1">
        <v>1900000</v>
      </c>
      <c r="X811" s="1">
        <v>2092440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1993507</v>
      </c>
      <c r="AF811" s="1">
        <v>4550643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11288505</v>
      </c>
      <c r="AM811" s="1">
        <v>0</v>
      </c>
      <c r="AN811" s="1">
        <v>0</v>
      </c>
      <c r="AO811" s="1">
        <v>86346982</v>
      </c>
      <c r="AP811" s="1">
        <v>13834215</v>
      </c>
      <c r="AQ811" s="1">
        <v>72512767</v>
      </c>
      <c r="AR811" s="1">
        <v>16038068</v>
      </c>
      <c r="AS811" s="1">
        <v>2405710</v>
      </c>
      <c r="AT811" s="1">
        <f t="shared" si="85"/>
        <v>104790760</v>
      </c>
    </row>
    <row r="812" spans="1:46" x14ac:dyDescent="0.2">
      <c r="A812" s="1" t="str">
        <f>"00927"</f>
        <v>00927</v>
      </c>
      <c r="B812" s="1" t="str">
        <f>"محمدمهدي"</f>
        <v>محمدمهدي</v>
      </c>
      <c r="C812" s="1" t="str">
        <f>"باروني"</f>
        <v>باروني</v>
      </c>
      <c r="D812" s="1" t="str">
        <f t="shared" si="88"/>
        <v>قراردادي بهره بردار</v>
      </c>
      <c r="E812" s="1" t="str">
        <f t="shared" si="89"/>
        <v>پروژه بهره برداري نيروگاه بوشهر</v>
      </c>
      <c r="F812" s="1">
        <v>13448503</v>
      </c>
      <c r="G812" s="1">
        <v>19523647</v>
      </c>
      <c r="H812" s="1">
        <v>0</v>
      </c>
      <c r="I812" s="1">
        <v>13860081</v>
      </c>
      <c r="J812" s="1">
        <v>0</v>
      </c>
      <c r="K812" s="1">
        <v>0</v>
      </c>
      <c r="L812" s="1">
        <v>0</v>
      </c>
      <c r="M812" s="1">
        <v>1000000</v>
      </c>
      <c r="N812" s="1">
        <v>2452780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7998972</v>
      </c>
      <c r="W812" s="1">
        <v>1900000</v>
      </c>
      <c r="X812" s="1">
        <v>1952202</v>
      </c>
      <c r="Y812" s="1">
        <v>0</v>
      </c>
      <c r="Z812" s="1">
        <v>0</v>
      </c>
      <c r="AA812" s="1">
        <v>0</v>
      </c>
      <c r="AB812" s="1">
        <v>0</v>
      </c>
      <c r="AC812" s="1">
        <v>1331925</v>
      </c>
      <c r="AD812" s="1">
        <v>0</v>
      </c>
      <c r="AE812" s="1">
        <v>1751986</v>
      </c>
      <c r="AF812" s="1">
        <v>3033762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10392413</v>
      </c>
      <c r="AM812" s="1">
        <v>0</v>
      </c>
      <c r="AN812" s="1">
        <v>0</v>
      </c>
      <c r="AO812" s="1">
        <v>78646271</v>
      </c>
      <c r="AP812" s="1">
        <v>48984713</v>
      </c>
      <c r="AQ812" s="1">
        <v>29661558</v>
      </c>
      <c r="AR812" s="1">
        <v>15122502</v>
      </c>
      <c r="AS812" s="1">
        <v>2268375</v>
      </c>
      <c r="AT812" s="1">
        <f t="shared" si="85"/>
        <v>96037148</v>
      </c>
    </row>
    <row r="813" spans="1:46" x14ac:dyDescent="0.2">
      <c r="A813" s="1" t="str">
        <f>"00928"</f>
        <v>00928</v>
      </c>
      <c r="B813" s="1" t="str">
        <f>"احد"</f>
        <v>احد</v>
      </c>
      <c r="C813" s="1" t="str">
        <f>"باصري"</f>
        <v>باصري</v>
      </c>
      <c r="D813" s="1" t="str">
        <f t="shared" si="88"/>
        <v>قراردادي بهره بردار</v>
      </c>
      <c r="E813" s="1" t="str">
        <f t="shared" si="89"/>
        <v>پروژه بهره برداري نيروگاه بوشهر</v>
      </c>
      <c r="F813" s="1">
        <v>26428203</v>
      </c>
      <c r="G813" s="1">
        <v>16190782</v>
      </c>
      <c r="H813" s="1">
        <v>0</v>
      </c>
      <c r="I813" s="1">
        <v>23914385</v>
      </c>
      <c r="J813" s="1">
        <v>0</v>
      </c>
      <c r="K813" s="1">
        <v>0</v>
      </c>
      <c r="L813" s="1">
        <v>0</v>
      </c>
      <c r="M813" s="1">
        <v>1000000</v>
      </c>
      <c r="N813" s="1">
        <v>3873537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1606000</v>
      </c>
      <c r="U813" s="1">
        <v>0</v>
      </c>
      <c r="V813" s="1">
        <v>16326243</v>
      </c>
      <c r="W813" s="1">
        <v>1900000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2766812</v>
      </c>
      <c r="AF813" s="1">
        <v>3033762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5810305</v>
      </c>
      <c r="AM813" s="1">
        <v>0</v>
      </c>
      <c r="AN813" s="1">
        <v>0</v>
      </c>
      <c r="AO813" s="1">
        <v>102850029</v>
      </c>
      <c r="AP813" s="1">
        <v>45391419</v>
      </c>
      <c r="AQ813" s="1">
        <v>57458610</v>
      </c>
      <c r="AR813" s="1">
        <v>19642053</v>
      </c>
      <c r="AS813" s="1">
        <v>2946308</v>
      </c>
      <c r="AT813" s="1">
        <f t="shared" si="85"/>
        <v>125438390</v>
      </c>
    </row>
    <row r="814" spans="1:46" x14ac:dyDescent="0.2">
      <c r="A814" s="1" t="str">
        <f>"00929"</f>
        <v>00929</v>
      </c>
      <c r="B814" s="1" t="str">
        <f>"علي اصغر"</f>
        <v>علي اصغر</v>
      </c>
      <c r="C814" s="1" t="str">
        <f>"بوستان"</f>
        <v>بوستان</v>
      </c>
      <c r="D814" s="1" t="str">
        <f t="shared" si="88"/>
        <v>قراردادي بهره بردار</v>
      </c>
      <c r="E814" s="1" t="str">
        <f t="shared" si="89"/>
        <v>پروژه بهره برداري نيروگاه بوشهر</v>
      </c>
      <c r="F814" s="1">
        <v>20230807</v>
      </c>
      <c r="G814" s="1">
        <v>27736467</v>
      </c>
      <c r="H814" s="1">
        <v>0</v>
      </c>
      <c r="I814" s="1">
        <v>20348164</v>
      </c>
      <c r="J814" s="1">
        <v>0</v>
      </c>
      <c r="K814" s="1">
        <v>4620000</v>
      </c>
      <c r="L814" s="1">
        <v>0</v>
      </c>
      <c r="M814" s="1">
        <v>1000000</v>
      </c>
      <c r="N814" s="1">
        <v>4092056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12143466</v>
      </c>
      <c r="W814" s="1">
        <v>1900000</v>
      </c>
      <c r="X814" s="1">
        <v>2936730</v>
      </c>
      <c r="Y814" s="1">
        <v>0</v>
      </c>
      <c r="Z814" s="1">
        <v>7680474</v>
      </c>
      <c r="AA814" s="1">
        <v>0</v>
      </c>
      <c r="AB814" s="1">
        <v>0</v>
      </c>
      <c r="AC814" s="1">
        <v>0</v>
      </c>
      <c r="AD814" s="1">
        <v>0</v>
      </c>
      <c r="AE814" s="1">
        <v>2922897</v>
      </c>
      <c r="AF814" s="1">
        <v>6067524</v>
      </c>
      <c r="AG814" s="1">
        <v>4037750</v>
      </c>
      <c r="AH814" s="1">
        <v>0</v>
      </c>
      <c r="AI814" s="1">
        <v>0</v>
      </c>
      <c r="AJ814" s="1">
        <v>0</v>
      </c>
      <c r="AK814" s="1">
        <v>0</v>
      </c>
      <c r="AL814" s="1">
        <v>14837933</v>
      </c>
      <c r="AM814" s="1">
        <v>0</v>
      </c>
      <c r="AN814" s="1">
        <v>0</v>
      </c>
      <c r="AO814" s="1">
        <v>130554268</v>
      </c>
      <c r="AP814" s="1">
        <v>41684795</v>
      </c>
      <c r="AQ814" s="1">
        <v>88869473</v>
      </c>
      <c r="AR814" s="1">
        <v>21944212</v>
      </c>
      <c r="AS814" s="1">
        <v>3291632</v>
      </c>
      <c r="AT814" s="1">
        <f t="shared" si="85"/>
        <v>155790112</v>
      </c>
    </row>
    <row r="815" spans="1:46" x14ac:dyDescent="0.2">
      <c r="A815" s="1" t="str">
        <f>"00930"</f>
        <v>00930</v>
      </c>
      <c r="B815" s="1" t="str">
        <f>"فيض اله"</f>
        <v>فيض اله</v>
      </c>
      <c r="C815" s="1" t="str">
        <f>"بهي مقدم"</f>
        <v>بهي مقدم</v>
      </c>
      <c r="D815" s="1" t="str">
        <f t="shared" si="88"/>
        <v>قراردادي بهره بردار</v>
      </c>
      <c r="E815" s="1" t="str">
        <f t="shared" si="89"/>
        <v>پروژه بهره برداري نيروگاه بوشهر</v>
      </c>
      <c r="F815" s="1">
        <v>11122015</v>
      </c>
      <c r="G815" s="1">
        <v>13810983</v>
      </c>
      <c r="H815" s="1">
        <v>0</v>
      </c>
      <c r="I815" s="1">
        <v>10352065</v>
      </c>
      <c r="J815" s="1">
        <v>0</v>
      </c>
      <c r="K815" s="1">
        <v>4620000</v>
      </c>
      <c r="L815" s="1">
        <v>0</v>
      </c>
      <c r="M815" s="1">
        <v>1000000</v>
      </c>
      <c r="N815" s="1">
        <v>2041044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1606000</v>
      </c>
      <c r="U815" s="1">
        <v>0</v>
      </c>
      <c r="V815" s="1">
        <v>6510339</v>
      </c>
      <c r="W815" s="1">
        <v>1900000</v>
      </c>
      <c r="X815" s="1">
        <v>1614486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1457889</v>
      </c>
      <c r="AF815" s="1">
        <v>4550643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9291932</v>
      </c>
      <c r="AM815" s="1">
        <v>0</v>
      </c>
      <c r="AN815" s="1">
        <v>0</v>
      </c>
      <c r="AO815" s="1">
        <v>69877396</v>
      </c>
      <c r="AP815" s="1">
        <v>24066117</v>
      </c>
      <c r="AQ815" s="1">
        <v>45811279</v>
      </c>
      <c r="AR815" s="1">
        <v>12744151</v>
      </c>
      <c r="AS815" s="1">
        <v>1911623</v>
      </c>
      <c r="AT815" s="1">
        <f t="shared" si="85"/>
        <v>84533170</v>
      </c>
    </row>
    <row r="816" spans="1:46" x14ac:dyDescent="0.2">
      <c r="A816" s="1" t="str">
        <f>"00931"</f>
        <v>00931</v>
      </c>
      <c r="B816" s="1" t="str">
        <f>"محمدجواد"</f>
        <v>محمدجواد</v>
      </c>
      <c r="C816" s="1" t="str">
        <f>"پرهيزکار"</f>
        <v>پرهيزکار</v>
      </c>
      <c r="D816" s="1" t="str">
        <f t="shared" si="88"/>
        <v>قراردادي بهره بردار</v>
      </c>
      <c r="E816" s="1" t="str">
        <f t="shared" si="89"/>
        <v>پروژه بهره برداري نيروگاه بوشهر</v>
      </c>
      <c r="F816" s="1">
        <v>27608972</v>
      </c>
      <c r="G816" s="1">
        <v>11645588</v>
      </c>
      <c r="H816" s="1">
        <v>0</v>
      </c>
      <c r="I816" s="1">
        <v>24625855</v>
      </c>
      <c r="J816" s="1">
        <v>0</v>
      </c>
      <c r="K816" s="1">
        <v>0</v>
      </c>
      <c r="L816" s="1">
        <v>0</v>
      </c>
      <c r="M816" s="1">
        <v>1000000</v>
      </c>
      <c r="N816" s="1">
        <v>4286806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16503462</v>
      </c>
      <c r="W816" s="1">
        <v>1900000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3062004</v>
      </c>
      <c r="AF816" s="1">
        <v>1516881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6430209</v>
      </c>
      <c r="AM816" s="1">
        <v>0</v>
      </c>
      <c r="AN816" s="1">
        <v>0</v>
      </c>
      <c r="AO816" s="1">
        <v>98579777</v>
      </c>
      <c r="AP816" s="1">
        <v>31542403</v>
      </c>
      <c r="AQ816" s="1">
        <v>67037374</v>
      </c>
      <c r="AR816" s="1">
        <v>19412579</v>
      </c>
      <c r="AS816" s="1">
        <v>2911887</v>
      </c>
      <c r="AT816" s="1">
        <f t="shared" si="85"/>
        <v>120904243</v>
      </c>
    </row>
    <row r="817" spans="1:46" x14ac:dyDescent="0.2">
      <c r="A817" s="1" t="str">
        <f>"00932"</f>
        <v>00932</v>
      </c>
      <c r="B817" s="1" t="str">
        <f>"مختار"</f>
        <v>مختار</v>
      </c>
      <c r="C817" s="1" t="str">
        <f>"جعفري"</f>
        <v>جعفري</v>
      </c>
      <c r="D817" s="1" t="str">
        <f t="shared" si="88"/>
        <v>قراردادي بهره بردار</v>
      </c>
      <c r="E817" s="1" t="str">
        <f t="shared" si="89"/>
        <v>پروژه بهره برداري نيروگاه بوشهر</v>
      </c>
      <c r="F817" s="1">
        <v>14029029</v>
      </c>
      <c r="G817" s="1">
        <v>18001425</v>
      </c>
      <c r="H817" s="1">
        <v>0</v>
      </c>
      <c r="I817" s="1">
        <v>13471772</v>
      </c>
      <c r="J817" s="1">
        <v>0</v>
      </c>
      <c r="K817" s="1">
        <v>4620000</v>
      </c>
      <c r="L817" s="1">
        <v>0</v>
      </c>
      <c r="M817" s="1">
        <v>1000000</v>
      </c>
      <c r="N817" s="1">
        <v>2655964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7965332</v>
      </c>
      <c r="W817" s="1">
        <v>1900000</v>
      </c>
      <c r="X817" s="1">
        <v>2036472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1897117</v>
      </c>
      <c r="AF817" s="1">
        <v>1516881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11001966</v>
      </c>
      <c r="AM817" s="1">
        <v>0</v>
      </c>
      <c r="AN817" s="1">
        <v>0</v>
      </c>
      <c r="AO817" s="1">
        <v>80095958</v>
      </c>
      <c r="AP817" s="1">
        <v>30672562</v>
      </c>
      <c r="AQ817" s="1">
        <v>49423396</v>
      </c>
      <c r="AR817" s="1">
        <v>15715815</v>
      </c>
      <c r="AS817" s="1">
        <v>2357372</v>
      </c>
      <c r="AT817" s="1">
        <f t="shared" si="85"/>
        <v>98169145</v>
      </c>
    </row>
    <row r="818" spans="1:46" x14ac:dyDescent="0.2">
      <c r="A818" s="1" t="str">
        <f>"00933"</f>
        <v>00933</v>
      </c>
      <c r="B818" s="1" t="str">
        <f>"پيام"</f>
        <v>پيام</v>
      </c>
      <c r="C818" s="1" t="str">
        <f>"جعفري زاده"</f>
        <v>جعفري زاده</v>
      </c>
      <c r="D818" s="1" t="str">
        <f t="shared" si="88"/>
        <v>قراردادي بهره بردار</v>
      </c>
      <c r="E818" s="1" t="str">
        <f t="shared" si="89"/>
        <v>پروژه بهره برداري نيروگاه بوشهر</v>
      </c>
      <c r="F818" s="1">
        <v>14009313</v>
      </c>
      <c r="G818" s="1">
        <v>18630012</v>
      </c>
      <c r="H818" s="1">
        <v>0</v>
      </c>
      <c r="I818" s="1">
        <v>13809465</v>
      </c>
      <c r="J818" s="1">
        <v>0</v>
      </c>
      <c r="K818" s="1">
        <v>4620000</v>
      </c>
      <c r="L818" s="1">
        <v>0</v>
      </c>
      <c r="M818" s="1">
        <v>1000000</v>
      </c>
      <c r="N818" s="1">
        <v>2649064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8243471</v>
      </c>
      <c r="W818" s="1">
        <v>1900000</v>
      </c>
      <c r="X818" s="1">
        <v>2033610</v>
      </c>
      <c r="Y818" s="1">
        <v>0</v>
      </c>
      <c r="Z818" s="1">
        <v>0</v>
      </c>
      <c r="AA818" s="1">
        <v>0</v>
      </c>
      <c r="AB818" s="1">
        <v>0</v>
      </c>
      <c r="AC818" s="1">
        <v>1331925</v>
      </c>
      <c r="AD818" s="1">
        <v>0</v>
      </c>
      <c r="AE818" s="1">
        <v>1892188</v>
      </c>
      <c r="AF818" s="1">
        <v>1516881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10867350</v>
      </c>
      <c r="AM818" s="1">
        <v>0</v>
      </c>
      <c r="AN818" s="1">
        <v>0</v>
      </c>
      <c r="AO818" s="1">
        <v>82503279</v>
      </c>
      <c r="AP818" s="1">
        <v>31867451</v>
      </c>
      <c r="AQ818" s="1">
        <v>50635828</v>
      </c>
      <c r="AR818" s="1">
        <v>16197280</v>
      </c>
      <c r="AS818" s="1">
        <v>2429592</v>
      </c>
      <c r="AT818" s="1">
        <f t="shared" si="85"/>
        <v>101130151</v>
      </c>
    </row>
    <row r="819" spans="1:46" x14ac:dyDescent="0.2">
      <c r="A819" s="1" t="str">
        <f>"00934"</f>
        <v>00934</v>
      </c>
      <c r="B819" s="1" t="str">
        <f>"اميد"</f>
        <v>اميد</v>
      </c>
      <c r="C819" s="1" t="str">
        <f>"جوکار"</f>
        <v>جوکار</v>
      </c>
      <c r="D819" s="1" t="str">
        <f t="shared" si="88"/>
        <v>قراردادي بهره بردار</v>
      </c>
      <c r="E819" s="1" t="str">
        <f t="shared" si="89"/>
        <v>پروژه بهره برداري نيروگاه بوشهر</v>
      </c>
      <c r="F819" s="1">
        <v>31315580</v>
      </c>
      <c r="G819" s="1">
        <v>14669648</v>
      </c>
      <c r="H819" s="1">
        <v>0</v>
      </c>
      <c r="I819" s="1">
        <v>29756780</v>
      </c>
      <c r="J819" s="1">
        <v>0</v>
      </c>
      <c r="K819" s="1">
        <v>0</v>
      </c>
      <c r="L819" s="1">
        <v>0</v>
      </c>
      <c r="M819" s="1">
        <v>1000000</v>
      </c>
      <c r="N819" s="1">
        <v>5584119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1606000</v>
      </c>
      <c r="U819" s="1">
        <v>0</v>
      </c>
      <c r="V819" s="1">
        <v>24779110</v>
      </c>
      <c r="W819" s="1">
        <v>1900000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3988656</v>
      </c>
      <c r="AF819" s="1">
        <v>3033762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8296405</v>
      </c>
      <c r="AM819" s="1">
        <v>0</v>
      </c>
      <c r="AN819" s="1">
        <v>0</v>
      </c>
      <c r="AO819" s="1">
        <v>125930060</v>
      </c>
      <c r="AP819" s="1">
        <v>33817829</v>
      </c>
      <c r="AQ819" s="1">
        <v>92112231</v>
      </c>
      <c r="AR819" s="1">
        <v>21983613</v>
      </c>
      <c r="AS819" s="1">
        <v>3297542</v>
      </c>
      <c r="AT819" s="1">
        <f t="shared" si="85"/>
        <v>151211215</v>
      </c>
    </row>
    <row r="820" spans="1:46" x14ac:dyDescent="0.2">
      <c r="A820" s="1" t="str">
        <f>"00935"</f>
        <v>00935</v>
      </c>
      <c r="B820" s="1" t="str">
        <f>"حسين"</f>
        <v>حسين</v>
      </c>
      <c r="C820" s="1" t="str">
        <f>"چغادکي نژاد"</f>
        <v>چغادکي نژاد</v>
      </c>
      <c r="D820" s="1" t="str">
        <f t="shared" si="88"/>
        <v>قراردادي بهره بردار</v>
      </c>
      <c r="E820" s="1" t="str">
        <f t="shared" si="89"/>
        <v>پروژه بهره برداري نيروگاه بوشهر</v>
      </c>
      <c r="F820" s="1">
        <v>14460591</v>
      </c>
      <c r="G820" s="1">
        <v>19078794</v>
      </c>
      <c r="H820" s="1">
        <v>0</v>
      </c>
      <c r="I820" s="1">
        <v>14793265</v>
      </c>
      <c r="J820" s="1">
        <v>0</v>
      </c>
      <c r="K820" s="1">
        <v>4620000</v>
      </c>
      <c r="L820" s="1">
        <v>0</v>
      </c>
      <c r="M820" s="1">
        <v>1000000</v>
      </c>
      <c r="N820" s="1">
        <v>2807011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8442050</v>
      </c>
      <c r="W820" s="1">
        <v>1900000</v>
      </c>
      <c r="X820" s="1">
        <v>2099118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2005008</v>
      </c>
      <c r="AF820" s="1">
        <v>3033762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11566830</v>
      </c>
      <c r="AM820" s="1">
        <v>0</v>
      </c>
      <c r="AN820" s="1">
        <v>0</v>
      </c>
      <c r="AO820" s="1">
        <v>85806429</v>
      </c>
      <c r="AP820" s="1">
        <v>30973534</v>
      </c>
      <c r="AQ820" s="1">
        <v>54832895</v>
      </c>
      <c r="AR820" s="1">
        <v>16554533</v>
      </c>
      <c r="AS820" s="1">
        <v>2483180</v>
      </c>
      <c r="AT820" s="1">
        <f t="shared" si="85"/>
        <v>104844142</v>
      </c>
    </row>
    <row r="821" spans="1:46" x14ac:dyDescent="0.2">
      <c r="A821" s="1" t="str">
        <f>"00936"</f>
        <v>00936</v>
      </c>
      <c r="B821" s="1" t="str">
        <f>"سيدمحمد"</f>
        <v>سيدمحمد</v>
      </c>
      <c r="C821" s="1" t="str">
        <f>"حسيني"</f>
        <v>حسيني</v>
      </c>
      <c r="D821" s="1" t="str">
        <f t="shared" si="88"/>
        <v>قراردادي بهره بردار</v>
      </c>
      <c r="E821" s="1" t="str">
        <f t="shared" si="89"/>
        <v>پروژه بهره برداري نيروگاه بوشهر</v>
      </c>
      <c r="F821" s="1">
        <v>28971567</v>
      </c>
      <c r="G821" s="1">
        <v>21082641</v>
      </c>
      <c r="H821" s="1">
        <v>0</v>
      </c>
      <c r="I821" s="1">
        <v>27639079</v>
      </c>
      <c r="J821" s="1">
        <v>0</v>
      </c>
      <c r="K821" s="1">
        <v>5500000</v>
      </c>
      <c r="L821" s="1">
        <v>0</v>
      </c>
      <c r="M821" s="1">
        <v>1000000</v>
      </c>
      <c r="N821" s="1">
        <v>4763714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1606000</v>
      </c>
      <c r="U821" s="1">
        <v>0</v>
      </c>
      <c r="V821" s="1">
        <v>18682178</v>
      </c>
      <c r="W821" s="1">
        <v>1900000</v>
      </c>
      <c r="X821" s="1">
        <v>0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3402653</v>
      </c>
      <c r="AF821" s="1">
        <v>3033762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7077518</v>
      </c>
      <c r="AM821" s="1">
        <v>0</v>
      </c>
      <c r="AN821" s="1">
        <v>0</v>
      </c>
      <c r="AO821" s="1">
        <v>124659112</v>
      </c>
      <c r="AP821" s="1">
        <v>38709754</v>
      </c>
      <c r="AQ821" s="1">
        <v>85949358</v>
      </c>
      <c r="AR821" s="1">
        <v>21944212</v>
      </c>
      <c r="AS821" s="1">
        <v>3291632</v>
      </c>
      <c r="AT821" s="1">
        <f t="shared" si="85"/>
        <v>149894956</v>
      </c>
    </row>
    <row r="822" spans="1:46" x14ac:dyDescent="0.2">
      <c r="A822" s="1" t="str">
        <f>"00937"</f>
        <v>00937</v>
      </c>
      <c r="B822" s="1" t="str">
        <f>"سيدمسلم"</f>
        <v>سيدمسلم</v>
      </c>
      <c r="C822" s="1" t="str">
        <f>"حسيني"</f>
        <v>حسيني</v>
      </c>
      <c r="D822" s="1" t="str">
        <f t="shared" si="88"/>
        <v>قراردادي بهره بردار</v>
      </c>
      <c r="E822" s="1" t="str">
        <f t="shared" si="89"/>
        <v>پروژه بهره برداري نيروگاه بوشهر</v>
      </c>
      <c r="F822" s="1">
        <v>14188948</v>
      </c>
      <c r="G822" s="1">
        <v>18251791</v>
      </c>
      <c r="H822" s="1">
        <v>0</v>
      </c>
      <c r="I822" s="1">
        <v>13557100</v>
      </c>
      <c r="J822" s="1">
        <v>0</v>
      </c>
      <c r="K822" s="1">
        <v>0</v>
      </c>
      <c r="L822" s="1">
        <v>0</v>
      </c>
      <c r="M822" s="1">
        <v>1000000</v>
      </c>
      <c r="N822" s="1">
        <v>2711936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8168020</v>
      </c>
      <c r="W822" s="1">
        <v>1900000</v>
      </c>
      <c r="X822" s="1">
        <v>2059686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1937097</v>
      </c>
      <c r="AF822" s="1">
        <v>1516881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11167690</v>
      </c>
      <c r="AM822" s="1">
        <v>0</v>
      </c>
      <c r="AN822" s="1">
        <v>0</v>
      </c>
      <c r="AO822" s="1">
        <v>76459149</v>
      </c>
      <c r="AP822" s="1">
        <v>20800927</v>
      </c>
      <c r="AQ822" s="1">
        <v>55658222</v>
      </c>
      <c r="AR822" s="1">
        <v>14988454</v>
      </c>
      <c r="AS822" s="1">
        <v>2248268</v>
      </c>
      <c r="AT822" s="1">
        <f t="shared" si="85"/>
        <v>93695871</v>
      </c>
    </row>
    <row r="823" spans="1:46" x14ac:dyDescent="0.2">
      <c r="A823" s="1" t="str">
        <f>"00938"</f>
        <v>00938</v>
      </c>
      <c r="B823" s="1" t="str">
        <f>"فرشاد"</f>
        <v>فرشاد</v>
      </c>
      <c r="C823" s="1" t="str">
        <f>"خدري"</f>
        <v>خدري</v>
      </c>
      <c r="D823" s="1" t="str">
        <f t="shared" si="88"/>
        <v>قراردادي بهره بردار</v>
      </c>
      <c r="E823" s="1" t="str">
        <f t="shared" si="89"/>
        <v>پروژه بهره برداري نيروگاه بوشهر</v>
      </c>
      <c r="F823" s="1">
        <v>15244849</v>
      </c>
      <c r="G823" s="1">
        <v>19447442</v>
      </c>
      <c r="H823" s="1">
        <v>0</v>
      </c>
      <c r="I823" s="1">
        <v>15874137</v>
      </c>
      <c r="J823" s="1">
        <v>0</v>
      </c>
      <c r="K823" s="1">
        <v>4620000</v>
      </c>
      <c r="L823" s="1">
        <v>0</v>
      </c>
      <c r="M823" s="1">
        <v>1000000</v>
      </c>
      <c r="N823" s="1">
        <v>3081501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1606000</v>
      </c>
      <c r="U823" s="1">
        <v>0</v>
      </c>
      <c r="V823" s="1">
        <v>9268452</v>
      </c>
      <c r="W823" s="1">
        <v>1900000</v>
      </c>
      <c r="X823" s="1">
        <v>2212962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2201072</v>
      </c>
      <c r="AF823" s="1">
        <v>3033762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11746245</v>
      </c>
      <c r="AM823" s="1">
        <v>0</v>
      </c>
      <c r="AN823" s="1">
        <v>0</v>
      </c>
      <c r="AO823" s="1">
        <v>91236422</v>
      </c>
      <c r="AP823" s="1">
        <v>15025656</v>
      </c>
      <c r="AQ823" s="1">
        <v>76210766</v>
      </c>
      <c r="AR823" s="1">
        <v>17319332</v>
      </c>
      <c r="AS823" s="1">
        <v>2597900</v>
      </c>
      <c r="AT823" s="1">
        <f t="shared" si="85"/>
        <v>111153654</v>
      </c>
    </row>
    <row r="824" spans="1:46" x14ac:dyDescent="0.2">
      <c r="A824" s="1" t="str">
        <f>"00939"</f>
        <v>00939</v>
      </c>
      <c r="B824" s="1" t="str">
        <f>"مهدي"</f>
        <v>مهدي</v>
      </c>
      <c r="C824" s="1" t="str">
        <f>"خليلي"</f>
        <v>خليلي</v>
      </c>
      <c r="D824" s="1" t="str">
        <f t="shared" si="88"/>
        <v>قراردادي بهره بردار</v>
      </c>
      <c r="E824" s="1" t="str">
        <f t="shared" si="89"/>
        <v>پروژه بهره برداري نيروگاه بوشهر</v>
      </c>
      <c r="F824" s="1">
        <v>14495641</v>
      </c>
      <c r="G824" s="1">
        <v>27514173</v>
      </c>
      <c r="H824" s="1">
        <v>0</v>
      </c>
      <c r="I824" s="1">
        <v>14334051</v>
      </c>
      <c r="J824" s="1">
        <v>0</v>
      </c>
      <c r="K824" s="1">
        <v>4620000</v>
      </c>
      <c r="L824" s="1">
        <v>0</v>
      </c>
      <c r="M824" s="1">
        <v>1000000</v>
      </c>
      <c r="N824" s="1">
        <v>2819278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1606000</v>
      </c>
      <c r="U824" s="1">
        <v>0</v>
      </c>
      <c r="V824" s="1">
        <v>8433637</v>
      </c>
      <c r="W824" s="1">
        <v>1900000</v>
      </c>
      <c r="X824" s="1">
        <v>2104206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2013770</v>
      </c>
      <c r="AF824" s="1">
        <v>11730546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11316655</v>
      </c>
      <c r="AM824" s="1">
        <v>0</v>
      </c>
      <c r="AN824" s="1">
        <v>0</v>
      </c>
      <c r="AO824" s="1">
        <v>103887957</v>
      </c>
      <c r="AP824" s="1">
        <v>36062055</v>
      </c>
      <c r="AQ824" s="1">
        <v>67825902</v>
      </c>
      <c r="AR824" s="1">
        <v>18110282</v>
      </c>
      <c r="AS824" s="1">
        <v>2716542</v>
      </c>
      <c r="AT824" s="1">
        <f t="shared" si="85"/>
        <v>124714781</v>
      </c>
    </row>
    <row r="825" spans="1:46" x14ac:dyDescent="0.2">
      <c r="A825" s="1" t="str">
        <f>"00940"</f>
        <v>00940</v>
      </c>
      <c r="B825" s="1" t="str">
        <f>"رسول"</f>
        <v>رسول</v>
      </c>
      <c r="C825" s="1" t="str">
        <f>"خورسند نژاد"</f>
        <v>خورسند نژاد</v>
      </c>
      <c r="D825" s="1" t="str">
        <f t="shared" si="88"/>
        <v>قراردادي بهره بردار</v>
      </c>
      <c r="E825" s="1" t="str">
        <f t="shared" si="89"/>
        <v>پروژه بهره برداري نيروگاه بوشهر</v>
      </c>
      <c r="F825" s="1">
        <v>28434853</v>
      </c>
      <c r="G825" s="1">
        <v>36012969</v>
      </c>
      <c r="H825" s="1">
        <v>0</v>
      </c>
      <c r="I825" s="1">
        <v>29329083</v>
      </c>
      <c r="J825" s="1">
        <v>0</v>
      </c>
      <c r="K825" s="1">
        <v>0</v>
      </c>
      <c r="L825" s="1">
        <v>0</v>
      </c>
      <c r="M825" s="1">
        <v>1000000</v>
      </c>
      <c r="N825" s="1">
        <v>4575865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16476877</v>
      </c>
      <c r="W825" s="1">
        <v>1900000</v>
      </c>
      <c r="X825" s="1">
        <v>4127640</v>
      </c>
      <c r="Y825" s="1">
        <v>0</v>
      </c>
      <c r="Z825" s="1">
        <v>0</v>
      </c>
      <c r="AA825" s="1">
        <v>0</v>
      </c>
      <c r="AB825" s="1">
        <v>0</v>
      </c>
      <c r="AC825" s="1">
        <v>2957400</v>
      </c>
      <c r="AD825" s="1">
        <v>0</v>
      </c>
      <c r="AE825" s="1">
        <v>3268475</v>
      </c>
      <c r="AF825" s="1">
        <v>3033762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17028490</v>
      </c>
      <c r="AM825" s="1">
        <v>0</v>
      </c>
      <c r="AN825" s="1">
        <v>0</v>
      </c>
      <c r="AO825" s="1">
        <v>148145414</v>
      </c>
      <c r="AP825" s="1">
        <v>52953534</v>
      </c>
      <c r="AQ825" s="1">
        <v>95191880</v>
      </c>
      <c r="AR825" s="1">
        <v>21944212</v>
      </c>
      <c r="AS825" s="1">
        <v>3291632</v>
      </c>
      <c r="AT825" s="1">
        <f t="shared" si="85"/>
        <v>173381258</v>
      </c>
    </row>
    <row r="826" spans="1:46" x14ac:dyDescent="0.2">
      <c r="A826" s="1" t="str">
        <f>"00941"</f>
        <v>00941</v>
      </c>
      <c r="B826" s="1" t="str">
        <f>"عباس"</f>
        <v>عباس</v>
      </c>
      <c r="C826" s="1" t="str">
        <f>"دريسي"</f>
        <v>دريسي</v>
      </c>
      <c r="D826" s="1" t="str">
        <f t="shared" si="88"/>
        <v>قراردادي بهره بردار</v>
      </c>
      <c r="E826" s="1" t="str">
        <f t="shared" si="89"/>
        <v>پروژه بهره برداري نيروگاه بوشهر</v>
      </c>
      <c r="F826" s="1">
        <v>14449637</v>
      </c>
      <c r="G826" s="1">
        <v>21737491</v>
      </c>
      <c r="H826" s="1">
        <v>0</v>
      </c>
      <c r="I826" s="1">
        <v>14272968</v>
      </c>
      <c r="J826" s="1">
        <v>0</v>
      </c>
      <c r="K826" s="1">
        <v>4620000</v>
      </c>
      <c r="L826" s="1">
        <v>0</v>
      </c>
      <c r="M826" s="1">
        <v>1000000</v>
      </c>
      <c r="N826" s="1">
        <v>2803177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8291792</v>
      </c>
      <c r="W826" s="1">
        <v>1900000</v>
      </c>
      <c r="X826" s="1">
        <v>2097528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2002269</v>
      </c>
      <c r="AF826" s="1">
        <v>1516881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11292449</v>
      </c>
      <c r="AM826" s="1">
        <v>0</v>
      </c>
      <c r="AN826" s="1">
        <v>0</v>
      </c>
      <c r="AO826" s="1">
        <v>85984192</v>
      </c>
      <c r="AP826" s="1">
        <v>19894967</v>
      </c>
      <c r="AQ826" s="1">
        <v>66089225</v>
      </c>
      <c r="AR826" s="1">
        <v>16893462</v>
      </c>
      <c r="AS826" s="1">
        <v>2534019</v>
      </c>
      <c r="AT826" s="1">
        <f t="shared" si="85"/>
        <v>105411673</v>
      </c>
    </row>
    <row r="827" spans="1:46" x14ac:dyDescent="0.2">
      <c r="A827" s="1" t="str">
        <f>"00942"</f>
        <v>00942</v>
      </c>
      <c r="B827" s="1" t="str">
        <f>"سعيد"</f>
        <v>سعيد</v>
      </c>
      <c r="C827" s="1" t="str">
        <f>"دشتي"</f>
        <v>دشتي</v>
      </c>
      <c r="D827" s="1" t="str">
        <f t="shared" si="88"/>
        <v>قراردادي بهره بردار</v>
      </c>
      <c r="E827" s="1" t="str">
        <f t="shared" si="89"/>
        <v>پروژه بهره برداري نيروگاه بوشهر</v>
      </c>
      <c r="F827" s="1">
        <v>17472757</v>
      </c>
      <c r="G827" s="1">
        <v>23401541</v>
      </c>
      <c r="H827" s="1">
        <v>0</v>
      </c>
      <c r="I827" s="1">
        <v>20328183</v>
      </c>
      <c r="J827" s="1">
        <v>0</v>
      </c>
      <c r="K827" s="1">
        <v>4620000</v>
      </c>
      <c r="L827" s="1">
        <v>0</v>
      </c>
      <c r="M827" s="1">
        <v>1000000</v>
      </c>
      <c r="N827" s="1">
        <v>3516239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11152936</v>
      </c>
      <c r="W827" s="1">
        <v>1900000</v>
      </c>
      <c r="X827" s="1">
        <v>2536368</v>
      </c>
      <c r="Y827" s="1">
        <v>0</v>
      </c>
      <c r="Z827" s="1">
        <v>0</v>
      </c>
      <c r="AA827" s="1">
        <v>0</v>
      </c>
      <c r="AB827" s="1">
        <v>0</v>
      </c>
      <c r="AC827" s="1">
        <v>1331925</v>
      </c>
      <c r="AD827" s="1">
        <v>0</v>
      </c>
      <c r="AE827" s="1">
        <v>2511599</v>
      </c>
      <c r="AF827" s="1">
        <v>3033762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12776625</v>
      </c>
      <c r="AM827" s="1">
        <v>0</v>
      </c>
      <c r="AN827" s="1">
        <v>0</v>
      </c>
      <c r="AO827" s="1">
        <v>105581935</v>
      </c>
      <c r="AP827" s="1">
        <v>35570618</v>
      </c>
      <c r="AQ827" s="1">
        <v>70011317</v>
      </c>
      <c r="AR827" s="1">
        <v>20509635</v>
      </c>
      <c r="AS827" s="1">
        <v>3076445</v>
      </c>
      <c r="AT827" s="1">
        <f t="shared" si="85"/>
        <v>129168015</v>
      </c>
    </row>
    <row r="828" spans="1:46" x14ac:dyDescent="0.2">
      <c r="A828" s="1" t="str">
        <f>"00943"</f>
        <v>00943</v>
      </c>
      <c r="B828" s="1" t="str">
        <f>"يحيي"</f>
        <v>يحيي</v>
      </c>
      <c r="C828" s="1" t="str">
        <f>"دهقان"</f>
        <v>دهقان</v>
      </c>
      <c r="D828" s="1" t="str">
        <f t="shared" si="88"/>
        <v>قراردادي بهره بردار</v>
      </c>
      <c r="E828" s="1" t="str">
        <f t="shared" si="89"/>
        <v>پروژه بهره برداري نيروگاه بوشهر</v>
      </c>
      <c r="F828" s="1">
        <v>26390961</v>
      </c>
      <c r="G828" s="1">
        <v>0</v>
      </c>
      <c r="H828" s="1">
        <v>0</v>
      </c>
      <c r="I828" s="1">
        <v>23056893</v>
      </c>
      <c r="J828" s="1">
        <v>0</v>
      </c>
      <c r="K828" s="1">
        <v>5500000</v>
      </c>
      <c r="L828" s="1">
        <v>0</v>
      </c>
      <c r="M828" s="1">
        <v>1000000</v>
      </c>
      <c r="N828" s="1">
        <v>3860502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1606000</v>
      </c>
      <c r="U828" s="1">
        <v>0</v>
      </c>
      <c r="V828" s="1">
        <v>15450365</v>
      </c>
      <c r="W828" s="1">
        <v>1900000</v>
      </c>
      <c r="X828" s="1">
        <v>0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2757502</v>
      </c>
      <c r="AF828" s="1">
        <v>1516881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5735603</v>
      </c>
      <c r="AM828" s="1">
        <v>0</v>
      </c>
      <c r="AN828" s="1">
        <v>0</v>
      </c>
      <c r="AO828" s="1">
        <v>88774707</v>
      </c>
      <c r="AP828" s="1">
        <v>44633360</v>
      </c>
      <c r="AQ828" s="1">
        <v>44141347</v>
      </c>
      <c r="AR828" s="1">
        <v>17130365</v>
      </c>
      <c r="AS828" s="1">
        <v>2569555</v>
      </c>
      <c r="AT828" s="1">
        <f t="shared" si="85"/>
        <v>108474627</v>
      </c>
    </row>
    <row r="829" spans="1:46" x14ac:dyDescent="0.2">
      <c r="A829" s="1" t="str">
        <f>"00944"</f>
        <v>00944</v>
      </c>
      <c r="B829" s="1" t="str">
        <f>"علي"</f>
        <v>علي</v>
      </c>
      <c r="C829" s="1" t="str">
        <f>"دهقاني"</f>
        <v>دهقاني</v>
      </c>
      <c r="D829" s="1" t="str">
        <f t="shared" si="88"/>
        <v>قراردادي بهره بردار</v>
      </c>
      <c r="E829" s="1" t="str">
        <f t="shared" si="89"/>
        <v>پروژه بهره برداري نيروگاه بوشهر</v>
      </c>
      <c r="F829" s="1">
        <v>13437549</v>
      </c>
      <c r="G829" s="1">
        <v>16443834</v>
      </c>
      <c r="H829" s="1">
        <v>0</v>
      </c>
      <c r="I829" s="1">
        <v>12757543</v>
      </c>
      <c r="J829" s="1">
        <v>0</v>
      </c>
      <c r="K829" s="1">
        <v>0</v>
      </c>
      <c r="L829" s="1">
        <v>0</v>
      </c>
      <c r="M829" s="1">
        <v>1000000</v>
      </c>
      <c r="N829" s="1">
        <v>2448946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1606000</v>
      </c>
      <c r="U829" s="1">
        <v>0</v>
      </c>
      <c r="V829" s="1">
        <v>7579295</v>
      </c>
      <c r="W829" s="1">
        <v>1900000</v>
      </c>
      <c r="X829" s="1">
        <v>1950612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1749247</v>
      </c>
      <c r="AF829" s="1">
        <v>1516881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10575881</v>
      </c>
      <c r="AM829" s="1">
        <v>0</v>
      </c>
      <c r="AN829" s="1">
        <v>0</v>
      </c>
      <c r="AO829" s="1">
        <v>72965788</v>
      </c>
      <c r="AP829" s="1">
        <v>32463327</v>
      </c>
      <c r="AQ829" s="1">
        <v>40502461</v>
      </c>
      <c r="AR829" s="1">
        <v>13968581</v>
      </c>
      <c r="AS829" s="1">
        <v>2095287</v>
      </c>
      <c r="AT829" s="1">
        <f t="shared" si="85"/>
        <v>89029656</v>
      </c>
    </row>
    <row r="830" spans="1:46" x14ac:dyDescent="0.2">
      <c r="A830" s="1" t="str">
        <f>"00945"</f>
        <v>00945</v>
      </c>
      <c r="B830" s="1" t="str">
        <f>"محسن"</f>
        <v>محسن</v>
      </c>
      <c r="C830" s="1" t="str">
        <f>"رجبي کرهرودي"</f>
        <v>رجبي کرهرودي</v>
      </c>
      <c r="D830" s="1" t="str">
        <f t="shared" si="88"/>
        <v>قراردادي بهره بردار</v>
      </c>
      <c r="E830" s="1" t="str">
        <f t="shared" si="89"/>
        <v>پروژه بهره برداري نيروگاه بوشهر</v>
      </c>
      <c r="F830" s="1">
        <v>13135237</v>
      </c>
      <c r="G830" s="1">
        <v>17072681</v>
      </c>
      <c r="H830" s="1">
        <v>0</v>
      </c>
      <c r="I830" s="1">
        <v>13192966</v>
      </c>
      <c r="J830" s="1">
        <v>0</v>
      </c>
      <c r="K830" s="1">
        <v>0</v>
      </c>
      <c r="L830" s="1">
        <v>0</v>
      </c>
      <c r="M830" s="1">
        <v>1000000</v>
      </c>
      <c r="N830" s="1">
        <v>2343137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1606000</v>
      </c>
      <c r="U830" s="1">
        <v>0</v>
      </c>
      <c r="V830" s="1">
        <v>6619957</v>
      </c>
      <c r="W830" s="1">
        <v>1900000</v>
      </c>
      <c r="X830" s="1">
        <v>1906728</v>
      </c>
      <c r="Y830" s="1">
        <v>0</v>
      </c>
      <c r="Z830" s="1">
        <v>0</v>
      </c>
      <c r="AA830" s="1">
        <v>0</v>
      </c>
      <c r="AB830" s="1">
        <v>0</v>
      </c>
      <c r="AC830" s="1">
        <v>1331925</v>
      </c>
      <c r="AD830" s="1">
        <v>0</v>
      </c>
      <c r="AE830" s="1">
        <v>1673669</v>
      </c>
      <c r="AF830" s="1">
        <v>1516881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10091963</v>
      </c>
      <c r="AM830" s="1">
        <v>0</v>
      </c>
      <c r="AN830" s="1">
        <v>0</v>
      </c>
      <c r="AO830" s="1">
        <v>73391144</v>
      </c>
      <c r="AP830" s="1">
        <v>33133893</v>
      </c>
      <c r="AQ830" s="1">
        <v>40257251</v>
      </c>
      <c r="AR830" s="1">
        <v>14053653</v>
      </c>
      <c r="AS830" s="1">
        <v>2108048</v>
      </c>
      <c r="AT830" s="1">
        <f t="shared" si="85"/>
        <v>89552845</v>
      </c>
    </row>
    <row r="831" spans="1:46" x14ac:dyDescent="0.2">
      <c r="A831" s="1" t="str">
        <f>"00946"</f>
        <v>00946</v>
      </c>
      <c r="B831" s="1" t="str">
        <f>"فتح اله"</f>
        <v>فتح اله</v>
      </c>
      <c r="C831" s="1" t="str">
        <f>"روانان"</f>
        <v>روانان</v>
      </c>
      <c r="D831" s="1" t="str">
        <f t="shared" si="88"/>
        <v>قراردادي بهره بردار</v>
      </c>
      <c r="E831" s="1" t="str">
        <f t="shared" si="89"/>
        <v>پروژه بهره برداري نيروگاه بوشهر</v>
      </c>
      <c r="F831" s="1">
        <v>13503269</v>
      </c>
      <c r="G831" s="1">
        <v>16560381</v>
      </c>
      <c r="H831" s="1">
        <v>0</v>
      </c>
      <c r="I831" s="1">
        <v>13246808</v>
      </c>
      <c r="J831" s="1">
        <v>0</v>
      </c>
      <c r="K831" s="1">
        <v>4620000</v>
      </c>
      <c r="L831" s="1">
        <v>0</v>
      </c>
      <c r="M831" s="1">
        <v>1000000</v>
      </c>
      <c r="N831" s="1">
        <v>2471948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7281870</v>
      </c>
      <c r="W831" s="1">
        <v>1900000</v>
      </c>
      <c r="X831" s="1">
        <v>1960152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1765677</v>
      </c>
      <c r="AF831" s="1">
        <v>1516881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10622981</v>
      </c>
      <c r="AM831" s="1">
        <v>0</v>
      </c>
      <c r="AN831" s="1">
        <v>0</v>
      </c>
      <c r="AO831" s="1">
        <v>76449967</v>
      </c>
      <c r="AP831" s="1">
        <v>23239016</v>
      </c>
      <c r="AQ831" s="1">
        <v>53210951</v>
      </c>
      <c r="AR831" s="1">
        <v>14986617</v>
      </c>
      <c r="AS831" s="1">
        <v>2247993</v>
      </c>
      <c r="AT831" s="1">
        <f t="shared" si="85"/>
        <v>93684577</v>
      </c>
    </row>
    <row r="832" spans="1:46" x14ac:dyDescent="0.2">
      <c r="A832" s="1" t="str">
        <f>"00947"</f>
        <v>00947</v>
      </c>
      <c r="B832" s="1" t="str">
        <f>"عليرضا"</f>
        <v>عليرضا</v>
      </c>
      <c r="C832" s="1" t="str">
        <f>"زارع پور"</f>
        <v>زارع پور</v>
      </c>
      <c r="D832" s="1" t="str">
        <f t="shared" si="88"/>
        <v>قراردادي بهره بردار</v>
      </c>
      <c r="E832" s="1" t="str">
        <f t="shared" si="89"/>
        <v>پروژه بهره برداري نيروگاه بوشهر</v>
      </c>
      <c r="F832" s="1">
        <v>16471623</v>
      </c>
      <c r="G832" s="1">
        <v>21475831</v>
      </c>
      <c r="H832" s="1">
        <v>0</v>
      </c>
      <c r="I832" s="1">
        <v>18213532</v>
      </c>
      <c r="J832" s="1">
        <v>0</v>
      </c>
      <c r="K832" s="1">
        <v>4620000</v>
      </c>
      <c r="L832" s="1">
        <v>0</v>
      </c>
      <c r="M832" s="1">
        <v>1000000</v>
      </c>
      <c r="N832" s="1">
        <v>3165842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10235162</v>
      </c>
      <c r="W832" s="1">
        <v>1900000</v>
      </c>
      <c r="X832" s="1">
        <v>2391042</v>
      </c>
      <c r="Y832" s="1">
        <v>0</v>
      </c>
      <c r="Z832" s="1">
        <v>0</v>
      </c>
      <c r="AA832" s="1">
        <v>0</v>
      </c>
      <c r="AB832" s="1">
        <v>0</v>
      </c>
      <c r="AC832" s="1">
        <v>1331925</v>
      </c>
      <c r="AD832" s="1">
        <v>0</v>
      </c>
      <c r="AE832" s="1">
        <v>2261316</v>
      </c>
      <c r="AF832" s="1">
        <v>3033762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11725434</v>
      </c>
      <c r="AM832" s="1">
        <v>0</v>
      </c>
      <c r="AN832" s="1">
        <v>0</v>
      </c>
      <c r="AO832" s="1">
        <v>97825469</v>
      </c>
      <c r="AP832" s="1">
        <v>47828037</v>
      </c>
      <c r="AQ832" s="1">
        <v>49997432</v>
      </c>
      <c r="AR832" s="1">
        <v>18958341</v>
      </c>
      <c r="AS832" s="1">
        <v>2843751</v>
      </c>
      <c r="AT832" s="1">
        <f t="shared" si="85"/>
        <v>119627561</v>
      </c>
    </row>
    <row r="833" spans="1:46" x14ac:dyDescent="0.2">
      <c r="A833" s="1" t="str">
        <f>"00948"</f>
        <v>00948</v>
      </c>
      <c r="B833" s="1" t="str">
        <f>"سعيد"</f>
        <v>سعيد</v>
      </c>
      <c r="C833" s="1" t="str">
        <f>"زارعي"</f>
        <v>زارعي</v>
      </c>
      <c r="D833" s="1" t="str">
        <f t="shared" ref="D833:D866" si="90">"قراردادي بهره بردار"</f>
        <v>قراردادي بهره بردار</v>
      </c>
      <c r="E833" s="1" t="str">
        <f t="shared" ref="E833:E866" si="91">"پروژه بهره برداري نيروگاه بوشهر"</f>
        <v>پروژه بهره برداري نيروگاه بوشهر</v>
      </c>
      <c r="F833" s="1">
        <v>14642416</v>
      </c>
      <c r="G833" s="1">
        <v>29598959</v>
      </c>
      <c r="H833" s="1">
        <v>0</v>
      </c>
      <c r="I833" s="1">
        <v>14301435</v>
      </c>
      <c r="J833" s="1">
        <v>0</v>
      </c>
      <c r="K833" s="1">
        <v>3465000</v>
      </c>
      <c r="L833" s="1">
        <v>0</v>
      </c>
      <c r="M833" s="1">
        <v>1000000</v>
      </c>
      <c r="N833" s="1">
        <v>2870650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1606000</v>
      </c>
      <c r="U833" s="1">
        <v>0</v>
      </c>
      <c r="V833" s="1">
        <v>8076885</v>
      </c>
      <c r="W833" s="1">
        <v>1900000</v>
      </c>
      <c r="X833" s="1">
        <v>2125512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2050464</v>
      </c>
      <c r="AF833" s="1">
        <v>0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9211753</v>
      </c>
      <c r="AM833" s="1">
        <v>0</v>
      </c>
      <c r="AN833" s="1">
        <v>0</v>
      </c>
      <c r="AO833" s="1">
        <v>90849074</v>
      </c>
      <c r="AP833" s="1">
        <v>30703846</v>
      </c>
      <c r="AQ833" s="1">
        <v>60145228</v>
      </c>
      <c r="AR833" s="1">
        <v>17848615</v>
      </c>
      <c r="AS833" s="1">
        <v>2677292</v>
      </c>
      <c r="AT833" s="1">
        <f t="shared" si="85"/>
        <v>111374981</v>
      </c>
    </row>
    <row r="834" spans="1:46" x14ac:dyDescent="0.2">
      <c r="A834" s="1" t="str">
        <f>"00949"</f>
        <v>00949</v>
      </c>
      <c r="B834" s="1" t="str">
        <f>"رضا"</f>
        <v>رضا</v>
      </c>
      <c r="C834" s="1" t="str">
        <f>"زبردست"</f>
        <v>زبردست</v>
      </c>
      <c r="D834" s="1" t="str">
        <f t="shared" si="90"/>
        <v>قراردادي بهره بردار</v>
      </c>
      <c r="E834" s="1" t="str">
        <f t="shared" si="91"/>
        <v>پروژه بهره برداري نيروگاه بوشهر</v>
      </c>
      <c r="F834" s="1">
        <v>14274384</v>
      </c>
      <c r="G834" s="1">
        <v>18771667</v>
      </c>
      <c r="H834" s="1">
        <v>0</v>
      </c>
      <c r="I834" s="1">
        <v>15531279</v>
      </c>
      <c r="J834" s="1">
        <v>0</v>
      </c>
      <c r="K834" s="1">
        <v>3465000</v>
      </c>
      <c r="L834" s="1">
        <v>0</v>
      </c>
      <c r="M834" s="1">
        <v>1000000</v>
      </c>
      <c r="N834" s="1">
        <v>2741838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8652242</v>
      </c>
      <c r="W834" s="1">
        <v>1900000</v>
      </c>
      <c r="X834" s="1">
        <v>2072088</v>
      </c>
      <c r="Y834" s="1">
        <v>0</v>
      </c>
      <c r="Z834" s="1">
        <v>0</v>
      </c>
      <c r="AA834" s="1">
        <v>0</v>
      </c>
      <c r="AB834" s="1">
        <v>0</v>
      </c>
      <c r="AC834" s="1">
        <v>1331925</v>
      </c>
      <c r="AD834" s="1">
        <v>0</v>
      </c>
      <c r="AE834" s="1">
        <v>1958456</v>
      </c>
      <c r="AF834" s="1">
        <v>0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10930989</v>
      </c>
      <c r="AM834" s="1">
        <v>0</v>
      </c>
      <c r="AN834" s="1">
        <v>0</v>
      </c>
      <c r="AO834" s="1">
        <v>82629868</v>
      </c>
      <c r="AP834" s="1">
        <v>33077630</v>
      </c>
      <c r="AQ834" s="1">
        <v>49552238</v>
      </c>
      <c r="AR834" s="1">
        <v>16525974</v>
      </c>
      <c r="AS834" s="1">
        <v>2478896</v>
      </c>
      <c r="AT834" s="1">
        <f t="shared" si="85"/>
        <v>101634738</v>
      </c>
    </row>
    <row r="835" spans="1:46" x14ac:dyDescent="0.2">
      <c r="A835" s="1" t="str">
        <f>"00950"</f>
        <v>00950</v>
      </c>
      <c r="B835" s="1" t="str">
        <f>"قاسم"</f>
        <v>قاسم</v>
      </c>
      <c r="C835" s="1" t="str">
        <f>"زنده بودي"</f>
        <v>زنده بودي</v>
      </c>
      <c r="D835" s="1" t="str">
        <f t="shared" si="90"/>
        <v>قراردادي بهره بردار</v>
      </c>
      <c r="E835" s="1" t="str">
        <f t="shared" si="91"/>
        <v>پروژه بهره برداري نيروگاه بوشهر</v>
      </c>
      <c r="F835" s="1">
        <v>20362243</v>
      </c>
      <c r="G835" s="1">
        <v>34052757</v>
      </c>
      <c r="H835" s="1">
        <v>0</v>
      </c>
      <c r="I835" s="1">
        <v>24910225</v>
      </c>
      <c r="J835" s="1">
        <v>0</v>
      </c>
      <c r="K835" s="1">
        <v>4620000</v>
      </c>
      <c r="L835" s="1">
        <v>0</v>
      </c>
      <c r="M835" s="1">
        <v>1000000</v>
      </c>
      <c r="N835" s="1">
        <v>4872591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1606000</v>
      </c>
      <c r="U835" s="1">
        <v>0</v>
      </c>
      <c r="V835" s="1">
        <v>13270197</v>
      </c>
      <c r="W835" s="1">
        <v>1900000</v>
      </c>
      <c r="X835" s="1">
        <v>2955810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3480418</v>
      </c>
      <c r="AF835" s="1">
        <v>1516881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18105308</v>
      </c>
      <c r="AM835" s="1">
        <v>0</v>
      </c>
      <c r="AN835" s="1">
        <v>0</v>
      </c>
      <c r="AO835" s="1">
        <v>132652430</v>
      </c>
      <c r="AP835" s="1">
        <v>22844304</v>
      </c>
      <c r="AQ835" s="1">
        <v>109808126</v>
      </c>
      <c r="AR835" s="1">
        <v>25905909</v>
      </c>
      <c r="AS835" s="1">
        <v>3885884</v>
      </c>
      <c r="AT835" s="1">
        <f t="shared" ref="AT835:AT898" si="92">AO835+AR835+AS835</f>
        <v>162444223</v>
      </c>
    </row>
    <row r="836" spans="1:46" x14ac:dyDescent="0.2">
      <c r="A836" s="1" t="str">
        <f>"00951"</f>
        <v>00951</v>
      </c>
      <c r="B836" s="1" t="str">
        <f>"شهرام"</f>
        <v>شهرام</v>
      </c>
      <c r="C836" s="1" t="str">
        <f>"زنگنه"</f>
        <v>زنگنه</v>
      </c>
      <c r="D836" s="1" t="str">
        <f t="shared" si="90"/>
        <v>قراردادي بهره بردار</v>
      </c>
      <c r="E836" s="1" t="str">
        <f t="shared" si="91"/>
        <v>پروژه بهره برداري نيروگاه بوشهر</v>
      </c>
      <c r="F836" s="1">
        <v>17065293</v>
      </c>
      <c r="G836" s="1">
        <v>23903061</v>
      </c>
      <c r="H836" s="1">
        <v>0</v>
      </c>
      <c r="I836" s="1">
        <v>18398623</v>
      </c>
      <c r="J836" s="1">
        <v>0</v>
      </c>
      <c r="K836" s="1">
        <v>4620000</v>
      </c>
      <c r="L836" s="1">
        <v>0</v>
      </c>
      <c r="M836" s="1">
        <v>1000000</v>
      </c>
      <c r="N836" s="1">
        <v>3373627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10317242</v>
      </c>
      <c r="W836" s="1">
        <v>1900000</v>
      </c>
      <c r="X836" s="1">
        <v>2477220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2409733</v>
      </c>
      <c r="AF836" s="1">
        <v>4550643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12348788</v>
      </c>
      <c r="AM836" s="1">
        <v>0</v>
      </c>
      <c r="AN836" s="1">
        <v>0</v>
      </c>
      <c r="AO836" s="1">
        <v>102364230</v>
      </c>
      <c r="AP836" s="1">
        <v>18003438</v>
      </c>
      <c r="AQ836" s="1">
        <v>84360792</v>
      </c>
      <c r="AR836" s="1">
        <v>19562717</v>
      </c>
      <c r="AS836" s="1">
        <v>2934408</v>
      </c>
      <c r="AT836" s="1">
        <f t="shared" si="92"/>
        <v>124861355</v>
      </c>
    </row>
    <row r="837" spans="1:46" x14ac:dyDescent="0.2">
      <c r="A837" s="1" t="str">
        <f>"00952"</f>
        <v>00952</v>
      </c>
      <c r="B837" s="1" t="str">
        <f>"علي"</f>
        <v>علي</v>
      </c>
      <c r="C837" s="1" t="str">
        <f>"ساعي"</f>
        <v>ساعي</v>
      </c>
      <c r="D837" s="1" t="str">
        <f t="shared" si="90"/>
        <v>قراردادي بهره بردار</v>
      </c>
      <c r="E837" s="1" t="str">
        <f t="shared" si="91"/>
        <v>پروژه بهره برداري نيروگاه بوشهر</v>
      </c>
      <c r="F837" s="1">
        <v>28044915</v>
      </c>
      <c r="G837" s="1">
        <v>20379504</v>
      </c>
      <c r="H837" s="1">
        <v>0</v>
      </c>
      <c r="I837" s="1">
        <v>25600194</v>
      </c>
      <c r="J837" s="1">
        <v>0</v>
      </c>
      <c r="K837" s="1">
        <v>0</v>
      </c>
      <c r="L837" s="1">
        <v>0</v>
      </c>
      <c r="M837" s="1">
        <v>1000000</v>
      </c>
      <c r="N837" s="1">
        <v>4439386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14601631</v>
      </c>
      <c r="W837" s="1">
        <v>1900000</v>
      </c>
      <c r="X837" s="1">
        <v>0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3170990</v>
      </c>
      <c r="AF837" s="1">
        <v>1516881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6659079</v>
      </c>
      <c r="AM837" s="1">
        <v>0</v>
      </c>
      <c r="AN837" s="1">
        <v>0</v>
      </c>
      <c r="AO837" s="1">
        <v>107312580</v>
      </c>
      <c r="AP837" s="1">
        <v>43280239</v>
      </c>
      <c r="AQ837" s="1">
        <v>64032341</v>
      </c>
      <c r="AR837" s="1">
        <v>21159140</v>
      </c>
      <c r="AS837" s="1">
        <v>3173871</v>
      </c>
      <c r="AT837" s="1">
        <f t="shared" si="92"/>
        <v>131645591</v>
      </c>
    </row>
    <row r="838" spans="1:46" x14ac:dyDescent="0.2">
      <c r="A838" s="1" t="str">
        <f>"00953"</f>
        <v>00953</v>
      </c>
      <c r="B838" s="1" t="str">
        <f>"علي اکبر"</f>
        <v>علي اکبر</v>
      </c>
      <c r="C838" s="1" t="str">
        <f>"سلماني مشکاني"</f>
        <v>سلماني مشکاني</v>
      </c>
      <c r="D838" s="1" t="str">
        <f t="shared" si="90"/>
        <v>قراردادي بهره بردار</v>
      </c>
      <c r="E838" s="1" t="str">
        <f t="shared" si="91"/>
        <v>پروژه بهره برداري نيروگاه بوشهر</v>
      </c>
      <c r="F838" s="1">
        <v>17996327</v>
      </c>
      <c r="G838" s="1">
        <v>9194014</v>
      </c>
      <c r="H838" s="1">
        <v>0</v>
      </c>
      <c r="I838" s="1">
        <v>17938106</v>
      </c>
      <c r="J838" s="1">
        <v>0</v>
      </c>
      <c r="K838" s="1">
        <v>4620000</v>
      </c>
      <c r="L838" s="1">
        <v>0</v>
      </c>
      <c r="M838" s="1">
        <v>1000000</v>
      </c>
      <c r="N838" s="1">
        <v>3239448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4737903</v>
      </c>
      <c r="W838" s="1">
        <v>1900000</v>
      </c>
      <c r="X838" s="1">
        <v>0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2313892</v>
      </c>
      <c r="AF838" s="1">
        <v>3033762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5891250</v>
      </c>
      <c r="AM838" s="1">
        <v>0</v>
      </c>
      <c r="AN838" s="1">
        <v>0</v>
      </c>
      <c r="AO838" s="1">
        <v>71864702</v>
      </c>
      <c r="AP838" s="1">
        <v>10707427</v>
      </c>
      <c r="AQ838" s="1">
        <v>61157275</v>
      </c>
      <c r="AR838" s="1">
        <v>13766188</v>
      </c>
      <c r="AS838" s="1">
        <v>2064928</v>
      </c>
      <c r="AT838" s="1">
        <f t="shared" si="92"/>
        <v>87695818</v>
      </c>
    </row>
    <row r="839" spans="1:46" x14ac:dyDescent="0.2">
      <c r="A839" s="1" t="str">
        <f>"00954"</f>
        <v>00954</v>
      </c>
      <c r="B839" s="1" t="str">
        <f>"کامران"</f>
        <v>کامران</v>
      </c>
      <c r="C839" s="1" t="str">
        <f>"صادقي"</f>
        <v>صادقي</v>
      </c>
      <c r="D839" s="1" t="str">
        <f t="shared" si="90"/>
        <v>قراردادي بهره بردار</v>
      </c>
      <c r="E839" s="1" t="str">
        <f t="shared" si="91"/>
        <v>پروژه بهره برداري نيروگاه بوشهر</v>
      </c>
      <c r="F839" s="1">
        <v>16210933</v>
      </c>
      <c r="G839" s="1">
        <v>24483714</v>
      </c>
      <c r="H839" s="1">
        <v>0</v>
      </c>
      <c r="I839" s="1">
        <v>15899253</v>
      </c>
      <c r="J839" s="1">
        <v>0</v>
      </c>
      <c r="K839" s="1">
        <v>0</v>
      </c>
      <c r="L839" s="1">
        <v>0</v>
      </c>
      <c r="M839" s="1">
        <v>1000000</v>
      </c>
      <c r="N839" s="1">
        <v>3074601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1606000</v>
      </c>
      <c r="U839" s="1">
        <v>0</v>
      </c>
      <c r="V839" s="1">
        <v>9033823</v>
      </c>
      <c r="W839" s="1">
        <v>1900000</v>
      </c>
      <c r="X839" s="1">
        <v>2353200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2196143</v>
      </c>
      <c r="AF839" s="1">
        <v>1516881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9548021</v>
      </c>
      <c r="AM839" s="1">
        <v>0</v>
      </c>
      <c r="AN839" s="1">
        <v>0</v>
      </c>
      <c r="AO839" s="1">
        <v>88822569</v>
      </c>
      <c r="AP839" s="1">
        <v>41964959</v>
      </c>
      <c r="AQ839" s="1">
        <v>46857610</v>
      </c>
      <c r="AR839" s="1">
        <v>17139938</v>
      </c>
      <c r="AS839" s="1">
        <v>2570991</v>
      </c>
      <c r="AT839" s="1">
        <f t="shared" si="92"/>
        <v>108533498</v>
      </c>
    </row>
    <row r="840" spans="1:46" x14ac:dyDescent="0.2">
      <c r="A840" s="1" t="str">
        <f>"00956"</f>
        <v>00956</v>
      </c>
      <c r="B840" s="1" t="str">
        <f>"امين"</f>
        <v>امين</v>
      </c>
      <c r="C840" s="1" t="str">
        <f>"ظاهري عبده وند"</f>
        <v>ظاهري عبده وند</v>
      </c>
      <c r="D840" s="1" t="str">
        <f t="shared" si="90"/>
        <v>قراردادي بهره بردار</v>
      </c>
      <c r="E840" s="1" t="str">
        <f t="shared" si="91"/>
        <v>پروژه بهره برداري نيروگاه بوشهر</v>
      </c>
      <c r="F840" s="1">
        <v>14335723</v>
      </c>
      <c r="G840" s="1">
        <v>21670729</v>
      </c>
      <c r="H840" s="1">
        <v>0</v>
      </c>
      <c r="I840" s="1">
        <v>15621370</v>
      </c>
      <c r="J840" s="1">
        <v>0</v>
      </c>
      <c r="K840" s="1">
        <v>4620000</v>
      </c>
      <c r="L840" s="1">
        <v>0</v>
      </c>
      <c r="M840" s="1">
        <v>1000000</v>
      </c>
      <c r="N840" s="1">
        <v>2763307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8717217</v>
      </c>
      <c r="W840" s="1">
        <v>1900000</v>
      </c>
      <c r="X840" s="1">
        <v>2080992</v>
      </c>
      <c r="Y840" s="1">
        <v>0</v>
      </c>
      <c r="Z840" s="1">
        <v>0</v>
      </c>
      <c r="AA840" s="1">
        <v>0</v>
      </c>
      <c r="AB840" s="1">
        <v>0</v>
      </c>
      <c r="AC840" s="1">
        <v>1331925</v>
      </c>
      <c r="AD840" s="1">
        <v>0</v>
      </c>
      <c r="AE840" s="1">
        <v>1973791</v>
      </c>
      <c r="AF840" s="1">
        <v>0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11093974</v>
      </c>
      <c r="AM840" s="1">
        <v>0</v>
      </c>
      <c r="AN840" s="1">
        <v>0</v>
      </c>
      <c r="AO840" s="1">
        <v>87109028</v>
      </c>
      <c r="AP840" s="1">
        <v>40601758</v>
      </c>
      <c r="AQ840" s="1">
        <v>46507270</v>
      </c>
      <c r="AR840" s="1">
        <v>17421806</v>
      </c>
      <c r="AS840" s="1">
        <v>2613271</v>
      </c>
      <c r="AT840" s="1">
        <f t="shared" si="92"/>
        <v>107144105</v>
      </c>
    </row>
    <row r="841" spans="1:46" x14ac:dyDescent="0.2">
      <c r="A841" s="1" t="str">
        <f>"00957"</f>
        <v>00957</v>
      </c>
      <c r="B841" s="1" t="str">
        <f>"محمود"</f>
        <v>محمود</v>
      </c>
      <c r="C841" s="1" t="str">
        <f>"عابدي"</f>
        <v>عابدي</v>
      </c>
      <c r="D841" s="1" t="str">
        <f t="shared" si="90"/>
        <v>قراردادي بهره بردار</v>
      </c>
      <c r="E841" s="1" t="str">
        <f t="shared" si="91"/>
        <v>پروژه بهره برداري نيروگاه بوشهر</v>
      </c>
      <c r="F841" s="1">
        <v>15227324</v>
      </c>
      <c r="G841" s="1">
        <v>20357190</v>
      </c>
      <c r="H841" s="1">
        <v>0</v>
      </c>
      <c r="I841" s="1">
        <v>16389120</v>
      </c>
      <c r="J841" s="1">
        <v>0</v>
      </c>
      <c r="K841" s="1">
        <v>4620000</v>
      </c>
      <c r="L841" s="1">
        <v>0</v>
      </c>
      <c r="M841" s="1">
        <v>1000000</v>
      </c>
      <c r="N841" s="1">
        <v>3075367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1606000</v>
      </c>
      <c r="U841" s="1">
        <v>0</v>
      </c>
      <c r="V841" s="1">
        <v>9110225</v>
      </c>
      <c r="W841" s="1">
        <v>1900000</v>
      </c>
      <c r="X841" s="1">
        <v>2210418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2196691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11699365</v>
      </c>
      <c r="AM841" s="1">
        <v>0</v>
      </c>
      <c r="AN841" s="1">
        <v>0</v>
      </c>
      <c r="AO841" s="1">
        <v>89391700</v>
      </c>
      <c r="AP841" s="1">
        <v>14076791</v>
      </c>
      <c r="AQ841" s="1">
        <v>75314909</v>
      </c>
      <c r="AR841" s="1">
        <v>17557140</v>
      </c>
      <c r="AS841" s="1">
        <v>2633571</v>
      </c>
      <c r="AT841" s="1">
        <f t="shared" si="92"/>
        <v>109582411</v>
      </c>
    </row>
    <row r="842" spans="1:46" x14ac:dyDescent="0.2">
      <c r="A842" s="1" t="str">
        <f>"00958"</f>
        <v>00958</v>
      </c>
      <c r="B842" s="1" t="str">
        <f>"هادي"</f>
        <v>هادي</v>
      </c>
      <c r="C842" s="1" t="str">
        <f>"عباسي"</f>
        <v>عباسي</v>
      </c>
      <c r="D842" s="1" t="str">
        <f t="shared" si="90"/>
        <v>قراردادي بهره بردار</v>
      </c>
      <c r="E842" s="1" t="str">
        <f t="shared" si="91"/>
        <v>پروژه بهره برداري نيروگاه بوشهر</v>
      </c>
      <c r="F842" s="1">
        <v>13704811</v>
      </c>
      <c r="G842" s="1">
        <v>21327403</v>
      </c>
      <c r="H842" s="1">
        <v>0</v>
      </c>
      <c r="I842" s="1">
        <v>13519140</v>
      </c>
      <c r="J842" s="1">
        <v>0</v>
      </c>
      <c r="K842" s="1">
        <v>0</v>
      </c>
      <c r="L842" s="1">
        <v>0</v>
      </c>
      <c r="M842" s="1">
        <v>1000000</v>
      </c>
      <c r="N842" s="1">
        <v>2542488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1606000</v>
      </c>
      <c r="U842" s="1">
        <v>0</v>
      </c>
      <c r="V842" s="1">
        <v>7864185</v>
      </c>
      <c r="W842" s="1">
        <v>1900000</v>
      </c>
      <c r="X842" s="1">
        <v>1989408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1816063</v>
      </c>
      <c r="AF842" s="1">
        <v>1516881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10926607</v>
      </c>
      <c r="AM842" s="1">
        <v>0</v>
      </c>
      <c r="AN842" s="1">
        <v>0</v>
      </c>
      <c r="AO842" s="1">
        <v>79712986</v>
      </c>
      <c r="AP842" s="1">
        <v>34616914</v>
      </c>
      <c r="AQ842" s="1">
        <v>45096072</v>
      </c>
      <c r="AR842" s="1">
        <v>15318021</v>
      </c>
      <c r="AS842" s="1">
        <v>2297703</v>
      </c>
      <c r="AT842" s="1">
        <f t="shared" si="92"/>
        <v>97328710</v>
      </c>
    </row>
    <row r="843" spans="1:46" x14ac:dyDescent="0.2">
      <c r="A843" s="1" t="str">
        <f>"00959"</f>
        <v>00959</v>
      </c>
      <c r="B843" s="1" t="str">
        <f>"فرج اله"</f>
        <v>فرج اله</v>
      </c>
      <c r="C843" s="1" t="str">
        <f>"عرب انصاري"</f>
        <v>عرب انصاري</v>
      </c>
      <c r="D843" s="1" t="str">
        <f t="shared" si="90"/>
        <v>قراردادي بهره بردار</v>
      </c>
      <c r="E843" s="1" t="str">
        <f t="shared" si="91"/>
        <v>پروژه بهره برداري نيروگاه بوشهر</v>
      </c>
      <c r="F843" s="1">
        <v>28051487</v>
      </c>
      <c r="G843" s="1">
        <v>15375015</v>
      </c>
      <c r="H843" s="1">
        <v>0</v>
      </c>
      <c r="I843" s="1">
        <v>26360607</v>
      </c>
      <c r="J843" s="1">
        <v>0</v>
      </c>
      <c r="K843" s="1">
        <v>0</v>
      </c>
      <c r="L843" s="1">
        <v>0</v>
      </c>
      <c r="M843" s="1">
        <v>1000000</v>
      </c>
      <c r="N843" s="1">
        <v>4441686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1606000</v>
      </c>
      <c r="U843" s="1">
        <v>0</v>
      </c>
      <c r="V843" s="1">
        <v>18528882</v>
      </c>
      <c r="W843" s="1">
        <v>1900000</v>
      </c>
      <c r="X843" s="1">
        <v>0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3172633</v>
      </c>
      <c r="AF843" s="1">
        <v>3033762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6599076</v>
      </c>
      <c r="AM843" s="1">
        <v>0</v>
      </c>
      <c r="AN843" s="1">
        <v>0</v>
      </c>
      <c r="AO843" s="1">
        <v>110069148</v>
      </c>
      <c r="AP843" s="1">
        <v>49804531</v>
      </c>
      <c r="AQ843" s="1">
        <v>60264617</v>
      </c>
      <c r="AR843" s="1">
        <v>21085877</v>
      </c>
      <c r="AS843" s="1">
        <v>3162882</v>
      </c>
      <c r="AT843" s="1">
        <f t="shared" si="92"/>
        <v>134317907</v>
      </c>
    </row>
    <row r="844" spans="1:46" x14ac:dyDescent="0.2">
      <c r="A844" s="1" t="str">
        <f>"00960"</f>
        <v>00960</v>
      </c>
      <c r="B844" s="1" t="str">
        <f>"کورش"</f>
        <v>کورش</v>
      </c>
      <c r="C844" s="1" t="str">
        <f>"عفيفيان"</f>
        <v>عفيفيان</v>
      </c>
      <c r="D844" s="1" t="str">
        <f t="shared" si="90"/>
        <v>قراردادي بهره بردار</v>
      </c>
      <c r="E844" s="1" t="str">
        <f t="shared" si="91"/>
        <v>پروژه بهره برداري نيروگاه بوشهر</v>
      </c>
      <c r="F844" s="1">
        <v>26592503</v>
      </c>
      <c r="G844" s="1">
        <v>31445789</v>
      </c>
      <c r="H844" s="1">
        <v>0</v>
      </c>
      <c r="I844" s="1">
        <v>26613920</v>
      </c>
      <c r="J844" s="1">
        <v>0</v>
      </c>
      <c r="K844" s="1">
        <v>5500000</v>
      </c>
      <c r="L844" s="1">
        <v>0</v>
      </c>
      <c r="M844" s="1">
        <v>1000000</v>
      </c>
      <c r="N844" s="1">
        <v>3931042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1606000</v>
      </c>
      <c r="U844" s="1">
        <v>0</v>
      </c>
      <c r="V844" s="1">
        <v>14658939</v>
      </c>
      <c r="W844" s="1">
        <v>1900000</v>
      </c>
      <c r="X844" s="1">
        <v>3860202</v>
      </c>
      <c r="Y844" s="1">
        <v>0</v>
      </c>
      <c r="Z844" s="1">
        <v>0</v>
      </c>
      <c r="AA844" s="1">
        <v>0</v>
      </c>
      <c r="AB844" s="1">
        <v>0</v>
      </c>
      <c r="AC844" s="1">
        <v>2957400</v>
      </c>
      <c r="AD844" s="1">
        <v>0</v>
      </c>
      <c r="AE844" s="1">
        <v>2807887</v>
      </c>
      <c r="AF844" s="1">
        <v>3033762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15278257</v>
      </c>
      <c r="AM844" s="1">
        <v>0</v>
      </c>
      <c r="AN844" s="1">
        <v>0</v>
      </c>
      <c r="AO844" s="1">
        <v>141185701</v>
      </c>
      <c r="AP844" s="1">
        <v>53045324</v>
      </c>
      <c r="AQ844" s="1">
        <v>88140377</v>
      </c>
      <c r="AR844" s="1">
        <v>21944212</v>
      </c>
      <c r="AS844" s="1">
        <v>3291632</v>
      </c>
      <c r="AT844" s="1">
        <f t="shared" si="92"/>
        <v>166421545</v>
      </c>
    </row>
    <row r="845" spans="1:46" x14ac:dyDescent="0.2">
      <c r="A845" s="1" t="str">
        <f>"00961"</f>
        <v>00961</v>
      </c>
      <c r="B845" s="1" t="str">
        <f>"احمد"</f>
        <v>احمد</v>
      </c>
      <c r="C845" s="1" t="str">
        <f>"علي زاده"</f>
        <v>علي زاده</v>
      </c>
      <c r="D845" s="1" t="str">
        <f t="shared" si="90"/>
        <v>قراردادي بهره بردار</v>
      </c>
      <c r="E845" s="1" t="str">
        <f t="shared" si="91"/>
        <v>پروژه بهره برداري نيروگاه بوشهر</v>
      </c>
      <c r="F845" s="1">
        <v>14900915</v>
      </c>
      <c r="G845" s="1">
        <v>19041294</v>
      </c>
      <c r="H845" s="1">
        <v>0</v>
      </c>
      <c r="I845" s="1">
        <v>15925048</v>
      </c>
      <c r="J845" s="1">
        <v>0</v>
      </c>
      <c r="K845" s="1">
        <v>4620000</v>
      </c>
      <c r="L845" s="1">
        <v>0</v>
      </c>
      <c r="M845" s="1">
        <v>1000000</v>
      </c>
      <c r="N845" s="1">
        <v>2961124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1606000</v>
      </c>
      <c r="U845" s="1">
        <v>0</v>
      </c>
      <c r="V845" s="1">
        <v>8776517</v>
      </c>
      <c r="W845" s="1">
        <v>1900000</v>
      </c>
      <c r="X845" s="1">
        <v>2163036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2115089</v>
      </c>
      <c r="AF845" s="1">
        <v>3033762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11538460</v>
      </c>
      <c r="AM845" s="1">
        <v>0</v>
      </c>
      <c r="AN845" s="1">
        <v>0</v>
      </c>
      <c r="AO845" s="1">
        <v>89581245</v>
      </c>
      <c r="AP845" s="1">
        <v>35862860</v>
      </c>
      <c r="AQ845" s="1">
        <v>53718385</v>
      </c>
      <c r="AR845" s="1">
        <v>16988297</v>
      </c>
      <c r="AS845" s="1">
        <v>2548244</v>
      </c>
      <c r="AT845" s="1">
        <f t="shared" si="92"/>
        <v>109117786</v>
      </c>
    </row>
    <row r="846" spans="1:46" x14ac:dyDescent="0.2">
      <c r="A846" s="1" t="str">
        <f>"00962"</f>
        <v>00962</v>
      </c>
      <c r="B846" s="1" t="str">
        <f>"کيانوش"</f>
        <v>کيانوش</v>
      </c>
      <c r="C846" s="1" t="str">
        <f>"غذباني"</f>
        <v>غذباني</v>
      </c>
      <c r="D846" s="1" t="str">
        <f t="shared" si="90"/>
        <v>قراردادي بهره بردار</v>
      </c>
      <c r="E846" s="1" t="str">
        <f t="shared" si="91"/>
        <v>پروژه بهره برداري نيروگاه بوشهر</v>
      </c>
      <c r="F846" s="1">
        <v>14440875</v>
      </c>
      <c r="G846" s="1">
        <v>18944746</v>
      </c>
      <c r="H846" s="1">
        <v>0</v>
      </c>
      <c r="I846" s="1">
        <v>14513747</v>
      </c>
      <c r="J846" s="1">
        <v>0</v>
      </c>
      <c r="K846" s="1">
        <v>4620000</v>
      </c>
      <c r="L846" s="1">
        <v>0</v>
      </c>
      <c r="M846" s="1">
        <v>1000000</v>
      </c>
      <c r="N846" s="1">
        <v>2800110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1606000</v>
      </c>
      <c r="U846" s="1">
        <v>0</v>
      </c>
      <c r="V846" s="1">
        <v>8667718</v>
      </c>
      <c r="W846" s="1">
        <v>1900000</v>
      </c>
      <c r="X846" s="1">
        <v>2096256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2000079</v>
      </c>
      <c r="AF846" s="1">
        <v>3033762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11272294</v>
      </c>
      <c r="AM846" s="1">
        <v>0</v>
      </c>
      <c r="AN846" s="1">
        <v>0</v>
      </c>
      <c r="AO846" s="1">
        <v>86895587</v>
      </c>
      <c r="AP846" s="1">
        <v>21837732</v>
      </c>
      <c r="AQ846" s="1">
        <v>65057855</v>
      </c>
      <c r="AR846" s="1">
        <v>16451165</v>
      </c>
      <c r="AS846" s="1">
        <v>2467675</v>
      </c>
      <c r="AT846" s="1">
        <f t="shared" si="92"/>
        <v>105814427</v>
      </c>
    </row>
    <row r="847" spans="1:46" x14ac:dyDescent="0.2">
      <c r="A847" s="1" t="str">
        <f>"00963"</f>
        <v>00963</v>
      </c>
      <c r="B847" s="1" t="str">
        <f>"پشوتن"</f>
        <v>پشوتن</v>
      </c>
      <c r="C847" s="1" t="str">
        <f>"قائدي"</f>
        <v>قائدي</v>
      </c>
      <c r="D847" s="1" t="str">
        <f t="shared" si="90"/>
        <v>قراردادي بهره بردار</v>
      </c>
      <c r="E847" s="1" t="str">
        <f t="shared" si="91"/>
        <v>پروژه بهره برداري نيروگاه بوشهر</v>
      </c>
      <c r="F847" s="1">
        <v>18254825</v>
      </c>
      <c r="G847" s="1">
        <v>24854397</v>
      </c>
      <c r="H847" s="1">
        <v>0</v>
      </c>
      <c r="I847" s="1">
        <v>20823775</v>
      </c>
      <c r="J847" s="1">
        <v>0</v>
      </c>
      <c r="K847" s="1">
        <v>4620000</v>
      </c>
      <c r="L847" s="1">
        <v>0</v>
      </c>
      <c r="M847" s="1">
        <v>1000000</v>
      </c>
      <c r="N847" s="1">
        <v>3763894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1606000</v>
      </c>
      <c r="U847" s="1">
        <v>0</v>
      </c>
      <c r="V847" s="1">
        <v>11371538</v>
      </c>
      <c r="W847" s="1">
        <v>1900000</v>
      </c>
      <c r="X847" s="1">
        <v>2649894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2688496</v>
      </c>
      <c r="AF847" s="1">
        <v>1516881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13541935</v>
      </c>
      <c r="AM847" s="1">
        <v>0</v>
      </c>
      <c r="AN847" s="1">
        <v>0</v>
      </c>
      <c r="AO847" s="1">
        <v>108591635</v>
      </c>
      <c r="AP847" s="1">
        <v>29414279</v>
      </c>
      <c r="AQ847" s="1">
        <v>79177356</v>
      </c>
      <c r="AR847" s="1">
        <v>21093751</v>
      </c>
      <c r="AS847" s="1">
        <v>3164063</v>
      </c>
      <c r="AT847" s="1">
        <f t="shared" si="92"/>
        <v>132849449</v>
      </c>
    </row>
    <row r="848" spans="1:46" x14ac:dyDescent="0.2">
      <c r="A848" s="1" t="str">
        <f>"00964"</f>
        <v>00964</v>
      </c>
      <c r="B848" s="1" t="str">
        <f>"داوود"</f>
        <v>داوود</v>
      </c>
      <c r="C848" s="1" t="str">
        <f>"قايدي"</f>
        <v>قايدي</v>
      </c>
      <c r="D848" s="1" t="str">
        <f t="shared" si="90"/>
        <v>قراردادي بهره بردار</v>
      </c>
      <c r="E848" s="1" t="str">
        <f t="shared" si="91"/>
        <v>پروژه بهره برداري نيروگاه بوشهر</v>
      </c>
      <c r="F848" s="1">
        <v>16432191</v>
      </c>
      <c r="G848" s="1">
        <v>20224805</v>
      </c>
      <c r="H848" s="1">
        <v>0</v>
      </c>
      <c r="I848" s="1">
        <v>16439286</v>
      </c>
      <c r="J848" s="1">
        <v>0</v>
      </c>
      <c r="K848" s="1">
        <v>0</v>
      </c>
      <c r="L848" s="1">
        <v>0</v>
      </c>
      <c r="M848" s="1">
        <v>1000000</v>
      </c>
      <c r="N848" s="1">
        <v>3152041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>
        <v>9428104</v>
      </c>
      <c r="W848" s="1">
        <v>1900000</v>
      </c>
      <c r="X848" s="1">
        <v>2385318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2251458</v>
      </c>
      <c r="AF848" s="1">
        <v>1516881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12008249</v>
      </c>
      <c r="AM848" s="1">
        <v>0</v>
      </c>
      <c r="AN848" s="1">
        <v>0</v>
      </c>
      <c r="AO848" s="1">
        <v>86738333</v>
      </c>
      <c r="AP848" s="1">
        <v>26577987</v>
      </c>
      <c r="AQ848" s="1">
        <v>60160346</v>
      </c>
      <c r="AR848" s="1">
        <v>17044290</v>
      </c>
      <c r="AS848" s="1">
        <v>2556644</v>
      </c>
      <c r="AT848" s="1">
        <f t="shared" si="92"/>
        <v>106339267</v>
      </c>
    </row>
    <row r="849" spans="1:46" x14ac:dyDescent="0.2">
      <c r="A849" s="1" t="str">
        <f>"00965"</f>
        <v>00965</v>
      </c>
      <c r="B849" s="1" t="str">
        <f>"اسدالله"</f>
        <v>اسدالله</v>
      </c>
      <c r="C849" s="1" t="str">
        <f>"قبادي فر"</f>
        <v>قبادي فر</v>
      </c>
      <c r="D849" s="1" t="str">
        <f t="shared" si="90"/>
        <v>قراردادي بهره بردار</v>
      </c>
      <c r="E849" s="1" t="str">
        <f t="shared" si="91"/>
        <v>پروژه بهره برداري نيروگاه بوشهر</v>
      </c>
      <c r="F849" s="1">
        <v>17696205</v>
      </c>
      <c r="G849" s="1">
        <v>22221843</v>
      </c>
      <c r="H849" s="1">
        <v>0</v>
      </c>
      <c r="I849" s="1">
        <v>18147285</v>
      </c>
      <c r="J849" s="1">
        <v>0</v>
      </c>
      <c r="K849" s="1">
        <v>4620000</v>
      </c>
      <c r="L849" s="1">
        <v>0</v>
      </c>
      <c r="M849" s="1">
        <v>1000000</v>
      </c>
      <c r="N849" s="1">
        <v>3594446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1606000</v>
      </c>
      <c r="U849" s="1">
        <v>0</v>
      </c>
      <c r="V849" s="1">
        <v>10590704</v>
      </c>
      <c r="W849" s="1">
        <v>1900000</v>
      </c>
      <c r="X849" s="1">
        <v>2568804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2567461</v>
      </c>
      <c r="AF849" s="1">
        <v>1516881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13011246</v>
      </c>
      <c r="AM849" s="1">
        <v>0</v>
      </c>
      <c r="AN849" s="1">
        <v>0</v>
      </c>
      <c r="AO849" s="1">
        <v>101040875</v>
      </c>
      <c r="AP849" s="1">
        <v>45365630</v>
      </c>
      <c r="AQ849" s="1">
        <v>55675245</v>
      </c>
      <c r="AR849" s="1">
        <v>19583599</v>
      </c>
      <c r="AS849" s="1">
        <v>2937540</v>
      </c>
      <c r="AT849" s="1">
        <f t="shared" si="92"/>
        <v>123562014</v>
      </c>
    </row>
    <row r="850" spans="1:46" x14ac:dyDescent="0.2">
      <c r="A850" s="1" t="str">
        <f>"00966"</f>
        <v>00966</v>
      </c>
      <c r="B850" s="1" t="str">
        <f>"جواد"</f>
        <v>جواد</v>
      </c>
      <c r="C850" s="1" t="str">
        <f>"قربان پور"</f>
        <v>قربان پور</v>
      </c>
      <c r="D850" s="1" t="str">
        <f t="shared" si="90"/>
        <v>قراردادي بهره بردار</v>
      </c>
      <c r="E850" s="1" t="str">
        <f t="shared" si="91"/>
        <v>پروژه بهره برداري نيروگاه بوشهر</v>
      </c>
      <c r="F850" s="1">
        <v>16988620</v>
      </c>
      <c r="G850" s="1">
        <v>29594678</v>
      </c>
      <c r="H850" s="1">
        <v>0</v>
      </c>
      <c r="I850" s="1">
        <v>16217396</v>
      </c>
      <c r="J850" s="1">
        <v>0</v>
      </c>
      <c r="K850" s="1">
        <v>4620000</v>
      </c>
      <c r="L850" s="1">
        <v>0</v>
      </c>
      <c r="M850" s="1">
        <v>1000000</v>
      </c>
      <c r="N850" s="1">
        <v>3346791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>
        <v>9403014</v>
      </c>
      <c r="W850" s="1">
        <v>1900000</v>
      </c>
      <c r="X850" s="1">
        <v>2466090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2390565</v>
      </c>
      <c r="AF850" s="1">
        <v>1516881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9903456</v>
      </c>
      <c r="AM850" s="1">
        <v>0</v>
      </c>
      <c r="AN850" s="1">
        <v>0</v>
      </c>
      <c r="AO850" s="1">
        <v>99347491</v>
      </c>
      <c r="AP850" s="1">
        <v>39823870</v>
      </c>
      <c r="AQ850" s="1">
        <v>59523621</v>
      </c>
      <c r="AR850" s="1">
        <v>19566122</v>
      </c>
      <c r="AS850" s="1">
        <v>2934918</v>
      </c>
      <c r="AT850" s="1">
        <f t="shared" si="92"/>
        <v>121848531</v>
      </c>
    </row>
    <row r="851" spans="1:46" x14ac:dyDescent="0.2">
      <c r="A851" s="1" t="str">
        <f>"00967"</f>
        <v>00967</v>
      </c>
      <c r="B851" s="1" t="str">
        <f>"حميد"</f>
        <v>حميد</v>
      </c>
      <c r="C851" s="1" t="str">
        <f>"قياسوند"</f>
        <v>قياسوند</v>
      </c>
      <c r="D851" s="1" t="str">
        <f t="shared" si="90"/>
        <v>قراردادي بهره بردار</v>
      </c>
      <c r="E851" s="1" t="str">
        <f t="shared" si="91"/>
        <v>پروژه بهره برداري نيروگاه بوشهر</v>
      </c>
      <c r="F851" s="1">
        <v>27446863</v>
      </c>
      <c r="G851" s="1">
        <v>30266954</v>
      </c>
      <c r="H851" s="1">
        <v>0</v>
      </c>
      <c r="I851" s="1">
        <v>27769832</v>
      </c>
      <c r="J851" s="1">
        <v>0</v>
      </c>
      <c r="K851" s="1">
        <v>0</v>
      </c>
      <c r="L851" s="1">
        <v>0</v>
      </c>
      <c r="M851" s="1">
        <v>1000000</v>
      </c>
      <c r="N851" s="1">
        <v>3715590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13990924</v>
      </c>
      <c r="W851" s="1">
        <v>1900000</v>
      </c>
      <c r="X851" s="1">
        <v>0</v>
      </c>
      <c r="Y851" s="1">
        <v>0</v>
      </c>
      <c r="Z851" s="1">
        <v>0</v>
      </c>
      <c r="AA851" s="1">
        <v>0</v>
      </c>
      <c r="AB851" s="1">
        <v>0</v>
      </c>
      <c r="AC851" s="1">
        <v>5520480</v>
      </c>
      <c r="AD851" s="1">
        <v>0</v>
      </c>
      <c r="AE851" s="1">
        <v>2653993</v>
      </c>
      <c r="AF851" s="1">
        <v>4550643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5573385</v>
      </c>
      <c r="AM851" s="1">
        <v>0</v>
      </c>
      <c r="AN851" s="1">
        <v>0</v>
      </c>
      <c r="AO851" s="1">
        <v>124388664</v>
      </c>
      <c r="AP851" s="1">
        <v>75294025</v>
      </c>
      <c r="AQ851" s="1">
        <v>49094639</v>
      </c>
      <c r="AR851" s="1">
        <v>22960191</v>
      </c>
      <c r="AS851" s="1">
        <v>3444029</v>
      </c>
      <c r="AT851" s="1">
        <f t="shared" si="92"/>
        <v>150792884</v>
      </c>
    </row>
    <row r="852" spans="1:46" x14ac:dyDescent="0.2">
      <c r="A852" s="1" t="str">
        <f>"00968"</f>
        <v>00968</v>
      </c>
      <c r="B852" s="1" t="str">
        <f>"پيمان"</f>
        <v>پيمان</v>
      </c>
      <c r="C852" s="1" t="str">
        <f>"كمري قنواتي"</f>
        <v>كمري قنواتي</v>
      </c>
      <c r="D852" s="1" t="str">
        <f t="shared" si="90"/>
        <v>قراردادي بهره بردار</v>
      </c>
      <c r="E852" s="1" t="str">
        <f t="shared" si="91"/>
        <v>پروژه بهره برداري نيروگاه بوشهر</v>
      </c>
      <c r="F852" s="1">
        <v>13847204</v>
      </c>
      <c r="G852" s="1">
        <v>18236339</v>
      </c>
      <c r="H852" s="1">
        <v>0</v>
      </c>
      <c r="I852" s="1">
        <v>13352086</v>
      </c>
      <c r="J852" s="1">
        <v>0</v>
      </c>
      <c r="K852" s="1">
        <v>4620000</v>
      </c>
      <c r="L852" s="1">
        <v>0</v>
      </c>
      <c r="M852" s="1">
        <v>1000000</v>
      </c>
      <c r="N852" s="1">
        <v>2592325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8161104</v>
      </c>
      <c r="W852" s="1">
        <v>1900000</v>
      </c>
      <c r="X852" s="1">
        <v>2010078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1851661</v>
      </c>
      <c r="AF852" s="1">
        <v>3033762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11882614</v>
      </c>
      <c r="AM852" s="1">
        <v>0</v>
      </c>
      <c r="AN852" s="1">
        <v>0</v>
      </c>
      <c r="AO852" s="1">
        <v>82487173</v>
      </c>
      <c r="AP852" s="1">
        <v>27901542</v>
      </c>
      <c r="AQ852" s="1">
        <v>54585631</v>
      </c>
      <c r="AR852" s="1">
        <v>15890682</v>
      </c>
      <c r="AS852" s="1">
        <v>2383602</v>
      </c>
      <c r="AT852" s="1">
        <f t="shared" si="92"/>
        <v>100761457</v>
      </c>
    </row>
    <row r="853" spans="1:46" x14ac:dyDescent="0.2">
      <c r="A853" s="1" t="str">
        <f>"00969"</f>
        <v>00969</v>
      </c>
      <c r="B853" s="1" t="str">
        <f>"فرشيد"</f>
        <v>فرشيد</v>
      </c>
      <c r="C853" s="1" t="str">
        <f>"كولاني"</f>
        <v>كولاني</v>
      </c>
      <c r="D853" s="1" t="str">
        <f t="shared" si="90"/>
        <v>قراردادي بهره بردار</v>
      </c>
      <c r="E853" s="1" t="str">
        <f t="shared" si="91"/>
        <v>پروژه بهره برداري نيروگاه بوشهر</v>
      </c>
      <c r="F853" s="1">
        <v>22980093</v>
      </c>
      <c r="G853" s="1">
        <v>8272663</v>
      </c>
      <c r="H853" s="1">
        <v>0</v>
      </c>
      <c r="I853" s="1">
        <v>20800529</v>
      </c>
      <c r="J853" s="1">
        <v>0</v>
      </c>
      <c r="K853" s="1">
        <v>0</v>
      </c>
      <c r="L853" s="1">
        <v>0</v>
      </c>
      <c r="M853" s="1">
        <v>1000000</v>
      </c>
      <c r="N853" s="1">
        <v>3371326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1606000</v>
      </c>
      <c r="U853" s="1">
        <v>0</v>
      </c>
      <c r="V853" s="1">
        <v>10513778</v>
      </c>
      <c r="W853" s="1">
        <v>1900000</v>
      </c>
      <c r="X853" s="1">
        <v>0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2408090</v>
      </c>
      <c r="AF853" s="1">
        <v>3033762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5056990</v>
      </c>
      <c r="AM853" s="1">
        <v>0</v>
      </c>
      <c r="AN853" s="1">
        <v>0</v>
      </c>
      <c r="AO853" s="1">
        <v>80943231</v>
      </c>
      <c r="AP853" s="1">
        <v>24776050</v>
      </c>
      <c r="AQ853" s="1">
        <v>56167181</v>
      </c>
      <c r="AR853" s="1">
        <v>15260694</v>
      </c>
      <c r="AS853" s="1">
        <v>2289104</v>
      </c>
      <c r="AT853" s="1">
        <f t="shared" si="92"/>
        <v>98493029</v>
      </c>
    </row>
    <row r="854" spans="1:46" x14ac:dyDescent="0.2">
      <c r="A854" s="1" t="str">
        <f>"00970"</f>
        <v>00970</v>
      </c>
      <c r="B854" s="1" t="str">
        <f>"داود"</f>
        <v>داود</v>
      </c>
      <c r="C854" s="1" t="str">
        <f>"لحصائي"</f>
        <v>لحصائي</v>
      </c>
      <c r="D854" s="1" t="str">
        <f t="shared" si="90"/>
        <v>قراردادي بهره بردار</v>
      </c>
      <c r="E854" s="1" t="str">
        <f t="shared" si="91"/>
        <v>پروژه بهره برداري نيروگاه بوشهر</v>
      </c>
      <c r="F854" s="1">
        <v>14550408</v>
      </c>
      <c r="G854" s="1">
        <v>18452595</v>
      </c>
      <c r="H854" s="1">
        <v>0</v>
      </c>
      <c r="I854" s="1">
        <v>15174278</v>
      </c>
      <c r="J854" s="1">
        <v>0</v>
      </c>
      <c r="K854" s="1">
        <v>0</v>
      </c>
      <c r="L854" s="1">
        <v>0</v>
      </c>
      <c r="M854" s="1">
        <v>1000000</v>
      </c>
      <c r="N854" s="1">
        <v>2838447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1606000</v>
      </c>
      <c r="U854" s="1">
        <v>0</v>
      </c>
      <c r="V854" s="1">
        <v>8601962</v>
      </c>
      <c r="W854" s="1">
        <v>1900000</v>
      </c>
      <c r="X854" s="1">
        <v>2112156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2027462</v>
      </c>
      <c r="AF854" s="1">
        <v>3033762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11286534</v>
      </c>
      <c r="AM854" s="1">
        <v>0</v>
      </c>
      <c r="AN854" s="1">
        <v>0</v>
      </c>
      <c r="AO854" s="1">
        <v>82583604</v>
      </c>
      <c r="AP854" s="1">
        <v>15705728</v>
      </c>
      <c r="AQ854" s="1">
        <v>66877876</v>
      </c>
      <c r="AR854" s="1">
        <v>15588768</v>
      </c>
      <c r="AS854" s="1">
        <v>2338315</v>
      </c>
      <c r="AT854" s="1">
        <f t="shared" si="92"/>
        <v>100510687</v>
      </c>
    </row>
    <row r="855" spans="1:46" x14ac:dyDescent="0.2">
      <c r="A855" s="1" t="str">
        <f>"00971"</f>
        <v>00971</v>
      </c>
      <c r="B855" s="1" t="str">
        <f>"مجتبي"</f>
        <v>مجتبي</v>
      </c>
      <c r="C855" s="1" t="str">
        <f>"مصيبي"</f>
        <v>مصيبي</v>
      </c>
      <c r="D855" s="1" t="str">
        <f t="shared" si="90"/>
        <v>قراردادي بهره بردار</v>
      </c>
      <c r="E855" s="1" t="str">
        <f t="shared" si="91"/>
        <v>پروژه بهره برداري نيروگاه بوشهر</v>
      </c>
      <c r="F855" s="1">
        <v>13759577</v>
      </c>
      <c r="G855" s="1">
        <v>42828340</v>
      </c>
      <c r="H855" s="1">
        <v>0</v>
      </c>
      <c r="I855" s="1">
        <v>13829546</v>
      </c>
      <c r="J855" s="1">
        <v>0</v>
      </c>
      <c r="K855" s="1">
        <v>4620000</v>
      </c>
      <c r="L855" s="1">
        <v>0</v>
      </c>
      <c r="M855" s="1">
        <v>1000000</v>
      </c>
      <c r="N855" s="1">
        <v>2561656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7896179</v>
      </c>
      <c r="W855" s="1">
        <v>1900000</v>
      </c>
      <c r="X855" s="1">
        <v>1997358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1829754</v>
      </c>
      <c r="AF855" s="1">
        <v>1516881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10701516</v>
      </c>
      <c r="AM855" s="1">
        <v>0</v>
      </c>
      <c r="AN855" s="1">
        <v>0</v>
      </c>
      <c r="AO855" s="1">
        <v>104440807</v>
      </c>
      <c r="AP855" s="1">
        <v>19511618</v>
      </c>
      <c r="AQ855" s="1">
        <v>84929189</v>
      </c>
      <c r="AR855" s="1">
        <v>20584785</v>
      </c>
      <c r="AS855" s="1">
        <v>3087718</v>
      </c>
      <c r="AT855" s="1">
        <f t="shared" si="92"/>
        <v>128113310</v>
      </c>
    </row>
    <row r="856" spans="1:46" x14ac:dyDescent="0.2">
      <c r="A856" s="1" t="str">
        <f>"00972"</f>
        <v>00972</v>
      </c>
      <c r="B856" s="1" t="str">
        <f>"رضا"</f>
        <v>رضا</v>
      </c>
      <c r="C856" s="1" t="str">
        <f>"مقدم"</f>
        <v>مقدم</v>
      </c>
      <c r="D856" s="1" t="str">
        <f t="shared" si="90"/>
        <v>قراردادي بهره بردار</v>
      </c>
      <c r="E856" s="1" t="str">
        <f t="shared" si="91"/>
        <v>پروژه بهره برداري نيروگاه بوشهر</v>
      </c>
      <c r="F856" s="1">
        <v>29201587</v>
      </c>
      <c r="G856" s="1">
        <v>24172728</v>
      </c>
      <c r="H856" s="1">
        <v>0</v>
      </c>
      <c r="I856" s="1">
        <v>30578988</v>
      </c>
      <c r="J856" s="1">
        <v>0</v>
      </c>
      <c r="K856" s="1">
        <v>5500000</v>
      </c>
      <c r="L856" s="1">
        <v>0</v>
      </c>
      <c r="M856" s="1">
        <v>1000000</v>
      </c>
      <c r="N856" s="1">
        <v>4844221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18139744</v>
      </c>
      <c r="W856" s="1">
        <v>1900000</v>
      </c>
      <c r="X856" s="1">
        <v>0</v>
      </c>
      <c r="Y856" s="1">
        <v>0</v>
      </c>
      <c r="Z856" s="1">
        <v>0</v>
      </c>
      <c r="AA856" s="1">
        <v>0</v>
      </c>
      <c r="AB856" s="1">
        <v>0</v>
      </c>
      <c r="AC856" s="1">
        <v>5421900</v>
      </c>
      <c r="AD856" s="1">
        <v>0</v>
      </c>
      <c r="AE856" s="1">
        <v>3460158</v>
      </c>
      <c r="AF856" s="1">
        <v>3033762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6228284</v>
      </c>
      <c r="AM856" s="1">
        <v>0</v>
      </c>
      <c r="AN856" s="1">
        <v>0</v>
      </c>
      <c r="AO856" s="1">
        <v>133481372</v>
      </c>
      <c r="AP856" s="1">
        <v>51065850</v>
      </c>
      <c r="AQ856" s="1">
        <v>82415522</v>
      </c>
      <c r="AR856" s="1">
        <v>21944212</v>
      </c>
      <c r="AS856" s="1">
        <v>3291632</v>
      </c>
      <c r="AT856" s="1">
        <f t="shared" si="92"/>
        <v>158717216</v>
      </c>
    </row>
    <row r="857" spans="1:46" x14ac:dyDescent="0.2">
      <c r="A857" s="1" t="str">
        <f>"00973"</f>
        <v>00973</v>
      </c>
      <c r="B857" s="1" t="str">
        <f>"مجيد"</f>
        <v>مجيد</v>
      </c>
      <c r="C857" s="1" t="str">
        <f>"ملک زاده"</f>
        <v>ملک زاده</v>
      </c>
      <c r="D857" s="1" t="str">
        <f t="shared" si="90"/>
        <v>قراردادي بهره بردار</v>
      </c>
      <c r="E857" s="1" t="str">
        <f t="shared" si="91"/>
        <v>پروژه بهره برداري نيروگاه بوشهر</v>
      </c>
      <c r="F857" s="1">
        <v>14664323</v>
      </c>
      <c r="G857" s="1">
        <v>21708563</v>
      </c>
      <c r="H857" s="1">
        <v>0</v>
      </c>
      <c r="I857" s="1">
        <v>15848914</v>
      </c>
      <c r="J857" s="1">
        <v>0</v>
      </c>
      <c r="K857" s="1">
        <v>4620000</v>
      </c>
      <c r="L857" s="1">
        <v>0</v>
      </c>
      <c r="M857" s="1">
        <v>1000000</v>
      </c>
      <c r="N857" s="1">
        <v>2878317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8995361</v>
      </c>
      <c r="W857" s="1">
        <v>1900000</v>
      </c>
      <c r="X857" s="1">
        <v>2128692</v>
      </c>
      <c r="Y857" s="1">
        <v>0</v>
      </c>
      <c r="Z857" s="1">
        <v>0</v>
      </c>
      <c r="AA857" s="1">
        <v>0</v>
      </c>
      <c r="AB857" s="1">
        <v>0</v>
      </c>
      <c r="AC857" s="1">
        <v>1331925</v>
      </c>
      <c r="AD857" s="1">
        <v>0</v>
      </c>
      <c r="AE857" s="1">
        <v>2055941</v>
      </c>
      <c r="AF857" s="1">
        <v>3033762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11195840</v>
      </c>
      <c r="AM857" s="1">
        <v>0</v>
      </c>
      <c r="AN857" s="1">
        <v>0</v>
      </c>
      <c r="AO857" s="1">
        <v>91361638</v>
      </c>
      <c r="AP857" s="1">
        <v>16699889</v>
      </c>
      <c r="AQ857" s="1">
        <v>74661749</v>
      </c>
      <c r="AR857" s="1">
        <v>17665575</v>
      </c>
      <c r="AS857" s="1">
        <v>2649836</v>
      </c>
      <c r="AT857" s="1">
        <f t="shared" si="92"/>
        <v>111677049</v>
      </c>
    </row>
    <row r="858" spans="1:46" x14ac:dyDescent="0.2">
      <c r="A858" s="1" t="str">
        <f>"00974"</f>
        <v>00974</v>
      </c>
      <c r="B858" s="1" t="str">
        <f>"سيدحسين"</f>
        <v>سيدحسين</v>
      </c>
      <c r="C858" s="1" t="str">
        <f>"موسوي"</f>
        <v>موسوي</v>
      </c>
      <c r="D858" s="1" t="str">
        <f t="shared" si="90"/>
        <v>قراردادي بهره بردار</v>
      </c>
      <c r="E858" s="1" t="str">
        <f t="shared" si="91"/>
        <v>پروژه بهره برداري نيروگاه بوشهر</v>
      </c>
      <c r="F858" s="1">
        <v>14182376</v>
      </c>
      <c r="G858" s="1">
        <v>18469585</v>
      </c>
      <c r="H858" s="1">
        <v>0</v>
      </c>
      <c r="I858" s="1">
        <v>14184157</v>
      </c>
      <c r="J858" s="1">
        <v>0</v>
      </c>
      <c r="K858" s="1">
        <v>3465000</v>
      </c>
      <c r="L858" s="1">
        <v>0</v>
      </c>
      <c r="M858" s="1">
        <v>1000000</v>
      </c>
      <c r="N858" s="1">
        <v>2709636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8265487</v>
      </c>
      <c r="W858" s="1">
        <v>1900000</v>
      </c>
      <c r="X858" s="1">
        <v>2058732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1935454</v>
      </c>
      <c r="AF858" s="1">
        <v>0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11070972</v>
      </c>
      <c r="AM858" s="1">
        <v>0</v>
      </c>
      <c r="AN858" s="1">
        <v>0</v>
      </c>
      <c r="AO858" s="1">
        <v>79241399</v>
      </c>
      <c r="AP858" s="1">
        <v>27423330</v>
      </c>
      <c r="AQ858" s="1">
        <v>51818069</v>
      </c>
      <c r="AR858" s="1">
        <v>15848280</v>
      </c>
      <c r="AS858" s="1">
        <v>2377242</v>
      </c>
      <c r="AT858" s="1">
        <f t="shared" si="92"/>
        <v>97466921</v>
      </c>
    </row>
    <row r="859" spans="1:46" x14ac:dyDescent="0.2">
      <c r="A859" s="1" t="str">
        <f>"00975"</f>
        <v>00975</v>
      </c>
      <c r="B859" s="1" t="str">
        <f>"سيدعلي"</f>
        <v>سيدعلي</v>
      </c>
      <c r="C859" s="1" t="str">
        <f>"موسوي"</f>
        <v>موسوي</v>
      </c>
      <c r="D859" s="1" t="str">
        <f t="shared" si="90"/>
        <v>قراردادي بهره بردار</v>
      </c>
      <c r="E859" s="1" t="str">
        <f t="shared" si="91"/>
        <v>پروژه بهره برداري نيروگاه بوشهر</v>
      </c>
      <c r="F859" s="1">
        <v>14364201</v>
      </c>
      <c r="G859" s="1">
        <v>21621588</v>
      </c>
      <c r="H859" s="1">
        <v>0</v>
      </c>
      <c r="I859" s="1">
        <v>17338952</v>
      </c>
      <c r="J859" s="1">
        <v>0</v>
      </c>
      <c r="K859" s="1">
        <v>4620000</v>
      </c>
      <c r="L859" s="1">
        <v>0</v>
      </c>
      <c r="M859" s="1">
        <v>1000000</v>
      </c>
      <c r="N859" s="1">
        <v>2773274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9576406</v>
      </c>
      <c r="W859" s="1">
        <v>1900000</v>
      </c>
      <c r="X859" s="1">
        <v>2085126</v>
      </c>
      <c r="Y859" s="1">
        <v>0</v>
      </c>
      <c r="Z859" s="1">
        <v>0</v>
      </c>
      <c r="AA859" s="1">
        <v>0</v>
      </c>
      <c r="AB859" s="1">
        <v>0</v>
      </c>
      <c r="AC859" s="1">
        <v>4084570</v>
      </c>
      <c r="AD859" s="1">
        <v>0</v>
      </c>
      <c r="AE859" s="1">
        <v>1980910</v>
      </c>
      <c r="AF859" s="1">
        <v>3033762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11222457</v>
      </c>
      <c r="AM859" s="1">
        <v>0</v>
      </c>
      <c r="AN859" s="1">
        <v>0</v>
      </c>
      <c r="AO859" s="1">
        <v>95601246</v>
      </c>
      <c r="AP859" s="1">
        <v>40553684</v>
      </c>
      <c r="AQ859" s="1">
        <v>55047562</v>
      </c>
      <c r="AR859" s="1">
        <v>18513499</v>
      </c>
      <c r="AS859" s="1">
        <v>2777025</v>
      </c>
      <c r="AT859" s="1">
        <f t="shared" si="92"/>
        <v>116891770</v>
      </c>
    </row>
    <row r="860" spans="1:46" x14ac:dyDescent="0.2">
      <c r="A860" s="1" t="str">
        <f>"00977"</f>
        <v>00977</v>
      </c>
      <c r="B860" s="1" t="str">
        <f>"عادل"</f>
        <v>عادل</v>
      </c>
      <c r="C860" s="1" t="str">
        <f>"نامداري"</f>
        <v>نامداري</v>
      </c>
      <c r="D860" s="1" t="str">
        <f t="shared" si="90"/>
        <v>قراردادي بهره بردار</v>
      </c>
      <c r="E860" s="1" t="str">
        <f t="shared" si="91"/>
        <v>پروژه بهره برداري نيروگاه بوشهر</v>
      </c>
      <c r="F860" s="1">
        <v>17943751</v>
      </c>
      <c r="G860" s="1">
        <v>35075832</v>
      </c>
      <c r="H860" s="1">
        <v>0</v>
      </c>
      <c r="I860" s="1">
        <v>19665908</v>
      </c>
      <c r="J860" s="1">
        <v>0</v>
      </c>
      <c r="K860" s="1">
        <v>4620000</v>
      </c>
      <c r="L860" s="1">
        <v>0</v>
      </c>
      <c r="M860" s="1">
        <v>1000000</v>
      </c>
      <c r="N860" s="1">
        <v>3336057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1606000</v>
      </c>
      <c r="U860" s="1">
        <v>0</v>
      </c>
      <c r="V860" s="1">
        <v>10736301</v>
      </c>
      <c r="W860" s="1">
        <v>1900000</v>
      </c>
      <c r="X860" s="1">
        <v>2604738</v>
      </c>
      <c r="Y860" s="1">
        <v>0</v>
      </c>
      <c r="Z860" s="1">
        <v>0</v>
      </c>
      <c r="AA860" s="1">
        <v>0</v>
      </c>
      <c r="AB860" s="1">
        <v>0</v>
      </c>
      <c r="AC860" s="1">
        <v>1331925</v>
      </c>
      <c r="AD860" s="1">
        <v>0</v>
      </c>
      <c r="AE860" s="1">
        <v>2382898</v>
      </c>
      <c r="AF860" s="1">
        <v>1516881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12599728</v>
      </c>
      <c r="AM860" s="1">
        <v>0</v>
      </c>
      <c r="AN860" s="1">
        <v>0</v>
      </c>
      <c r="AO860" s="1">
        <v>116320019</v>
      </c>
      <c r="AP860" s="1">
        <v>39041645</v>
      </c>
      <c r="AQ860" s="1">
        <v>77278374</v>
      </c>
      <c r="AR860" s="1">
        <v>21664558</v>
      </c>
      <c r="AS860" s="1">
        <v>3249684</v>
      </c>
      <c r="AT860" s="1">
        <f t="shared" si="92"/>
        <v>141234261</v>
      </c>
    </row>
    <row r="861" spans="1:46" x14ac:dyDescent="0.2">
      <c r="A861" s="1" t="str">
        <f>"00978"</f>
        <v>00978</v>
      </c>
      <c r="B861" s="1" t="str">
        <f>"محسن"</f>
        <v>محسن</v>
      </c>
      <c r="C861" s="1" t="str">
        <f>"نجفي سيار"</f>
        <v>نجفي سيار</v>
      </c>
      <c r="D861" s="1" t="str">
        <f t="shared" si="90"/>
        <v>قراردادي بهره بردار</v>
      </c>
      <c r="E861" s="1" t="str">
        <f t="shared" si="91"/>
        <v>پروژه بهره برداري نيروگاه بوشهر</v>
      </c>
      <c r="F861" s="1">
        <v>17166064</v>
      </c>
      <c r="G861" s="1">
        <v>29398522</v>
      </c>
      <c r="H861" s="1">
        <v>0</v>
      </c>
      <c r="I861" s="1">
        <v>19552959</v>
      </c>
      <c r="J861" s="1">
        <v>0</v>
      </c>
      <c r="K861" s="1">
        <v>4620000</v>
      </c>
      <c r="L861" s="1">
        <v>0</v>
      </c>
      <c r="M861" s="1">
        <v>1000000</v>
      </c>
      <c r="N861" s="1">
        <v>3408896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1606000</v>
      </c>
      <c r="U861" s="1">
        <v>0</v>
      </c>
      <c r="V861" s="1">
        <v>10847253</v>
      </c>
      <c r="W861" s="1">
        <v>1900000</v>
      </c>
      <c r="X861" s="1">
        <v>2491848</v>
      </c>
      <c r="Y861" s="1">
        <v>0</v>
      </c>
      <c r="Z861" s="1">
        <v>0</v>
      </c>
      <c r="AA861" s="1">
        <v>0</v>
      </c>
      <c r="AB861" s="1">
        <v>0</v>
      </c>
      <c r="AC861" s="1">
        <v>1331925</v>
      </c>
      <c r="AD861" s="1">
        <v>0</v>
      </c>
      <c r="AE861" s="1">
        <v>2434926</v>
      </c>
      <c r="AF861" s="1">
        <v>1516881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12454597</v>
      </c>
      <c r="AM861" s="1">
        <v>0</v>
      </c>
      <c r="AN861" s="1">
        <v>0</v>
      </c>
      <c r="AO861" s="1">
        <v>109729871</v>
      </c>
      <c r="AP861" s="1">
        <v>40590468</v>
      </c>
      <c r="AQ861" s="1">
        <v>69139403</v>
      </c>
      <c r="AR861" s="1">
        <v>21321398</v>
      </c>
      <c r="AS861" s="1">
        <v>3198210</v>
      </c>
      <c r="AT861" s="1">
        <f t="shared" si="92"/>
        <v>134249479</v>
      </c>
    </row>
    <row r="862" spans="1:46" x14ac:dyDescent="0.2">
      <c r="A862" s="1" t="str">
        <f>"00979"</f>
        <v>00979</v>
      </c>
      <c r="B862" s="1" t="str">
        <f>"محسن"</f>
        <v>محسن</v>
      </c>
      <c r="C862" s="1" t="str">
        <f>"نوروزي"</f>
        <v>نوروزي</v>
      </c>
      <c r="D862" s="1" t="str">
        <f t="shared" si="90"/>
        <v>قراردادي بهره بردار</v>
      </c>
      <c r="E862" s="1" t="str">
        <f t="shared" si="91"/>
        <v>پروژه بهره برداري نيروگاه بوشهر</v>
      </c>
      <c r="F862" s="1">
        <v>13100187</v>
      </c>
      <c r="G862" s="1">
        <v>19517901</v>
      </c>
      <c r="H862" s="1">
        <v>0</v>
      </c>
      <c r="I862" s="1">
        <v>11452893</v>
      </c>
      <c r="J862" s="1">
        <v>0</v>
      </c>
      <c r="K862" s="1">
        <v>0</v>
      </c>
      <c r="L862" s="1">
        <v>0</v>
      </c>
      <c r="M862" s="1">
        <v>1000000</v>
      </c>
      <c r="N862" s="1">
        <v>2330869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1606000</v>
      </c>
      <c r="U862" s="1">
        <v>0</v>
      </c>
      <c r="V862" s="1">
        <v>6932244</v>
      </c>
      <c r="W862" s="1">
        <v>1900000</v>
      </c>
      <c r="X862" s="1">
        <v>1901640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1664907</v>
      </c>
      <c r="AF862" s="1">
        <v>0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8423113</v>
      </c>
      <c r="AM862" s="1">
        <v>0</v>
      </c>
      <c r="AN862" s="1">
        <v>0</v>
      </c>
      <c r="AO862" s="1">
        <v>69829754</v>
      </c>
      <c r="AP862" s="1">
        <v>30054277</v>
      </c>
      <c r="AQ862" s="1">
        <v>39775477</v>
      </c>
      <c r="AR862" s="1">
        <v>13644751</v>
      </c>
      <c r="AS862" s="1">
        <v>2046713</v>
      </c>
      <c r="AT862" s="1">
        <f t="shared" si="92"/>
        <v>85521218</v>
      </c>
    </row>
    <row r="863" spans="1:46" x14ac:dyDescent="0.2">
      <c r="A863" s="1" t="str">
        <f>"00980"</f>
        <v>00980</v>
      </c>
      <c r="B863" s="1" t="str">
        <f>"سيدجواد"</f>
        <v>سيدجواد</v>
      </c>
      <c r="C863" s="1" t="str">
        <f>"هاشمي"</f>
        <v>هاشمي</v>
      </c>
      <c r="D863" s="1" t="str">
        <f t="shared" si="90"/>
        <v>قراردادي بهره بردار</v>
      </c>
      <c r="E863" s="1" t="str">
        <f t="shared" si="91"/>
        <v>پروژه بهره برداري نيروگاه بوشهر</v>
      </c>
      <c r="F863" s="1">
        <v>14050936</v>
      </c>
      <c r="G863" s="1">
        <v>18833672</v>
      </c>
      <c r="H863" s="1">
        <v>0</v>
      </c>
      <c r="I863" s="1">
        <v>14230092</v>
      </c>
      <c r="J863" s="1">
        <v>0</v>
      </c>
      <c r="K863" s="1">
        <v>4620000</v>
      </c>
      <c r="L863" s="1">
        <v>0</v>
      </c>
      <c r="M863" s="1">
        <v>1000000</v>
      </c>
      <c r="N863" s="1">
        <v>2663632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8333587</v>
      </c>
      <c r="W863" s="1">
        <v>1900000</v>
      </c>
      <c r="X863" s="1">
        <v>2039652</v>
      </c>
      <c r="Y863" s="1">
        <v>0</v>
      </c>
      <c r="Z863" s="1">
        <v>0</v>
      </c>
      <c r="AA863" s="1">
        <v>0</v>
      </c>
      <c r="AB863" s="1">
        <v>0</v>
      </c>
      <c r="AC863" s="1">
        <v>1331925</v>
      </c>
      <c r="AD863" s="1">
        <v>0</v>
      </c>
      <c r="AE863" s="1">
        <v>1902594</v>
      </c>
      <c r="AF863" s="1">
        <v>3033762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10867240</v>
      </c>
      <c r="AM863" s="1">
        <v>0</v>
      </c>
      <c r="AN863" s="1">
        <v>0</v>
      </c>
      <c r="AO863" s="1">
        <v>84807092</v>
      </c>
      <c r="AP863" s="1">
        <v>32266219</v>
      </c>
      <c r="AQ863" s="1">
        <v>52540873</v>
      </c>
      <c r="AR863" s="1">
        <v>16354666</v>
      </c>
      <c r="AS863" s="1">
        <v>2453200</v>
      </c>
      <c r="AT863" s="1">
        <f t="shared" si="92"/>
        <v>103614958</v>
      </c>
    </row>
    <row r="864" spans="1:46" x14ac:dyDescent="0.2">
      <c r="A864" s="1" t="str">
        <f>"00981"</f>
        <v>00981</v>
      </c>
      <c r="B864" s="1" t="str">
        <f>"حسين"</f>
        <v>حسين</v>
      </c>
      <c r="C864" s="1" t="str">
        <f>"هاشمي پور"</f>
        <v>هاشمي پور</v>
      </c>
      <c r="D864" s="1" t="str">
        <f t="shared" si="90"/>
        <v>قراردادي بهره بردار</v>
      </c>
      <c r="E864" s="1" t="str">
        <f t="shared" si="91"/>
        <v>پروژه بهره برداري نيروگاه بوشهر</v>
      </c>
      <c r="F864" s="1">
        <v>15098075</v>
      </c>
      <c r="G864" s="1">
        <v>6867074</v>
      </c>
      <c r="H864" s="1">
        <v>0</v>
      </c>
      <c r="I864" s="1">
        <v>14659222</v>
      </c>
      <c r="J864" s="1">
        <v>0</v>
      </c>
      <c r="K864" s="1">
        <v>4620000</v>
      </c>
      <c r="L864" s="1">
        <v>0</v>
      </c>
      <c r="M864" s="1">
        <v>1000000</v>
      </c>
      <c r="N864" s="1">
        <v>3030130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7682862</v>
      </c>
      <c r="W864" s="1">
        <v>1900000</v>
      </c>
      <c r="X864" s="1">
        <v>0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2164379</v>
      </c>
      <c r="AF864" s="1">
        <v>3033762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6023457</v>
      </c>
      <c r="AM864" s="1">
        <v>0</v>
      </c>
      <c r="AN864" s="1">
        <v>0</v>
      </c>
      <c r="AO864" s="1">
        <v>66078961</v>
      </c>
      <c r="AP864" s="1">
        <v>15528477</v>
      </c>
      <c r="AQ864" s="1">
        <v>50550484</v>
      </c>
      <c r="AR864" s="1">
        <v>12609040</v>
      </c>
      <c r="AS864" s="1">
        <v>1891356</v>
      </c>
      <c r="AT864" s="1">
        <f t="shared" si="92"/>
        <v>80579357</v>
      </c>
    </row>
    <row r="865" spans="1:46" x14ac:dyDescent="0.2">
      <c r="A865" s="1" t="str">
        <f>"00982"</f>
        <v>00982</v>
      </c>
      <c r="B865" s="1" t="str">
        <f>"سياوش"</f>
        <v>سياوش</v>
      </c>
      <c r="C865" s="1" t="str">
        <f>"جهانديده"</f>
        <v>جهانديده</v>
      </c>
      <c r="D865" s="1" t="str">
        <f t="shared" si="90"/>
        <v>قراردادي بهره بردار</v>
      </c>
      <c r="E865" s="1" t="str">
        <f t="shared" si="91"/>
        <v>پروژه بهره برداري نيروگاه بوشهر</v>
      </c>
      <c r="F865" s="1">
        <v>11483475</v>
      </c>
      <c r="G865" s="1">
        <v>14443062</v>
      </c>
      <c r="H865" s="1">
        <v>0</v>
      </c>
      <c r="I865" s="1">
        <v>10780308</v>
      </c>
      <c r="J865" s="1">
        <v>0</v>
      </c>
      <c r="K865" s="1">
        <v>4620000</v>
      </c>
      <c r="L865" s="1">
        <v>0</v>
      </c>
      <c r="M865" s="1">
        <v>1000000</v>
      </c>
      <c r="N865" s="1">
        <v>1995040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5947932</v>
      </c>
      <c r="W865" s="1">
        <v>1900000</v>
      </c>
      <c r="X865" s="1">
        <v>1666956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1425029</v>
      </c>
      <c r="AF865" s="1">
        <v>0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9303980</v>
      </c>
      <c r="AM865" s="1">
        <v>0</v>
      </c>
      <c r="AN865" s="1">
        <v>0</v>
      </c>
      <c r="AO865" s="1">
        <v>64565782</v>
      </c>
      <c r="AP865" s="1">
        <v>40433848</v>
      </c>
      <c r="AQ865" s="1">
        <v>24131934</v>
      </c>
      <c r="AR865" s="1">
        <v>12913156</v>
      </c>
      <c r="AS865" s="1">
        <v>1936973</v>
      </c>
      <c r="AT865" s="1">
        <f t="shared" si="92"/>
        <v>79415911</v>
      </c>
    </row>
    <row r="866" spans="1:46" x14ac:dyDescent="0.2">
      <c r="A866" s="1" t="str">
        <f>"00983"</f>
        <v>00983</v>
      </c>
      <c r="B866" s="1" t="str">
        <f>"جليل"</f>
        <v>جليل</v>
      </c>
      <c r="C866" s="1" t="str">
        <f>"جليليان"</f>
        <v>جليليان</v>
      </c>
      <c r="D866" s="1" t="str">
        <f t="shared" si="90"/>
        <v>قراردادي بهره بردار</v>
      </c>
      <c r="E866" s="1" t="str">
        <f t="shared" si="91"/>
        <v>پروژه بهره برداري نيروگاه بوشهر</v>
      </c>
      <c r="F866" s="1">
        <v>13648934</v>
      </c>
      <c r="G866" s="1">
        <v>37985012</v>
      </c>
      <c r="H866" s="1">
        <v>0</v>
      </c>
      <c r="I866" s="1">
        <v>13080468</v>
      </c>
      <c r="J866" s="1">
        <v>0</v>
      </c>
      <c r="K866" s="1">
        <v>0</v>
      </c>
      <c r="L866" s="1">
        <v>0</v>
      </c>
      <c r="M866" s="1">
        <v>1000000</v>
      </c>
      <c r="N866" s="1">
        <v>2200111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50453301</v>
      </c>
      <c r="W866" s="1">
        <v>1900000</v>
      </c>
      <c r="X866" s="1">
        <v>1979076</v>
      </c>
      <c r="Y866" s="1">
        <v>0</v>
      </c>
      <c r="Z866" s="1">
        <v>9422375</v>
      </c>
      <c r="AA866" s="1">
        <v>0</v>
      </c>
      <c r="AB866" s="1">
        <v>0</v>
      </c>
      <c r="AC866" s="1">
        <v>0</v>
      </c>
      <c r="AD866" s="1">
        <v>0</v>
      </c>
      <c r="AE866" s="1">
        <v>1571508</v>
      </c>
      <c r="AF866" s="1">
        <v>3033762</v>
      </c>
      <c r="AG866" s="1">
        <v>3826193</v>
      </c>
      <c r="AH866" s="1">
        <v>0</v>
      </c>
      <c r="AI866" s="1">
        <v>0</v>
      </c>
      <c r="AJ866" s="1">
        <v>0</v>
      </c>
      <c r="AK866" s="1">
        <v>0</v>
      </c>
      <c r="AL866" s="1">
        <v>6960736</v>
      </c>
      <c r="AM866" s="1">
        <v>0</v>
      </c>
      <c r="AN866" s="1">
        <v>0</v>
      </c>
      <c r="AO866" s="1">
        <v>147061476</v>
      </c>
      <c r="AP866" s="1">
        <v>48975033</v>
      </c>
      <c r="AQ866" s="1">
        <v>98086443</v>
      </c>
      <c r="AR866" s="1">
        <v>26921071</v>
      </c>
      <c r="AS866" s="1">
        <v>4038164</v>
      </c>
      <c r="AT866" s="1">
        <f t="shared" si="92"/>
        <v>178020711</v>
      </c>
    </row>
    <row r="867" spans="1:46" x14ac:dyDescent="0.2">
      <c r="A867" s="1" t="str">
        <f>"01129"</f>
        <v>01129</v>
      </c>
      <c r="B867" s="1" t="str">
        <f>"علي"</f>
        <v>علي</v>
      </c>
      <c r="C867" s="1" t="str">
        <f>"نيک"</f>
        <v>نيک</v>
      </c>
      <c r="D867" s="1" t="str">
        <f>"قراردادي کارگري"</f>
        <v>قراردادي کارگري</v>
      </c>
      <c r="E867" s="1" t="str">
        <f>"پروژه تعميرات نيروگاه بوشهر"</f>
        <v>پروژه تعميرات نيروگاه بوشهر</v>
      </c>
      <c r="F867" s="1">
        <v>8910733</v>
      </c>
      <c r="G867" s="1">
        <v>10542187</v>
      </c>
      <c r="H867" s="1">
        <v>0</v>
      </c>
      <c r="I867" s="1">
        <v>7395909</v>
      </c>
      <c r="J867" s="1">
        <v>0</v>
      </c>
      <c r="K867" s="1">
        <v>0</v>
      </c>
      <c r="L867" s="1">
        <v>7628143</v>
      </c>
      <c r="M867" s="1">
        <v>1000000</v>
      </c>
      <c r="N867" s="1">
        <v>4689860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3162131</v>
      </c>
      <c r="W867" s="1">
        <v>1900000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3033762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0</v>
      </c>
      <c r="AM867" s="1">
        <v>0</v>
      </c>
      <c r="AN867" s="1">
        <v>0</v>
      </c>
      <c r="AO867" s="1">
        <v>48262725</v>
      </c>
      <c r="AP867" s="1">
        <v>20493028</v>
      </c>
      <c r="AQ867" s="1">
        <v>27769697</v>
      </c>
      <c r="AR867" s="1">
        <v>9045793</v>
      </c>
      <c r="AS867" s="1">
        <v>1356869</v>
      </c>
      <c r="AT867" s="1">
        <f t="shared" si="92"/>
        <v>58665387</v>
      </c>
    </row>
    <row r="868" spans="1:46" x14ac:dyDescent="0.2">
      <c r="A868" s="1" t="str">
        <f>"01130"</f>
        <v>01130</v>
      </c>
      <c r="B868" s="1" t="str">
        <f>"علي"</f>
        <v>علي</v>
      </c>
      <c r="C868" s="1" t="str">
        <f>"فرريزي"</f>
        <v>فرريزي</v>
      </c>
      <c r="D868" s="1" t="str">
        <f>"قراردادي کارگري"</f>
        <v>قراردادي کارگري</v>
      </c>
      <c r="E868" s="1" t="str">
        <f>"پروژه تعميرات نيروگاه بوشهر"</f>
        <v>پروژه تعميرات نيروگاه بوشهر</v>
      </c>
      <c r="F868" s="1">
        <v>6736994</v>
      </c>
      <c r="G868" s="1">
        <v>0</v>
      </c>
      <c r="H868" s="1">
        <v>0</v>
      </c>
      <c r="I868" s="1">
        <v>4042196</v>
      </c>
      <c r="J868" s="1">
        <v>0</v>
      </c>
      <c r="K868" s="1">
        <v>0</v>
      </c>
      <c r="L868" s="1">
        <v>7628143</v>
      </c>
      <c r="M868" s="1">
        <v>1000000</v>
      </c>
      <c r="N868" s="1">
        <v>3593063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5249384</v>
      </c>
      <c r="W868" s="1">
        <v>1900000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1516881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0</v>
      </c>
      <c r="AO868" s="1">
        <v>31666661</v>
      </c>
      <c r="AP868" s="1">
        <v>6829151</v>
      </c>
      <c r="AQ868" s="1">
        <v>24837510</v>
      </c>
      <c r="AR868" s="1">
        <v>6029956</v>
      </c>
      <c r="AS868" s="1">
        <v>904493</v>
      </c>
      <c r="AT868" s="1">
        <f t="shared" si="92"/>
        <v>38601110</v>
      </c>
    </row>
    <row r="869" spans="1:46" x14ac:dyDescent="0.2">
      <c r="A869" s="1" t="str">
        <f>"01131"</f>
        <v>01131</v>
      </c>
      <c r="B869" s="1" t="str">
        <f>"يونس"</f>
        <v>يونس</v>
      </c>
      <c r="C869" s="1" t="str">
        <f>"جمالي"</f>
        <v>جمالي</v>
      </c>
      <c r="D869" s="1" t="str">
        <f>"قراردادي کارگري"</f>
        <v>قراردادي کارگري</v>
      </c>
      <c r="E869" s="1" t="str">
        <f>"پروژه تعميرات نيروگاه بوشهر"</f>
        <v>پروژه تعميرات نيروگاه بوشهر</v>
      </c>
      <c r="F869" s="1">
        <v>5342729</v>
      </c>
      <c r="G869" s="1">
        <v>6196377</v>
      </c>
      <c r="H869" s="1">
        <v>0</v>
      </c>
      <c r="I869" s="1">
        <v>3312493</v>
      </c>
      <c r="J869" s="1">
        <v>0</v>
      </c>
      <c r="K869" s="1">
        <v>0</v>
      </c>
      <c r="L869" s="1">
        <v>7672721</v>
      </c>
      <c r="M869" s="1">
        <v>1000000</v>
      </c>
      <c r="N869" s="1">
        <v>2636215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6862757</v>
      </c>
      <c r="W869" s="1">
        <v>1900000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4550643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39473935</v>
      </c>
      <c r="AP869" s="1">
        <v>11432283</v>
      </c>
      <c r="AQ869" s="1">
        <v>28041652</v>
      </c>
      <c r="AR869" s="1">
        <v>6984658</v>
      </c>
      <c r="AS869" s="1">
        <v>1047699</v>
      </c>
      <c r="AT869" s="1">
        <f t="shared" si="92"/>
        <v>47506292</v>
      </c>
    </row>
    <row r="870" spans="1:46" x14ac:dyDescent="0.2">
      <c r="A870" s="1" t="str">
        <f>"01132"</f>
        <v>01132</v>
      </c>
      <c r="B870" s="1" t="str">
        <f>"بهبود"</f>
        <v>بهبود</v>
      </c>
      <c r="C870" s="1" t="str">
        <f>"ايازي"</f>
        <v>ايازي</v>
      </c>
      <c r="D870" s="1" t="str">
        <f>"قراردادي بهره بردار"</f>
        <v>قراردادي بهره بردار</v>
      </c>
      <c r="E870" s="1" t="str">
        <f>"پروژه بهره برداري نيروگاه بوشهر"</f>
        <v>پروژه بهره برداري نيروگاه بوشهر</v>
      </c>
      <c r="F870" s="1">
        <v>28737165</v>
      </c>
      <c r="G870" s="1">
        <v>19932187</v>
      </c>
      <c r="H870" s="1">
        <v>0</v>
      </c>
      <c r="I870" s="1">
        <v>22906877</v>
      </c>
      <c r="J870" s="1">
        <v>0</v>
      </c>
      <c r="K870" s="1">
        <v>5500000</v>
      </c>
      <c r="L870" s="1">
        <v>0</v>
      </c>
      <c r="M870" s="1">
        <v>1000000</v>
      </c>
      <c r="N870" s="1">
        <v>4681674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17790919</v>
      </c>
      <c r="W870" s="1">
        <v>1900000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3344053</v>
      </c>
      <c r="AF870" s="1">
        <v>1516881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5618008</v>
      </c>
      <c r="AM870" s="1">
        <v>0</v>
      </c>
      <c r="AN870" s="1">
        <v>0</v>
      </c>
      <c r="AO870" s="1">
        <v>112927764</v>
      </c>
      <c r="AP870" s="1">
        <v>65796848</v>
      </c>
      <c r="AQ870" s="1">
        <v>47130916</v>
      </c>
      <c r="AR870" s="1">
        <v>21944212</v>
      </c>
      <c r="AS870" s="1">
        <v>3291632</v>
      </c>
      <c r="AT870" s="1">
        <f t="shared" si="92"/>
        <v>138163608</v>
      </c>
    </row>
    <row r="871" spans="1:46" x14ac:dyDescent="0.2">
      <c r="A871" s="1" t="str">
        <f>"01133"</f>
        <v>01133</v>
      </c>
      <c r="B871" s="1" t="str">
        <f>"وحيد"</f>
        <v>وحيد</v>
      </c>
      <c r="C871" s="1" t="str">
        <f>"فولادي تنها"</f>
        <v>فولادي تنها</v>
      </c>
      <c r="D871" s="1" t="str">
        <f>"قراردادي کارگري"</f>
        <v>قراردادي کارگري</v>
      </c>
      <c r="E871" s="1" t="str">
        <f>"پروژه تعميرات نيروگاه بوشهر"</f>
        <v>پروژه تعميرات نيروگاه بوشهر</v>
      </c>
      <c r="F871" s="1">
        <v>6376955</v>
      </c>
      <c r="G871" s="1">
        <v>3164653</v>
      </c>
      <c r="H871" s="1">
        <v>0</v>
      </c>
      <c r="I871" s="1">
        <v>3826173</v>
      </c>
      <c r="J871" s="1">
        <v>0</v>
      </c>
      <c r="K871" s="1">
        <v>0</v>
      </c>
      <c r="L871" s="1">
        <v>7628143</v>
      </c>
      <c r="M871" s="1">
        <v>1000000</v>
      </c>
      <c r="N871" s="1">
        <v>3401042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5148659</v>
      </c>
      <c r="W871" s="1">
        <v>1900000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1516881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0</v>
      </c>
      <c r="AO871" s="1">
        <v>33962506</v>
      </c>
      <c r="AP871" s="1">
        <v>6647937</v>
      </c>
      <c r="AQ871" s="1">
        <v>27314569</v>
      </c>
      <c r="AR871" s="1">
        <v>6489125</v>
      </c>
      <c r="AS871" s="1">
        <v>973369</v>
      </c>
      <c r="AT871" s="1">
        <f t="shared" si="92"/>
        <v>41425000</v>
      </c>
    </row>
    <row r="872" spans="1:46" x14ac:dyDescent="0.2">
      <c r="A872" s="1" t="str">
        <f>"01134"</f>
        <v>01134</v>
      </c>
      <c r="B872" s="1" t="str">
        <f>"سيد جمال الدين"</f>
        <v>سيد جمال الدين</v>
      </c>
      <c r="C872" s="1" t="str">
        <f>"موسوي نژاد"</f>
        <v>موسوي نژاد</v>
      </c>
      <c r="D872" s="1" t="str">
        <f t="shared" ref="D872:D878" si="93">"قراردادي بهره بردار"</f>
        <v>قراردادي بهره بردار</v>
      </c>
      <c r="E872" s="1" t="str">
        <f>"پروژه بهره برداري نيروگاه بوشهر"</f>
        <v>پروژه بهره برداري نيروگاه بوشهر</v>
      </c>
      <c r="F872" s="1">
        <v>32697891</v>
      </c>
      <c r="G872" s="1">
        <v>9744061</v>
      </c>
      <c r="H872" s="1">
        <v>0</v>
      </c>
      <c r="I872" s="1">
        <v>24627609</v>
      </c>
      <c r="J872" s="1">
        <v>0</v>
      </c>
      <c r="K872" s="1">
        <v>5500000</v>
      </c>
      <c r="L872" s="1">
        <v>0</v>
      </c>
      <c r="M872" s="1">
        <v>1000000</v>
      </c>
      <c r="N872" s="1">
        <v>6085562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7384346</v>
      </c>
      <c r="W872" s="1">
        <v>1900000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4346830</v>
      </c>
      <c r="AF872" s="1">
        <v>1516881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6085562</v>
      </c>
      <c r="AM872" s="1">
        <v>0</v>
      </c>
      <c r="AN872" s="1">
        <v>0</v>
      </c>
      <c r="AO872" s="1">
        <v>100888742</v>
      </c>
      <c r="AP872" s="1">
        <v>39323535</v>
      </c>
      <c r="AQ872" s="1">
        <v>61565207</v>
      </c>
      <c r="AR872" s="1">
        <v>19874372</v>
      </c>
      <c r="AS872" s="1">
        <v>2981156</v>
      </c>
      <c r="AT872" s="1">
        <f t="shared" si="92"/>
        <v>123744270</v>
      </c>
    </row>
    <row r="873" spans="1:46" x14ac:dyDescent="0.2">
      <c r="A873" s="1" t="str">
        <f>"01135"</f>
        <v>01135</v>
      </c>
      <c r="B873" s="1" t="str">
        <f>"سامان"</f>
        <v>سامان</v>
      </c>
      <c r="C873" s="1" t="str">
        <f>"تجلي"</f>
        <v>تجلي</v>
      </c>
      <c r="D873" s="1" t="str">
        <f t="shared" si="93"/>
        <v>قراردادي بهره بردار</v>
      </c>
      <c r="E873" s="1" t="str">
        <f>"پروژه بهره برداري نيروگاه بوشهر"</f>
        <v>پروژه بهره برداري نيروگاه بوشهر</v>
      </c>
      <c r="F873" s="1">
        <v>17847361</v>
      </c>
      <c r="G873" s="1">
        <v>6339989</v>
      </c>
      <c r="H873" s="1">
        <v>0</v>
      </c>
      <c r="I873" s="1">
        <v>12407751</v>
      </c>
      <c r="J873" s="1">
        <v>0</v>
      </c>
      <c r="K873" s="1">
        <v>4125000</v>
      </c>
      <c r="L873" s="1">
        <v>0</v>
      </c>
      <c r="M873" s="1">
        <v>1000000</v>
      </c>
      <c r="N873" s="1">
        <v>2888284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23284665</v>
      </c>
      <c r="W873" s="1">
        <v>1900000</v>
      </c>
      <c r="X873" s="1">
        <v>0</v>
      </c>
      <c r="Y873" s="1">
        <v>294620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2063060</v>
      </c>
      <c r="AF873" s="1">
        <v>0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4939515</v>
      </c>
      <c r="AM873" s="1">
        <v>0</v>
      </c>
      <c r="AN873" s="1">
        <v>0</v>
      </c>
      <c r="AO873" s="1">
        <v>77090245</v>
      </c>
      <c r="AP873" s="1">
        <v>22737164</v>
      </c>
      <c r="AQ873" s="1">
        <v>54353081</v>
      </c>
      <c r="AR873" s="1">
        <v>15418049</v>
      </c>
      <c r="AS873" s="1">
        <v>2312707</v>
      </c>
      <c r="AT873" s="1">
        <f t="shared" si="92"/>
        <v>94821001</v>
      </c>
    </row>
    <row r="874" spans="1:46" x14ac:dyDescent="0.2">
      <c r="A874" s="1" t="str">
        <f>"01136"</f>
        <v>01136</v>
      </c>
      <c r="B874" s="1" t="str">
        <f>"مجتبي"</f>
        <v>مجتبي</v>
      </c>
      <c r="C874" s="1" t="str">
        <f>"جان احمدي"</f>
        <v>جان احمدي</v>
      </c>
      <c r="D874" s="1" t="str">
        <f t="shared" si="93"/>
        <v>قراردادي بهره بردار</v>
      </c>
      <c r="E874" s="1" t="str">
        <f>"پروژه بهره برداري نيروگاه بوشهر"</f>
        <v>پروژه بهره برداري نيروگاه بوشهر</v>
      </c>
      <c r="F874" s="1">
        <v>16583347</v>
      </c>
      <c r="G874" s="1">
        <v>15995093</v>
      </c>
      <c r="H874" s="1">
        <v>0</v>
      </c>
      <c r="I874" s="1">
        <v>11938293</v>
      </c>
      <c r="J874" s="1">
        <v>0</v>
      </c>
      <c r="K874" s="1">
        <v>5500000</v>
      </c>
      <c r="L874" s="1">
        <v>0</v>
      </c>
      <c r="M874" s="1">
        <v>1000000</v>
      </c>
      <c r="N874" s="1">
        <v>2618394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1606000</v>
      </c>
      <c r="U874" s="1">
        <v>0</v>
      </c>
      <c r="V874" s="1">
        <v>7096381</v>
      </c>
      <c r="W874" s="1">
        <v>1900000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1870282</v>
      </c>
      <c r="AF874" s="1">
        <v>1516881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4339053</v>
      </c>
      <c r="AM874" s="1">
        <v>0</v>
      </c>
      <c r="AN874" s="1">
        <v>0</v>
      </c>
      <c r="AO874" s="1">
        <v>71963724</v>
      </c>
      <c r="AP874" s="1">
        <v>24170914</v>
      </c>
      <c r="AQ874" s="1">
        <v>47792810</v>
      </c>
      <c r="AR874" s="1">
        <v>13768169</v>
      </c>
      <c r="AS874" s="1">
        <v>2065225</v>
      </c>
      <c r="AT874" s="1">
        <f t="shared" si="92"/>
        <v>87797118</v>
      </c>
    </row>
    <row r="875" spans="1:46" x14ac:dyDescent="0.2">
      <c r="A875" s="1" t="str">
        <f>"01137"</f>
        <v>01137</v>
      </c>
      <c r="B875" s="1" t="str">
        <f>"سيد حسن"</f>
        <v>سيد حسن</v>
      </c>
      <c r="C875" s="1" t="str">
        <f>"موسوي"</f>
        <v>موسوي</v>
      </c>
      <c r="D875" s="1" t="str">
        <f t="shared" si="93"/>
        <v>قراردادي بهره بردار</v>
      </c>
      <c r="E875" s="1" t="str">
        <f>"پروژه بهره برداري نيروگاه بوشهر"</f>
        <v>پروژه بهره برداري نيروگاه بوشهر</v>
      </c>
      <c r="F875" s="1">
        <v>22386423</v>
      </c>
      <c r="G875" s="1">
        <v>30785519</v>
      </c>
      <c r="H875" s="1">
        <v>0</v>
      </c>
      <c r="I875" s="1">
        <v>19162556</v>
      </c>
      <c r="J875" s="1">
        <v>0</v>
      </c>
      <c r="K875" s="1">
        <v>5500000</v>
      </c>
      <c r="L875" s="1">
        <v>0</v>
      </c>
      <c r="M875" s="1">
        <v>1000000</v>
      </c>
      <c r="N875" s="1">
        <v>2731871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5084787</v>
      </c>
      <c r="W875" s="1">
        <v>1900000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1951336</v>
      </c>
      <c r="AF875" s="1">
        <v>1516881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4615691</v>
      </c>
      <c r="AM875" s="1">
        <v>0</v>
      </c>
      <c r="AN875" s="1">
        <v>0</v>
      </c>
      <c r="AO875" s="1">
        <v>96635064</v>
      </c>
      <c r="AP875" s="1">
        <v>45393985</v>
      </c>
      <c r="AQ875" s="1">
        <v>51241079</v>
      </c>
      <c r="AR875" s="1">
        <v>19023637</v>
      </c>
      <c r="AS875" s="1">
        <v>2853545</v>
      </c>
      <c r="AT875" s="1">
        <f t="shared" si="92"/>
        <v>118512246</v>
      </c>
    </row>
    <row r="876" spans="1:46" x14ac:dyDescent="0.2">
      <c r="A876" s="1" t="str">
        <f>"01138"</f>
        <v>01138</v>
      </c>
      <c r="B876" s="1" t="str">
        <f>"آرمان"</f>
        <v>آرمان</v>
      </c>
      <c r="C876" s="1" t="str">
        <f>"زنده بودي"</f>
        <v>زنده بودي</v>
      </c>
      <c r="D876" s="1" t="str">
        <f t="shared" si="93"/>
        <v>قراردادي بهره بردار</v>
      </c>
      <c r="E876" s="1" t="str">
        <f>"پروژه تعميرات نيروگاه بوشهر"</f>
        <v>پروژه تعميرات نيروگاه بوشهر</v>
      </c>
      <c r="F876" s="1">
        <v>16948849</v>
      </c>
      <c r="G876" s="1">
        <v>12776038</v>
      </c>
      <c r="H876" s="1">
        <v>0</v>
      </c>
      <c r="I876" s="1">
        <v>13846537</v>
      </c>
      <c r="J876" s="1">
        <v>0</v>
      </c>
      <c r="K876" s="1">
        <v>5500000</v>
      </c>
      <c r="L876" s="1">
        <v>0</v>
      </c>
      <c r="M876" s="1">
        <v>1000000</v>
      </c>
      <c r="N876" s="1">
        <v>2774904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62372425</v>
      </c>
      <c r="W876" s="1">
        <v>1900000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1982078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4801122</v>
      </c>
      <c r="AM876" s="1">
        <v>0</v>
      </c>
      <c r="AN876" s="1">
        <v>0</v>
      </c>
      <c r="AO876" s="1">
        <v>123901953</v>
      </c>
      <c r="AP876" s="1">
        <v>47977641</v>
      </c>
      <c r="AQ876" s="1">
        <v>75924312</v>
      </c>
      <c r="AR876" s="1">
        <v>24780390</v>
      </c>
      <c r="AS876" s="1">
        <v>3717059</v>
      </c>
      <c r="AT876" s="1">
        <f t="shared" si="92"/>
        <v>152399402</v>
      </c>
    </row>
    <row r="877" spans="1:46" x14ac:dyDescent="0.2">
      <c r="A877" s="1" t="str">
        <f>"01139"</f>
        <v>01139</v>
      </c>
      <c r="B877" s="1" t="str">
        <f>"جواد"</f>
        <v>جواد</v>
      </c>
      <c r="C877" s="1" t="str">
        <f>"كمالي"</f>
        <v>كمالي</v>
      </c>
      <c r="D877" s="1" t="str">
        <f t="shared" si="93"/>
        <v>قراردادي بهره بردار</v>
      </c>
      <c r="E877" s="1" t="str">
        <f>"پروژه تعميرات نيروگاه بوشهر"</f>
        <v>پروژه تعميرات نيروگاه بوشهر</v>
      </c>
      <c r="F877" s="1">
        <v>17288741</v>
      </c>
      <c r="G877" s="1">
        <v>13051160</v>
      </c>
      <c r="H877" s="1">
        <v>0</v>
      </c>
      <c r="I877" s="1">
        <v>12780977</v>
      </c>
      <c r="J877" s="1">
        <v>0</v>
      </c>
      <c r="K877" s="1">
        <v>4125000</v>
      </c>
      <c r="L877" s="1">
        <v>0</v>
      </c>
      <c r="M877" s="1">
        <v>1000000</v>
      </c>
      <c r="N877" s="1">
        <v>2692767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7053314</v>
      </c>
      <c r="W877" s="1">
        <v>1900000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1923405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4499191</v>
      </c>
      <c r="AM877" s="1">
        <v>0</v>
      </c>
      <c r="AN877" s="1">
        <v>0</v>
      </c>
      <c r="AO877" s="1">
        <v>66314555</v>
      </c>
      <c r="AP877" s="1">
        <v>24901041</v>
      </c>
      <c r="AQ877" s="1">
        <v>41413514</v>
      </c>
      <c r="AR877" s="1">
        <v>13262911</v>
      </c>
      <c r="AS877" s="1">
        <v>1989437</v>
      </c>
      <c r="AT877" s="1">
        <f t="shared" si="92"/>
        <v>81566903</v>
      </c>
    </row>
    <row r="878" spans="1:46" x14ac:dyDescent="0.2">
      <c r="A878" s="1" t="str">
        <f>"01140"</f>
        <v>01140</v>
      </c>
      <c r="B878" s="1" t="str">
        <f>"سعيد"</f>
        <v>سعيد</v>
      </c>
      <c r="C878" s="1" t="str">
        <f>"كارگر"</f>
        <v>كارگر</v>
      </c>
      <c r="D878" s="1" t="str">
        <f t="shared" si="93"/>
        <v>قراردادي بهره بردار</v>
      </c>
      <c r="E878" s="1" t="str">
        <f>"پروژه تعميرات نيروگاه بوشهر"</f>
        <v>پروژه تعميرات نيروگاه بوشهر</v>
      </c>
      <c r="F878" s="1">
        <v>15399484</v>
      </c>
      <c r="G878" s="1">
        <v>36817163</v>
      </c>
      <c r="H878" s="1">
        <v>0</v>
      </c>
      <c r="I878" s="1">
        <v>12331827</v>
      </c>
      <c r="J878" s="1">
        <v>0</v>
      </c>
      <c r="K878" s="1">
        <v>5500000</v>
      </c>
      <c r="L878" s="1">
        <v>0</v>
      </c>
      <c r="M878" s="1">
        <v>1000000</v>
      </c>
      <c r="N878" s="1">
        <v>2319772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86576750</v>
      </c>
      <c r="W878" s="1">
        <v>1900000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1656978</v>
      </c>
      <c r="AF878" s="1">
        <v>1516881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3735774</v>
      </c>
      <c r="AM878" s="1">
        <v>0</v>
      </c>
      <c r="AN878" s="1">
        <v>0</v>
      </c>
      <c r="AO878" s="1">
        <v>168754629</v>
      </c>
      <c r="AP878" s="1">
        <v>48915198</v>
      </c>
      <c r="AQ878" s="1">
        <v>119839431</v>
      </c>
      <c r="AR878" s="1">
        <v>33447549</v>
      </c>
      <c r="AS878" s="1">
        <v>5017132</v>
      </c>
      <c r="AT878" s="1">
        <f t="shared" si="92"/>
        <v>207219310</v>
      </c>
    </row>
    <row r="879" spans="1:46" x14ac:dyDescent="0.2">
      <c r="A879" s="1" t="str">
        <f>"01142"</f>
        <v>01142</v>
      </c>
      <c r="B879" s="1" t="str">
        <f>"حبيب"</f>
        <v>حبيب</v>
      </c>
      <c r="C879" s="1" t="str">
        <f>"دهقاني"</f>
        <v>دهقاني</v>
      </c>
      <c r="D879" s="1" t="str">
        <f>"قراردادي کارگري"</f>
        <v>قراردادي کارگري</v>
      </c>
      <c r="E879" s="1" t="str">
        <f>"پروژه تعميرات نيروگاه بوشهر"</f>
        <v>پروژه تعميرات نيروگاه بوشهر</v>
      </c>
      <c r="F879" s="1">
        <v>8970455</v>
      </c>
      <c r="G879" s="1">
        <v>6296763</v>
      </c>
      <c r="H879" s="1">
        <v>0</v>
      </c>
      <c r="I879" s="1">
        <v>5382273</v>
      </c>
      <c r="J879" s="1">
        <v>0</v>
      </c>
      <c r="K879" s="1">
        <v>0</v>
      </c>
      <c r="L879" s="1">
        <v>7628143</v>
      </c>
      <c r="M879" s="1">
        <v>1000000</v>
      </c>
      <c r="N879" s="1">
        <v>4784243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8928534</v>
      </c>
      <c r="W879" s="1">
        <v>1900000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4014767</v>
      </c>
      <c r="AE879" s="1">
        <v>0</v>
      </c>
      <c r="AF879" s="1">
        <v>4550643</v>
      </c>
      <c r="AG879" s="1">
        <v>0</v>
      </c>
      <c r="AH879" s="1">
        <v>0</v>
      </c>
      <c r="AI879" s="1">
        <v>0</v>
      </c>
      <c r="AJ879" s="1">
        <v>4835914</v>
      </c>
      <c r="AK879" s="1">
        <v>0</v>
      </c>
      <c r="AL879" s="1">
        <v>0</v>
      </c>
      <c r="AM879" s="1">
        <v>0</v>
      </c>
      <c r="AN879" s="1">
        <v>0</v>
      </c>
      <c r="AO879" s="1">
        <v>58291735</v>
      </c>
      <c r="AP879" s="1">
        <v>10008706</v>
      </c>
      <c r="AQ879" s="1">
        <v>48283029</v>
      </c>
      <c r="AR879" s="1">
        <v>10748218</v>
      </c>
      <c r="AS879" s="1">
        <v>1612233</v>
      </c>
      <c r="AT879" s="1">
        <f t="shared" si="92"/>
        <v>70652186</v>
      </c>
    </row>
    <row r="880" spans="1:46" x14ac:dyDescent="0.2">
      <c r="A880" s="1" t="str">
        <f>"01144"</f>
        <v>01144</v>
      </c>
      <c r="B880" s="1" t="str">
        <f>"آزاده"</f>
        <v>آزاده</v>
      </c>
      <c r="C880" s="1" t="str">
        <f>"دهقان"</f>
        <v>دهقان</v>
      </c>
      <c r="D880" s="1" t="str">
        <f t="shared" ref="D880:D915" si="94">"قراردادي بهره بردار"</f>
        <v>قراردادي بهره بردار</v>
      </c>
      <c r="E880" s="1" t="str">
        <f t="shared" ref="E880:E915" si="95">"پروژه بهره برداري نيروگاه بوشهر"</f>
        <v>پروژه بهره برداري نيروگاه بوشهر</v>
      </c>
      <c r="F880" s="1">
        <v>5131107</v>
      </c>
      <c r="G880" s="1">
        <v>0</v>
      </c>
      <c r="H880" s="1">
        <v>0</v>
      </c>
      <c r="I880" s="1">
        <v>3274686</v>
      </c>
      <c r="J880" s="1">
        <v>0</v>
      </c>
      <c r="K880" s="1">
        <v>1774194</v>
      </c>
      <c r="L880" s="1">
        <v>0</v>
      </c>
      <c r="M880" s="1">
        <v>322581</v>
      </c>
      <c r="N880" s="1">
        <v>768217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1091545</v>
      </c>
      <c r="W880" s="1">
        <v>612903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548727</v>
      </c>
      <c r="AF880" s="1">
        <v>1516881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1192712</v>
      </c>
      <c r="AM880" s="1">
        <v>0</v>
      </c>
      <c r="AN880" s="1">
        <v>0</v>
      </c>
      <c r="AO880" s="1">
        <v>16233553</v>
      </c>
      <c r="AP880" s="1">
        <v>16233553</v>
      </c>
      <c r="AQ880" s="1">
        <v>0</v>
      </c>
      <c r="AR880" s="1">
        <v>2943334</v>
      </c>
      <c r="AS880" s="1">
        <v>441500</v>
      </c>
      <c r="AT880" s="1">
        <f t="shared" si="92"/>
        <v>19618387</v>
      </c>
    </row>
    <row r="881" spans="1:46" x14ac:dyDescent="0.2">
      <c r="A881" s="1" t="str">
        <f>"01145"</f>
        <v>01145</v>
      </c>
      <c r="B881" s="1" t="str">
        <f>"مسعود"</f>
        <v>مسعود</v>
      </c>
      <c r="C881" s="1" t="str">
        <f>"عبدالهي"</f>
        <v>عبدالهي</v>
      </c>
      <c r="D881" s="1" t="str">
        <f t="shared" si="94"/>
        <v>قراردادي بهره بردار</v>
      </c>
      <c r="E881" s="1" t="str">
        <f t="shared" si="95"/>
        <v>پروژه بهره برداري نيروگاه بوشهر</v>
      </c>
      <c r="F881" s="1">
        <v>11549195</v>
      </c>
      <c r="G881" s="1">
        <v>5606243</v>
      </c>
      <c r="H881" s="1">
        <v>0</v>
      </c>
      <c r="I881" s="1">
        <v>8871376</v>
      </c>
      <c r="J881" s="1">
        <v>0</v>
      </c>
      <c r="K881" s="1">
        <v>4620000</v>
      </c>
      <c r="L881" s="1">
        <v>0</v>
      </c>
      <c r="M881" s="1">
        <v>1000000</v>
      </c>
      <c r="N881" s="1">
        <v>2018042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3009412</v>
      </c>
      <c r="W881" s="1">
        <v>1900000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2808435</v>
      </c>
      <c r="AD881" s="1">
        <v>0</v>
      </c>
      <c r="AE881" s="1">
        <v>1441459</v>
      </c>
      <c r="AF881" s="1">
        <v>4904582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3405610</v>
      </c>
      <c r="AM881" s="1">
        <v>0</v>
      </c>
      <c r="AN881" s="1">
        <v>0</v>
      </c>
      <c r="AO881" s="1">
        <v>51134354</v>
      </c>
      <c r="AP881" s="1">
        <v>8205675</v>
      </c>
      <c r="AQ881" s="1">
        <v>42928679</v>
      </c>
      <c r="AR881" s="1">
        <v>9245954</v>
      </c>
      <c r="AS881" s="1">
        <v>1386893</v>
      </c>
      <c r="AT881" s="1">
        <f t="shared" si="92"/>
        <v>61767201</v>
      </c>
    </row>
    <row r="882" spans="1:46" x14ac:dyDescent="0.2">
      <c r="A882" s="1" t="str">
        <f>"01146"</f>
        <v>01146</v>
      </c>
      <c r="B882" s="1" t="str">
        <f>"محمدرضا"</f>
        <v>محمدرضا</v>
      </c>
      <c r="C882" s="1" t="str">
        <f>"بشيري"</f>
        <v>بشيري</v>
      </c>
      <c r="D882" s="1" t="str">
        <f t="shared" si="94"/>
        <v>قراردادي بهره بردار</v>
      </c>
      <c r="E882" s="1" t="str">
        <f t="shared" si="95"/>
        <v>پروژه بهره برداري نيروگاه بوشهر</v>
      </c>
      <c r="F882" s="1">
        <v>16005011</v>
      </c>
      <c r="G882" s="1">
        <v>5261879</v>
      </c>
      <c r="H882" s="1">
        <v>0</v>
      </c>
      <c r="I882" s="1">
        <v>11326692</v>
      </c>
      <c r="J882" s="1">
        <v>0</v>
      </c>
      <c r="K882" s="1">
        <v>4125000</v>
      </c>
      <c r="L882" s="1">
        <v>0</v>
      </c>
      <c r="M882" s="1">
        <v>1000000</v>
      </c>
      <c r="N882" s="1">
        <v>2415977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3567863</v>
      </c>
      <c r="W882" s="1">
        <v>1900000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1725698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4205259</v>
      </c>
      <c r="AM882" s="1">
        <v>0</v>
      </c>
      <c r="AN882" s="1">
        <v>0</v>
      </c>
      <c r="AO882" s="1">
        <v>51533379</v>
      </c>
      <c r="AP882" s="1">
        <v>7828615</v>
      </c>
      <c r="AQ882" s="1">
        <v>43704764</v>
      </c>
      <c r="AR882" s="1">
        <v>10306676</v>
      </c>
      <c r="AS882" s="1">
        <v>1546001</v>
      </c>
      <c r="AT882" s="1">
        <f t="shared" si="92"/>
        <v>63386056</v>
      </c>
    </row>
    <row r="883" spans="1:46" x14ac:dyDescent="0.2">
      <c r="A883" s="1" t="str">
        <f>"01147"</f>
        <v>01147</v>
      </c>
      <c r="B883" s="1" t="str">
        <f>"بهروز"</f>
        <v>بهروز</v>
      </c>
      <c r="C883" s="1" t="str">
        <f>"جلالي"</f>
        <v>جلالي</v>
      </c>
      <c r="D883" s="1" t="str">
        <f t="shared" si="94"/>
        <v>قراردادي بهره بردار</v>
      </c>
      <c r="E883" s="1" t="str">
        <f t="shared" si="95"/>
        <v>پروژه بهره برداري نيروگاه بوشهر</v>
      </c>
      <c r="F883" s="1">
        <v>15967769</v>
      </c>
      <c r="G883" s="1">
        <v>551322</v>
      </c>
      <c r="H883" s="1">
        <v>0</v>
      </c>
      <c r="I883" s="1">
        <v>11226596</v>
      </c>
      <c r="J883" s="1">
        <v>0</v>
      </c>
      <c r="K883" s="1">
        <v>5500000</v>
      </c>
      <c r="L883" s="1">
        <v>0</v>
      </c>
      <c r="M883" s="1">
        <v>1000000</v>
      </c>
      <c r="N883" s="1">
        <v>2402942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3551376</v>
      </c>
      <c r="W883" s="1">
        <v>1900000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1716387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4200056</v>
      </c>
      <c r="AM883" s="1">
        <v>0</v>
      </c>
      <c r="AN883" s="1">
        <v>0</v>
      </c>
      <c r="AO883" s="1">
        <v>48016448</v>
      </c>
      <c r="AP883" s="1">
        <v>15907211</v>
      </c>
      <c r="AQ883" s="1">
        <v>32109237</v>
      </c>
      <c r="AR883" s="1">
        <v>9603290</v>
      </c>
      <c r="AS883" s="1">
        <v>1440493</v>
      </c>
      <c r="AT883" s="1">
        <f t="shared" si="92"/>
        <v>59060231</v>
      </c>
    </row>
    <row r="884" spans="1:46" x14ac:dyDescent="0.2">
      <c r="A884" s="1" t="str">
        <f>"01148"</f>
        <v>01148</v>
      </c>
      <c r="B884" s="1" t="str">
        <f>"حسن"</f>
        <v>حسن</v>
      </c>
      <c r="C884" s="1" t="str">
        <f>"محمدي"</f>
        <v>محمدي</v>
      </c>
      <c r="D884" s="1" t="str">
        <f t="shared" si="94"/>
        <v>قراردادي بهره بردار</v>
      </c>
      <c r="E884" s="1" t="str">
        <f t="shared" si="95"/>
        <v>پروژه بهره برداري نيروگاه بوشهر</v>
      </c>
      <c r="F884" s="1">
        <v>15823185</v>
      </c>
      <c r="G884" s="1">
        <v>1303988</v>
      </c>
      <c r="H884" s="1">
        <v>0</v>
      </c>
      <c r="I884" s="1">
        <v>8856497</v>
      </c>
      <c r="J884" s="1">
        <v>0</v>
      </c>
      <c r="K884" s="1">
        <v>5500000</v>
      </c>
      <c r="L884" s="1">
        <v>0</v>
      </c>
      <c r="M884" s="1">
        <v>1000000</v>
      </c>
      <c r="N884" s="1">
        <v>2352338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3359885</v>
      </c>
      <c r="W884" s="1">
        <v>1900000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1680241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4886589</v>
      </c>
      <c r="AM884" s="1">
        <v>0</v>
      </c>
      <c r="AN884" s="1">
        <v>0</v>
      </c>
      <c r="AO884" s="1">
        <v>46662723</v>
      </c>
      <c r="AP884" s="1">
        <v>5487624</v>
      </c>
      <c r="AQ884" s="1">
        <v>41175099</v>
      </c>
      <c r="AR884" s="1">
        <v>9332545</v>
      </c>
      <c r="AS884" s="1">
        <v>1399882</v>
      </c>
      <c r="AT884" s="1">
        <f t="shared" si="92"/>
        <v>57395150</v>
      </c>
    </row>
    <row r="885" spans="1:46" x14ac:dyDescent="0.2">
      <c r="A885" s="1" t="str">
        <f>"01149"</f>
        <v>01149</v>
      </c>
      <c r="B885" s="1" t="str">
        <f>"ناصر"</f>
        <v>ناصر</v>
      </c>
      <c r="C885" s="1" t="str">
        <f>"مرادي"</f>
        <v>مرادي</v>
      </c>
      <c r="D885" s="1" t="str">
        <f t="shared" si="94"/>
        <v>قراردادي بهره بردار</v>
      </c>
      <c r="E885" s="1" t="str">
        <f t="shared" si="95"/>
        <v>پروژه بهره برداري نيروگاه بوشهر</v>
      </c>
      <c r="F885" s="1">
        <v>17628295</v>
      </c>
      <c r="G885" s="1">
        <v>14910723</v>
      </c>
      <c r="H885" s="1">
        <v>0</v>
      </c>
      <c r="I885" s="1">
        <v>15586062</v>
      </c>
      <c r="J885" s="1">
        <v>0</v>
      </c>
      <c r="K885" s="1">
        <v>5500000</v>
      </c>
      <c r="L885" s="1">
        <v>0</v>
      </c>
      <c r="M885" s="1">
        <v>1000000</v>
      </c>
      <c r="N885" s="1">
        <v>2984126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4801975</v>
      </c>
      <c r="W885" s="1">
        <v>1900000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5520480</v>
      </c>
      <c r="AD885" s="1">
        <v>0</v>
      </c>
      <c r="AE885" s="1">
        <v>2131519</v>
      </c>
      <c r="AF885" s="1">
        <v>4550643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4169277</v>
      </c>
      <c r="AM885" s="1">
        <v>0</v>
      </c>
      <c r="AN885" s="1">
        <v>0</v>
      </c>
      <c r="AO885" s="1">
        <v>80683100</v>
      </c>
      <c r="AP885" s="1">
        <v>28787764</v>
      </c>
      <c r="AQ885" s="1">
        <v>51895336</v>
      </c>
      <c r="AR885" s="1">
        <v>15226492</v>
      </c>
      <c r="AS885" s="1">
        <v>2283973</v>
      </c>
      <c r="AT885" s="1">
        <f t="shared" si="92"/>
        <v>98193565</v>
      </c>
    </row>
    <row r="886" spans="1:46" x14ac:dyDescent="0.2">
      <c r="A886" s="1" t="str">
        <f>"01150"</f>
        <v>01150</v>
      </c>
      <c r="B886" s="1" t="str">
        <f>"شهلا"</f>
        <v>شهلا</v>
      </c>
      <c r="C886" s="1" t="str">
        <f>"دهقاني"</f>
        <v>دهقاني</v>
      </c>
      <c r="D886" s="1" t="str">
        <f t="shared" si="94"/>
        <v>قراردادي بهره بردار</v>
      </c>
      <c r="E886" s="1" t="str">
        <f t="shared" si="95"/>
        <v>پروژه بهره برداري نيروگاه بوشهر</v>
      </c>
      <c r="F886" s="1">
        <v>16009392</v>
      </c>
      <c r="G886" s="1">
        <v>12719120</v>
      </c>
      <c r="H886" s="1">
        <v>0</v>
      </c>
      <c r="I886" s="1">
        <v>10953547</v>
      </c>
      <c r="J886" s="1">
        <v>0</v>
      </c>
      <c r="K886" s="1">
        <v>4125000</v>
      </c>
      <c r="L886" s="1">
        <v>0</v>
      </c>
      <c r="M886" s="1">
        <v>1000000</v>
      </c>
      <c r="N886" s="1">
        <v>2244995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1606000</v>
      </c>
      <c r="U886" s="1">
        <v>0</v>
      </c>
      <c r="V886" s="1">
        <v>3486423</v>
      </c>
      <c r="W886" s="1">
        <v>1900000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1603568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4052733</v>
      </c>
      <c r="AM886" s="1">
        <v>0</v>
      </c>
      <c r="AN886" s="1">
        <v>0</v>
      </c>
      <c r="AO886" s="1">
        <v>59700778</v>
      </c>
      <c r="AP886" s="1">
        <v>6529448</v>
      </c>
      <c r="AQ886" s="1">
        <v>53171330</v>
      </c>
      <c r="AR886" s="1">
        <v>11618956</v>
      </c>
      <c r="AS886" s="1">
        <v>1742843</v>
      </c>
      <c r="AT886" s="1">
        <f t="shared" si="92"/>
        <v>73062577</v>
      </c>
    </row>
    <row r="887" spans="1:46" x14ac:dyDescent="0.2">
      <c r="A887" s="1" t="str">
        <f>"01151"</f>
        <v>01151</v>
      </c>
      <c r="B887" s="1" t="str">
        <f>"آرش"</f>
        <v>آرش</v>
      </c>
      <c r="C887" s="1" t="str">
        <f>"كشاورزي"</f>
        <v>كشاورزي</v>
      </c>
      <c r="D887" s="1" t="str">
        <f t="shared" si="94"/>
        <v>قراردادي بهره بردار</v>
      </c>
      <c r="E887" s="1" t="str">
        <f t="shared" si="95"/>
        <v>پروژه بهره برداري نيروگاه بوشهر</v>
      </c>
      <c r="F887" s="1">
        <v>10631305</v>
      </c>
      <c r="G887" s="1">
        <v>1497349</v>
      </c>
      <c r="H887" s="1">
        <v>0</v>
      </c>
      <c r="I887" s="1">
        <v>7005167</v>
      </c>
      <c r="J887" s="1">
        <v>0</v>
      </c>
      <c r="K887" s="1">
        <v>4620000</v>
      </c>
      <c r="L887" s="1">
        <v>0</v>
      </c>
      <c r="M887" s="1">
        <v>1000000</v>
      </c>
      <c r="N887" s="1">
        <v>1581771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2373026</v>
      </c>
      <c r="W887" s="1">
        <v>1900000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1129836</v>
      </c>
      <c r="AF887" s="1">
        <v>1516881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3382171</v>
      </c>
      <c r="AM887" s="1">
        <v>0</v>
      </c>
      <c r="AN887" s="1">
        <v>0</v>
      </c>
      <c r="AO887" s="1">
        <v>36637506</v>
      </c>
      <c r="AP887" s="1">
        <v>15739317</v>
      </c>
      <c r="AQ887" s="1">
        <v>20898189</v>
      </c>
      <c r="AR887" s="1">
        <v>7024125</v>
      </c>
      <c r="AS887" s="1">
        <v>1053619</v>
      </c>
      <c r="AT887" s="1">
        <f t="shared" si="92"/>
        <v>44715250</v>
      </c>
    </row>
    <row r="888" spans="1:46" x14ac:dyDescent="0.2">
      <c r="A888" s="1" t="str">
        <f>"01152"</f>
        <v>01152</v>
      </c>
      <c r="B888" s="1" t="str">
        <f>"سجاد"</f>
        <v>سجاد</v>
      </c>
      <c r="C888" s="1" t="str">
        <f>"اميرخاني"</f>
        <v>اميرخاني</v>
      </c>
      <c r="D888" s="1" t="str">
        <f t="shared" si="94"/>
        <v>قراردادي بهره بردار</v>
      </c>
      <c r="E888" s="1" t="str">
        <f t="shared" si="95"/>
        <v>پروژه بهره برداري نيروگاه بوشهر</v>
      </c>
      <c r="F888" s="1">
        <v>17192352</v>
      </c>
      <c r="G888" s="1">
        <v>12942536</v>
      </c>
      <c r="H888" s="1">
        <v>0</v>
      </c>
      <c r="I888" s="1">
        <v>11582690</v>
      </c>
      <c r="J888" s="1">
        <v>0</v>
      </c>
      <c r="K888" s="1">
        <v>0</v>
      </c>
      <c r="L888" s="1">
        <v>0</v>
      </c>
      <c r="M888" s="1">
        <v>1000000</v>
      </c>
      <c r="N888" s="1">
        <v>2659031</v>
      </c>
      <c r="O888" s="1">
        <v>0</v>
      </c>
      <c r="P888" s="1">
        <v>0</v>
      </c>
      <c r="Q888" s="1">
        <v>0</v>
      </c>
      <c r="R888" s="1">
        <v>299167</v>
      </c>
      <c r="S888" s="1">
        <v>0</v>
      </c>
      <c r="T888" s="1">
        <v>0</v>
      </c>
      <c r="U888" s="1">
        <v>0</v>
      </c>
      <c r="V888" s="1">
        <v>8162108</v>
      </c>
      <c r="W888" s="1">
        <v>1900000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1899308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5533800</v>
      </c>
      <c r="AM888" s="1">
        <v>0</v>
      </c>
      <c r="AN888" s="1">
        <v>0</v>
      </c>
      <c r="AO888" s="1">
        <v>63170992</v>
      </c>
      <c r="AP888" s="1">
        <v>13920317</v>
      </c>
      <c r="AQ888" s="1">
        <v>49250675</v>
      </c>
      <c r="AR888" s="1">
        <v>12574365</v>
      </c>
      <c r="AS888" s="1">
        <v>1886155</v>
      </c>
      <c r="AT888" s="1">
        <f t="shared" si="92"/>
        <v>77631512</v>
      </c>
    </row>
    <row r="889" spans="1:46" x14ac:dyDescent="0.2">
      <c r="A889" s="1" t="str">
        <f>"01153"</f>
        <v>01153</v>
      </c>
      <c r="B889" s="1" t="str">
        <f>"جعفر"</f>
        <v>جعفر</v>
      </c>
      <c r="C889" s="1" t="str">
        <f>"اميني نيک"</f>
        <v>اميني نيک</v>
      </c>
      <c r="D889" s="1" t="str">
        <f t="shared" si="94"/>
        <v>قراردادي بهره بردار</v>
      </c>
      <c r="E889" s="1" t="str">
        <f t="shared" si="95"/>
        <v>پروژه بهره برداري نيروگاه بوشهر</v>
      </c>
      <c r="F889" s="1">
        <v>18329308</v>
      </c>
      <c r="G889" s="1">
        <v>362653</v>
      </c>
      <c r="H889" s="1">
        <v>0</v>
      </c>
      <c r="I889" s="1">
        <v>12922819</v>
      </c>
      <c r="J889" s="1">
        <v>0</v>
      </c>
      <c r="K889" s="1">
        <v>5500000</v>
      </c>
      <c r="L889" s="1">
        <v>0</v>
      </c>
      <c r="M889" s="1">
        <v>1000000</v>
      </c>
      <c r="N889" s="1">
        <v>3056966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10278627</v>
      </c>
      <c r="W889" s="1">
        <v>1900000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2183547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4621869</v>
      </c>
      <c r="AM889" s="1">
        <v>0</v>
      </c>
      <c r="AN889" s="1">
        <v>0</v>
      </c>
      <c r="AO889" s="1">
        <v>60155789</v>
      </c>
      <c r="AP889" s="1">
        <v>11520612</v>
      </c>
      <c r="AQ889" s="1">
        <v>48635177</v>
      </c>
      <c r="AR889" s="1">
        <v>12031158</v>
      </c>
      <c r="AS889" s="1">
        <v>1804674</v>
      </c>
      <c r="AT889" s="1">
        <f t="shared" si="92"/>
        <v>73991621</v>
      </c>
    </row>
    <row r="890" spans="1:46" x14ac:dyDescent="0.2">
      <c r="A890" s="1" t="str">
        <f>"01154"</f>
        <v>01154</v>
      </c>
      <c r="B890" s="1" t="str">
        <f>"مهدي"</f>
        <v>مهدي</v>
      </c>
      <c r="C890" s="1" t="str">
        <f>"اورک"</f>
        <v>اورک</v>
      </c>
      <c r="D890" s="1" t="str">
        <f t="shared" si="94"/>
        <v>قراردادي بهره بردار</v>
      </c>
      <c r="E890" s="1" t="str">
        <f t="shared" si="95"/>
        <v>پروژه بهره برداري نيروگاه بوشهر</v>
      </c>
      <c r="F890" s="1">
        <v>17945941</v>
      </c>
      <c r="G890" s="1">
        <v>9811786</v>
      </c>
      <c r="H890" s="1">
        <v>0</v>
      </c>
      <c r="I890" s="1">
        <v>12713765</v>
      </c>
      <c r="J890" s="1">
        <v>0</v>
      </c>
      <c r="K890" s="1">
        <v>4125000</v>
      </c>
      <c r="L890" s="1">
        <v>0</v>
      </c>
      <c r="M890" s="1">
        <v>1000000</v>
      </c>
      <c r="N890" s="1">
        <v>2922787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14112235</v>
      </c>
      <c r="W890" s="1">
        <v>1900000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2087705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5836374</v>
      </c>
      <c r="AM890" s="1">
        <v>0</v>
      </c>
      <c r="AN890" s="1">
        <v>0</v>
      </c>
      <c r="AO890" s="1">
        <v>72455593</v>
      </c>
      <c r="AP890" s="1">
        <v>20452181</v>
      </c>
      <c r="AQ890" s="1">
        <v>52003412</v>
      </c>
      <c r="AR890" s="1">
        <v>14491119</v>
      </c>
      <c r="AS890" s="1">
        <v>2173668</v>
      </c>
      <c r="AT890" s="1">
        <f t="shared" si="92"/>
        <v>89120380</v>
      </c>
    </row>
    <row r="891" spans="1:46" x14ac:dyDescent="0.2">
      <c r="A891" s="1" t="str">
        <f>"01155"</f>
        <v>01155</v>
      </c>
      <c r="B891" s="1" t="str">
        <f>"علي"</f>
        <v>علي</v>
      </c>
      <c r="C891" s="1" t="str">
        <f>"بهسرشت"</f>
        <v>بهسرشت</v>
      </c>
      <c r="D891" s="1" t="str">
        <f t="shared" si="94"/>
        <v>قراردادي بهره بردار</v>
      </c>
      <c r="E891" s="1" t="str">
        <f t="shared" si="95"/>
        <v>پروژه بهره برداري نيروگاه بوشهر</v>
      </c>
      <c r="F891" s="1">
        <v>18692959</v>
      </c>
      <c r="G891" s="1">
        <v>7040537</v>
      </c>
      <c r="H891" s="1">
        <v>0</v>
      </c>
      <c r="I891" s="1">
        <v>14672537</v>
      </c>
      <c r="J891" s="1">
        <v>0</v>
      </c>
      <c r="K891" s="1">
        <v>5500000</v>
      </c>
      <c r="L891" s="1">
        <v>0</v>
      </c>
      <c r="M891" s="1">
        <v>1000000</v>
      </c>
      <c r="N891" s="1">
        <v>3184244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1606000</v>
      </c>
      <c r="U891" s="1">
        <v>0</v>
      </c>
      <c r="V891" s="1">
        <v>11245073</v>
      </c>
      <c r="W891" s="1">
        <v>1900000</v>
      </c>
      <c r="X891" s="1">
        <v>2713494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2274460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12289771</v>
      </c>
      <c r="AM891" s="1">
        <v>0</v>
      </c>
      <c r="AN891" s="1">
        <v>0</v>
      </c>
      <c r="AO891" s="1">
        <v>82119075</v>
      </c>
      <c r="AP891" s="1">
        <v>32490277</v>
      </c>
      <c r="AQ891" s="1">
        <v>49628798</v>
      </c>
      <c r="AR891" s="1">
        <v>16102615</v>
      </c>
      <c r="AS891" s="1">
        <v>2415392</v>
      </c>
      <c r="AT891" s="1">
        <f t="shared" si="92"/>
        <v>100637082</v>
      </c>
    </row>
    <row r="892" spans="1:46" x14ac:dyDescent="0.2">
      <c r="A892" s="1" t="str">
        <f>"01156"</f>
        <v>01156</v>
      </c>
      <c r="B892" s="1" t="str">
        <f>"امير"</f>
        <v>امير</v>
      </c>
      <c r="C892" s="1" t="str">
        <f>"بهسرشت"</f>
        <v>بهسرشت</v>
      </c>
      <c r="D892" s="1" t="str">
        <f t="shared" si="94"/>
        <v>قراردادي بهره بردار</v>
      </c>
      <c r="E892" s="1" t="str">
        <f t="shared" si="95"/>
        <v>پروژه بهره برداري نيروگاه بوشهر</v>
      </c>
      <c r="F892" s="1">
        <v>18083953</v>
      </c>
      <c r="G892" s="1">
        <v>4559563</v>
      </c>
      <c r="H892" s="1">
        <v>0</v>
      </c>
      <c r="I892" s="1">
        <v>13185952</v>
      </c>
      <c r="J892" s="1">
        <v>0</v>
      </c>
      <c r="K892" s="1">
        <v>5500000</v>
      </c>
      <c r="L892" s="1">
        <v>0</v>
      </c>
      <c r="M892" s="1">
        <v>1000000</v>
      </c>
      <c r="N892" s="1">
        <v>2971092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1606000</v>
      </c>
      <c r="U892" s="1">
        <v>0</v>
      </c>
      <c r="V892" s="1">
        <v>12104975</v>
      </c>
      <c r="W892" s="1">
        <v>1900000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2122208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5378087</v>
      </c>
      <c r="AM892" s="1">
        <v>0</v>
      </c>
      <c r="AN892" s="1">
        <v>0</v>
      </c>
      <c r="AO892" s="1">
        <v>68411830</v>
      </c>
      <c r="AP892" s="1">
        <v>24422291</v>
      </c>
      <c r="AQ892" s="1">
        <v>43989539</v>
      </c>
      <c r="AR892" s="1">
        <v>13361166</v>
      </c>
      <c r="AS892" s="1">
        <v>2004175</v>
      </c>
      <c r="AT892" s="1">
        <f t="shared" si="92"/>
        <v>83777171</v>
      </c>
    </row>
    <row r="893" spans="1:46" x14ac:dyDescent="0.2">
      <c r="A893" s="1" t="str">
        <f>"01157"</f>
        <v>01157</v>
      </c>
      <c r="B893" s="1" t="str">
        <f>"مقداد"</f>
        <v>مقداد</v>
      </c>
      <c r="C893" s="1" t="str">
        <f>"پاداش"</f>
        <v>پاداش</v>
      </c>
      <c r="D893" s="1" t="str">
        <f t="shared" si="94"/>
        <v>قراردادي بهره بردار</v>
      </c>
      <c r="E893" s="1" t="str">
        <f t="shared" si="95"/>
        <v>پروژه بهره برداري نيروگاه بوشهر</v>
      </c>
      <c r="F893" s="1">
        <v>18160627</v>
      </c>
      <c r="G893" s="1">
        <v>8049139</v>
      </c>
      <c r="H893" s="1">
        <v>0</v>
      </c>
      <c r="I893" s="1">
        <v>13386874</v>
      </c>
      <c r="J893" s="1">
        <v>0</v>
      </c>
      <c r="K893" s="1">
        <v>5500000</v>
      </c>
      <c r="L893" s="1">
        <v>0</v>
      </c>
      <c r="M893" s="1">
        <v>1000000</v>
      </c>
      <c r="N893" s="1">
        <v>2997927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1606000</v>
      </c>
      <c r="U893" s="1">
        <v>0</v>
      </c>
      <c r="V893" s="1">
        <v>14471288</v>
      </c>
      <c r="W893" s="1">
        <v>1900000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2141377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5875806</v>
      </c>
      <c r="AM893" s="1">
        <v>0</v>
      </c>
      <c r="AN893" s="1">
        <v>0</v>
      </c>
      <c r="AO893" s="1">
        <v>75089038</v>
      </c>
      <c r="AP893" s="1">
        <v>15269990</v>
      </c>
      <c r="AQ893" s="1">
        <v>59819048</v>
      </c>
      <c r="AR893" s="1">
        <v>14696608</v>
      </c>
      <c r="AS893" s="1">
        <v>2204491</v>
      </c>
      <c r="AT893" s="1">
        <f t="shared" si="92"/>
        <v>91990137</v>
      </c>
    </row>
    <row r="894" spans="1:46" x14ac:dyDescent="0.2">
      <c r="A894" s="1" t="str">
        <f>"01158"</f>
        <v>01158</v>
      </c>
      <c r="B894" s="1" t="str">
        <f>"ميثم"</f>
        <v>ميثم</v>
      </c>
      <c r="C894" s="1" t="str">
        <f>"خان محمدي هزاوه"</f>
        <v>خان محمدي هزاوه</v>
      </c>
      <c r="D894" s="1" t="str">
        <f t="shared" si="94"/>
        <v>قراردادي بهره بردار</v>
      </c>
      <c r="E894" s="1" t="str">
        <f t="shared" si="95"/>
        <v>پروژه بهره برداري نيروگاه بوشهر</v>
      </c>
      <c r="F894" s="1">
        <v>17970039</v>
      </c>
      <c r="G894" s="1">
        <v>3728526</v>
      </c>
      <c r="H894" s="1">
        <v>0</v>
      </c>
      <c r="I894" s="1">
        <v>12639839</v>
      </c>
      <c r="J894" s="1">
        <v>0</v>
      </c>
      <c r="K894" s="1">
        <v>5500000</v>
      </c>
      <c r="L894" s="1">
        <v>0</v>
      </c>
      <c r="M894" s="1">
        <v>1000000</v>
      </c>
      <c r="N894" s="1">
        <v>2931222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13198257</v>
      </c>
      <c r="W894" s="1">
        <v>1900000</v>
      </c>
      <c r="X894" s="1">
        <v>2608554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2093730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9876402</v>
      </c>
      <c r="AM894" s="1">
        <v>0</v>
      </c>
      <c r="AN894" s="1">
        <v>0</v>
      </c>
      <c r="AO894" s="1">
        <v>73446569</v>
      </c>
      <c r="AP894" s="1">
        <v>24814069</v>
      </c>
      <c r="AQ894" s="1">
        <v>48632500</v>
      </c>
      <c r="AR894" s="1">
        <v>14689314</v>
      </c>
      <c r="AS894" s="1">
        <v>2203397</v>
      </c>
      <c r="AT894" s="1">
        <f t="shared" si="92"/>
        <v>90339280</v>
      </c>
    </row>
    <row r="895" spans="1:46" x14ac:dyDescent="0.2">
      <c r="A895" s="1" t="str">
        <f>"01159"</f>
        <v>01159</v>
      </c>
      <c r="B895" s="1" t="str">
        <f>"عليرضا"</f>
        <v>عليرضا</v>
      </c>
      <c r="C895" s="1" t="str">
        <f>"دهقاني"</f>
        <v>دهقاني</v>
      </c>
      <c r="D895" s="1" t="str">
        <f t="shared" si="94"/>
        <v>قراردادي بهره بردار</v>
      </c>
      <c r="E895" s="1" t="str">
        <f t="shared" si="95"/>
        <v>پروژه بهره برداري نيروگاه بوشهر</v>
      </c>
      <c r="F895" s="1">
        <v>17562575</v>
      </c>
      <c r="G895" s="1">
        <v>0</v>
      </c>
      <c r="H895" s="1">
        <v>0</v>
      </c>
      <c r="I895" s="1">
        <v>11807515</v>
      </c>
      <c r="J895" s="1">
        <v>0</v>
      </c>
      <c r="K895" s="1">
        <v>5500000</v>
      </c>
      <c r="L895" s="1">
        <v>0</v>
      </c>
      <c r="M895" s="1">
        <v>1000000</v>
      </c>
      <c r="N895" s="1">
        <v>2788609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6557148</v>
      </c>
      <c r="W895" s="1">
        <v>1900000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1991864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4420897</v>
      </c>
      <c r="AM895" s="1">
        <v>0</v>
      </c>
      <c r="AN895" s="1">
        <v>0</v>
      </c>
      <c r="AO895" s="1">
        <v>53528608</v>
      </c>
      <c r="AP895" s="1">
        <v>8659447</v>
      </c>
      <c r="AQ895" s="1">
        <v>44869161</v>
      </c>
      <c r="AR895" s="1">
        <v>10705722</v>
      </c>
      <c r="AS895" s="1">
        <v>1605858</v>
      </c>
      <c r="AT895" s="1">
        <f t="shared" si="92"/>
        <v>65840188</v>
      </c>
    </row>
    <row r="896" spans="1:46" x14ac:dyDescent="0.2">
      <c r="A896" s="1" t="str">
        <f>"01160"</f>
        <v>01160</v>
      </c>
      <c r="B896" s="1" t="str">
        <f>"سيدحميدرضا"</f>
        <v>سيدحميدرضا</v>
      </c>
      <c r="C896" s="1" t="str">
        <f>"قريشي"</f>
        <v>قريشي</v>
      </c>
      <c r="D896" s="1" t="str">
        <f t="shared" si="94"/>
        <v>قراردادي بهره بردار</v>
      </c>
      <c r="E896" s="1" t="str">
        <f t="shared" si="95"/>
        <v>پروژه بهره برداري نيروگاه بوشهر</v>
      </c>
      <c r="F896" s="1">
        <v>17269025</v>
      </c>
      <c r="G896" s="1">
        <v>7451125</v>
      </c>
      <c r="H896" s="1">
        <v>0</v>
      </c>
      <c r="I896" s="1">
        <v>12037012</v>
      </c>
      <c r="J896" s="1">
        <v>0</v>
      </c>
      <c r="K896" s="1">
        <v>4125000</v>
      </c>
      <c r="L896" s="1">
        <v>0</v>
      </c>
      <c r="M896" s="1">
        <v>1000000</v>
      </c>
      <c r="N896" s="1">
        <v>2685867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11303800</v>
      </c>
      <c r="W896" s="1">
        <v>1900000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1918476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5068239</v>
      </c>
      <c r="AM896" s="1">
        <v>0</v>
      </c>
      <c r="AN896" s="1">
        <v>0</v>
      </c>
      <c r="AO896" s="1">
        <v>64758544</v>
      </c>
      <c r="AP896" s="1">
        <v>8930808</v>
      </c>
      <c r="AQ896" s="1">
        <v>55827736</v>
      </c>
      <c r="AR896" s="1">
        <v>12951709</v>
      </c>
      <c r="AS896" s="1">
        <v>1942756</v>
      </c>
      <c r="AT896" s="1">
        <f t="shared" si="92"/>
        <v>79653009</v>
      </c>
    </row>
    <row r="897" spans="1:46" x14ac:dyDescent="0.2">
      <c r="A897" s="1" t="str">
        <f>"01161"</f>
        <v>01161</v>
      </c>
      <c r="B897" s="1" t="str">
        <f>"صادق"</f>
        <v>صادق</v>
      </c>
      <c r="C897" s="1" t="str">
        <f>"گنجي"</f>
        <v>گنجي</v>
      </c>
      <c r="D897" s="1" t="str">
        <f t="shared" si="94"/>
        <v>قراردادي بهره بردار</v>
      </c>
      <c r="E897" s="1" t="str">
        <f t="shared" si="95"/>
        <v>پروژه بهره برداري نيروگاه بوشهر</v>
      </c>
      <c r="F897" s="1">
        <v>18568091</v>
      </c>
      <c r="G897" s="1">
        <v>3921836</v>
      </c>
      <c r="H897" s="1">
        <v>0</v>
      </c>
      <c r="I897" s="1">
        <v>13496845</v>
      </c>
      <c r="J897" s="1">
        <v>0</v>
      </c>
      <c r="K897" s="1">
        <v>5500000</v>
      </c>
      <c r="L897" s="1">
        <v>0</v>
      </c>
      <c r="M897" s="1">
        <v>1000000</v>
      </c>
      <c r="N897" s="1">
        <v>3140540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12825696</v>
      </c>
      <c r="W897" s="1">
        <v>1900000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2243243</v>
      </c>
      <c r="AF897" s="1">
        <v>1516881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5303604</v>
      </c>
      <c r="AM897" s="1">
        <v>0</v>
      </c>
      <c r="AN897" s="1">
        <v>0</v>
      </c>
      <c r="AO897" s="1">
        <v>69416736</v>
      </c>
      <c r="AP897" s="1">
        <v>36191778</v>
      </c>
      <c r="AQ897" s="1">
        <v>33224958</v>
      </c>
      <c r="AR897" s="1">
        <v>13579971</v>
      </c>
      <c r="AS897" s="1">
        <v>2036996</v>
      </c>
      <c r="AT897" s="1">
        <f t="shared" si="92"/>
        <v>85033703</v>
      </c>
    </row>
    <row r="898" spans="1:46" x14ac:dyDescent="0.2">
      <c r="A898" s="1" t="str">
        <f>"01163"</f>
        <v>01163</v>
      </c>
      <c r="B898" s="1" t="str">
        <f>"علي"</f>
        <v>علي</v>
      </c>
      <c r="C898" s="1" t="str">
        <f>"مطهر"</f>
        <v>مطهر</v>
      </c>
      <c r="D898" s="1" t="str">
        <f t="shared" si="94"/>
        <v>قراردادي بهره بردار</v>
      </c>
      <c r="E898" s="1" t="str">
        <f t="shared" si="95"/>
        <v>پروژه بهره برداري نيروگاه بوشهر</v>
      </c>
      <c r="F898" s="1">
        <v>17626104</v>
      </c>
      <c r="G898" s="1">
        <v>14114449</v>
      </c>
      <c r="H898" s="1">
        <v>0</v>
      </c>
      <c r="I898" s="1">
        <v>12197380</v>
      </c>
      <c r="J898" s="1">
        <v>0</v>
      </c>
      <c r="K898" s="1">
        <v>5500000</v>
      </c>
      <c r="L898" s="1">
        <v>0</v>
      </c>
      <c r="M898" s="1">
        <v>1000000</v>
      </c>
      <c r="N898" s="1">
        <v>2810844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9757166</v>
      </c>
      <c r="W898" s="1">
        <v>1900000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2007746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4386591</v>
      </c>
      <c r="AM898" s="1">
        <v>0</v>
      </c>
      <c r="AN898" s="1">
        <v>0</v>
      </c>
      <c r="AO898" s="1">
        <v>71300280</v>
      </c>
      <c r="AP898" s="1">
        <v>25639976</v>
      </c>
      <c r="AQ898" s="1">
        <v>45660304</v>
      </c>
      <c r="AR898" s="1">
        <v>14260056</v>
      </c>
      <c r="AS898" s="1">
        <v>2139008</v>
      </c>
      <c r="AT898" s="1">
        <f t="shared" si="92"/>
        <v>87699344</v>
      </c>
    </row>
    <row r="899" spans="1:46" x14ac:dyDescent="0.2">
      <c r="A899" s="1" t="str">
        <f>"01164"</f>
        <v>01164</v>
      </c>
      <c r="B899" s="1" t="str">
        <f>"مجتبي"</f>
        <v>مجتبي</v>
      </c>
      <c r="C899" s="1" t="str">
        <f>"منفرد"</f>
        <v>منفرد</v>
      </c>
      <c r="D899" s="1" t="str">
        <f t="shared" si="94"/>
        <v>قراردادي بهره بردار</v>
      </c>
      <c r="E899" s="1" t="str">
        <f t="shared" si="95"/>
        <v>پروژه بهره برداري نيروگاه بوشهر</v>
      </c>
      <c r="F899" s="1">
        <v>17203305</v>
      </c>
      <c r="G899" s="1">
        <v>0</v>
      </c>
      <c r="H899" s="1">
        <v>0</v>
      </c>
      <c r="I899" s="1">
        <v>11728776</v>
      </c>
      <c r="J899" s="1">
        <v>0</v>
      </c>
      <c r="K899" s="1">
        <v>4125000</v>
      </c>
      <c r="L899" s="1">
        <v>0</v>
      </c>
      <c r="M899" s="1">
        <v>1000000</v>
      </c>
      <c r="N899" s="1">
        <v>2662865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13257598</v>
      </c>
      <c r="W899" s="1">
        <v>1900000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1902046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5495945</v>
      </c>
      <c r="AM899" s="1">
        <v>0</v>
      </c>
      <c r="AN899" s="1">
        <v>0</v>
      </c>
      <c r="AO899" s="1">
        <v>59275535</v>
      </c>
      <c r="AP899" s="1">
        <v>8135275</v>
      </c>
      <c r="AQ899" s="1">
        <v>51140260</v>
      </c>
      <c r="AR899" s="1">
        <v>11855107</v>
      </c>
      <c r="AS899" s="1">
        <v>1778266</v>
      </c>
      <c r="AT899" s="1">
        <f t="shared" ref="AT899:AT962" si="96">AO899+AR899+AS899</f>
        <v>72908908</v>
      </c>
    </row>
    <row r="900" spans="1:46" x14ac:dyDescent="0.2">
      <c r="A900" s="1" t="str">
        <f>"01165"</f>
        <v>01165</v>
      </c>
      <c r="B900" s="1" t="str">
        <f>"کاظم"</f>
        <v>کاظم</v>
      </c>
      <c r="C900" s="1" t="str">
        <f>"مهربانيان"</f>
        <v>مهربانيان</v>
      </c>
      <c r="D900" s="1" t="str">
        <f t="shared" si="94"/>
        <v>قراردادي بهره بردار</v>
      </c>
      <c r="E900" s="1" t="str">
        <f t="shared" si="95"/>
        <v>پروژه بهره برداري نيروگاه بوشهر</v>
      </c>
      <c r="F900" s="1">
        <v>18822208</v>
      </c>
      <c r="G900" s="1">
        <v>3512136</v>
      </c>
      <c r="H900" s="1">
        <v>0</v>
      </c>
      <c r="I900" s="1">
        <v>13471982</v>
      </c>
      <c r="J900" s="1">
        <v>0</v>
      </c>
      <c r="K900" s="1">
        <v>5500000</v>
      </c>
      <c r="L900" s="1">
        <v>0</v>
      </c>
      <c r="M900" s="1">
        <v>1000000</v>
      </c>
      <c r="N900" s="1">
        <v>3229481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1606000</v>
      </c>
      <c r="U900" s="1">
        <v>0</v>
      </c>
      <c r="V900" s="1">
        <v>13986311</v>
      </c>
      <c r="W900" s="1">
        <v>1900000</v>
      </c>
      <c r="X900" s="1">
        <v>2732256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2306772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10398218</v>
      </c>
      <c r="AM900" s="1">
        <v>0</v>
      </c>
      <c r="AN900" s="1">
        <v>0</v>
      </c>
      <c r="AO900" s="1">
        <v>78465364</v>
      </c>
      <c r="AP900" s="1">
        <v>16319209</v>
      </c>
      <c r="AQ900" s="1">
        <v>62146155</v>
      </c>
      <c r="AR900" s="1">
        <v>15371873</v>
      </c>
      <c r="AS900" s="1">
        <v>2305781</v>
      </c>
      <c r="AT900" s="1">
        <f t="shared" si="96"/>
        <v>96143018</v>
      </c>
    </row>
    <row r="901" spans="1:46" x14ac:dyDescent="0.2">
      <c r="A901" s="1" t="str">
        <f>"01166"</f>
        <v>01166</v>
      </c>
      <c r="B901" s="1" t="str">
        <f>"محمد"</f>
        <v>محمد</v>
      </c>
      <c r="C901" s="1" t="str">
        <f>"ميرعلائي"</f>
        <v>ميرعلائي</v>
      </c>
      <c r="D901" s="1" t="str">
        <f t="shared" si="94"/>
        <v>قراردادي بهره بردار</v>
      </c>
      <c r="E901" s="1" t="str">
        <f t="shared" si="95"/>
        <v>پروژه بهره برداري نيروگاه بوشهر</v>
      </c>
      <c r="F901" s="1">
        <v>18640383</v>
      </c>
      <c r="G901" s="1">
        <v>9136664</v>
      </c>
      <c r="H901" s="1">
        <v>0</v>
      </c>
      <c r="I901" s="1">
        <v>13483038</v>
      </c>
      <c r="J901" s="1">
        <v>0</v>
      </c>
      <c r="K901" s="1">
        <v>4125000</v>
      </c>
      <c r="L901" s="1">
        <v>0</v>
      </c>
      <c r="M901" s="1">
        <v>1000000</v>
      </c>
      <c r="N901" s="1">
        <v>3165842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1606000</v>
      </c>
      <c r="U901" s="1">
        <v>0</v>
      </c>
      <c r="V901" s="1">
        <v>13647386</v>
      </c>
      <c r="W901" s="1">
        <v>1900000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2261316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5097506</v>
      </c>
      <c r="AM901" s="1">
        <v>0</v>
      </c>
      <c r="AN901" s="1">
        <v>0</v>
      </c>
      <c r="AO901" s="1">
        <v>74063135</v>
      </c>
      <c r="AP901" s="1">
        <v>12549344</v>
      </c>
      <c r="AQ901" s="1">
        <v>61513791</v>
      </c>
      <c r="AR901" s="1">
        <v>14491427</v>
      </c>
      <c r="AS901" s="1">
        <v>2173714</v>
      </c>
      <c r="AT901" s="1">
        <f t="shared" si="96"/>
        <v>90728276</v>
      </c>
    </row>
    <row r="902" spans="1:46" x14ac:dyDescent="0.2">
      <c r="A902" s="1" t="str">
        <f>"01167"</f>
        <v>01167</v>
      </c>
      <c r="B902" s="1" t="str">
        <f>"محمد"</f>
        <v>محمد</v>
      </c>
      <c r="C902" s="1" t="str">
        <f>"سروش"</f>
        <v>سروش</v>
      </c>
      <c r="D902" s="1" t="str">
        <f t="shared" si="94"/>
        <v>قراردادي بهره بردار</v>
      </c>
      <c r="E902" s="1" t="str">
        <f t="shared" si="95"/>
        <v>پروژه بهره برداري نيروگاه بوشهر</v>
      </c>
      <c r="F902" s="1">
        <v>17886793</v>
      </c>
      <c r="G902" s="1">
        <v>5769673</v>
      </c>
      <c r="H902" s="1">
        <v>0</v>
      </c>
      <c r="I902" s="1">
        <v>12569353</v>
      </c>
      <c r="J902" s="1">
        <v>0</v>
      </c>
      <c r="K902" s="1">
        <v>5500000</v>
      </c>
      <c r="L902" s="1">
        <v>0</v>
      </c>
      <c r="M902" s="1">
        <v>1000000</v>
      </c>
      <c r="N902" s="1">
        <v>2902086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13129406</v>
      </c>
      <c r="W902" s="1">
        <v>1900000</v>
      </c>
      <c r="X902" s="1">
        <v>2596470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2072918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9842665</v>
      </c>
      <c r="AM902" s="1">
        <v>0</v>
      </c>
      <c r="AN902" s="1">
        <v>0</v>
      </c>
      <c r="AO902" s="1">
        <v>75169364</v>
      </c>
      <c r="AP902" s="1">
        <v>22374152</v>
      </c>
      <c r="AQ902" s="1">
        <v>52795212</v>
      </c>
      <c r="AR902" s="1">
        <v>15033873</v>
      </c>
      <c r="AS902" s="1">
        <v>2255081</v>
      </c>
      <c r="AT902" s="1">
        <f t="shared" si="96"/>
        <v>92458318</v>
      </c>
    </row>
    <row r="903" spans="1:46" x14ac:dyDescent="0.2">
      <c r="A903" s="1" t="str">
        <f>"01169"</f>
        <v>01169</v>
      </c>
      <c r="B903" s="1" t="str">
        <f>"محمدمهدي"</f>
        <v>محمدمهدي</v>
      </c>
      <c r="C903" s="1" t="str">
        <f>"مهدي نياي رود پشتي"</f>
        <v>مهدي نياي رود پشتي</v>
      </c>
      <c r="D903" s="1" t="str">
        <f t="shared" si="94"/>
        <v>قراردادي بهره بردار</v>
      </c>
      <c r="E903" s="1" t="str">
        <f t="shared" si="95"/>
        <v>پروژه بهره برداري نيروگاه بوشهر</v>
      </c>
      <c r="F903" s="1">
        <v>18287685</v>
      </c>
      <c r="G903" s="1">
        <v>3387328</v>
      </c>
      <c r="H903" s="1">
        <v>0</v>
      </c>
      <c r="I903" s="1">
        <v>12821913</v>
      </c>
      <c r="J903" s="1">
        <v>0</v>
      </c>
      <c r="K903" s="1">
        <v>5500000</v>
      </c>
      <c r="L903" s="1">
        <v>0</v>
      </c>
      <c r="M903" s="1">
        <v>1000000</v>
      </c>
      <c r="N903" s="1">
        <v>3042398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13489294</v>
      </c>
      <c r="W903" s="1">
        <v>1900000</v>
      </c>
      <c r="X903" s="1">
        <v>2654664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2173141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10189667</v>
      </c>
      <c r="AM903" s="1">
        <v>0</v>
      </c>
      <c r="AN903" s="1">
        <v>0</v>
      </c>
      <c r="AO903" s="1">
        <v>74446090</v>
      </c>
      <c r="AP903" s="1">
        <v>31991721</v>
      </c>
      <c r="AQ903" s="1">
        <v>42454369</v>
      </c>
      <c r="AR903" s="1">
        <v>14889218</v>
      </c>
      <c r="AS903" s="1">
        <v>2233383</v>
      </c>
      <c r="AT903" s="1">
        <f t="shared" si="96"/>
        <v>91568691</v>
      </c>
    </row>
    <row r="904" spans="1:46" x14ac:dyDescent="0.2">
      <c r="A904" s="1" t="str">
        <f>"01170"</f>
        <v>01170</v>
      </c>
      <c r="B904" s="1" t="str">
        <f>"عماد"</f>
        <v>عماد</v>
      </c>
      <c r="C904" s="1" t="str">
        <f>"نوري فر"</f>
        <v>نوري فر</v>
      </c>
      <c r="D904" s="1" t="str">
        <f t="shared" si="94"/>
        <v>قراردادي بهره بردار</v>
      </c>
      <c r="E904" s="1" t="str">
        <f t="shared" si="95"/>
        <v>پروژه بهره برداري نيروگاه بوشهر</v>
      </c>
      <c r="F904" s="1">
        <v>18679815</v>
      </c>
      <c r="G904" s="1">
        <v>3497842</v>
      </c>
      <c r="H904" s="1">
        <v>0</v>
      </c>
      <c r="I904" s="1">
        <v>13582390</v>
      </c>
      <c r="J904" s="1">
        <v>0</v>
      </c>
      <c r="K904" s="1">
        <v>5500000</v>
      </c>
      <c r="L904" s="1">
        <v>0</v>
      </c>
      <c r="M904" s="1">
        <v>1000000</v>
      </c>
      <c r="N904" s="1">
        <v>3179643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13929389</v>
      </c>
      <c r="W904" s="1">
        <v>1900000</v>
      </c>
      <c r="X904" s="1">
        <v>2711586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2271174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10319354</v>
      </c>
      <c r="AM904" s="1">
        <v>0</v>
      </c>
      <c r="AN904" s="1">
        <v>0</v>
      </c>
      <c r="AO904" s="1">
        <v>76571193</v>
      </c>
      <c r="AP904" s="1">
        <v>31195102</v>
      </c>
      <c r="AQ904" s="1">
        <v>45376091</v>
      </c>
      <c r="AR904" s="1">
        <v>15314239</v>
      </c>
      <c r="AS904" s="1">
        <v>2297136</v>
      </c>
      <c r="AT904" s="1">
        <f t="shared" si="96"/>
        <v>94182568</v>
      </c>
    </row>
    <row r="905" spans="1:46" x14ac:dyDescent="0.2">
      <c r="A905" s="1" t="str">
        <f>"01172"</f>
        <v>01172</v>
      </c>
      <c r="B905" s="1" t="str">
        <f>"مظاهر"</f>
        <v>مظاهر</v>
      </c>
      <c r="C905" s="1" t="str">
        <f>"اسکندري"</f>
        <v>اسکندري</v>
      </c>
      <c r="D905" s="1" t="str">
        <f t="shared" si="94"/>
        <v>قراردادي بهره بردار</v>
      </c>
      <c r="E905" s="1" t="str">
        <f t="shared" si="95"/>
        <v>پروژه بهره برداري نيروگاه بوشهر</v>
      </c>
      <c r="F905" s="1">
        <v>17685252</v>
      </c>
      <c r="G905" s="1">
        <v>3691925</v>
      </c>
      <c r="H905" s="1">
        <v>0</v>
      </c>
      <c r="I905" s="1">
        <v>12746988</v>
      </c>
      <c r="J905" s="1">
        <v>0</v>
      </c>
      <c r="K905" s="1">
        <v>5500000</v>
      </c>
      <c r="L905" s="1">
        <v>0</v>
      </c>
      <c r="M905" s="1">
        <v>1000000</v>
      </c>
      <c r="N905" s="1">
        <v>2831546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12381032</v>
      </c>
      <c r="W905" s="1">
        <v>1900000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2022533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4652494</v>
      </c>
      <c r="AM905" s="1">
        <v>0</v>
      </c>
      <c r="AN905" s="1">
        <v>0</v>
      </c>
      <c r="AO905" s="1">
        <v>64411770</v>
      </c>
      <c r="AP905" s="1">
        <v>25997196</v>
      </c>
      <c r="AQ905" s="1">
        <v>38414574</v>
      </c>
      <c r="AR905" s="1">
        <v>12882354</v>
      </c>
      <c r="AS905" s="1">
        <v>1932353</v>
      </c>
      <c r="AT905" s="1">
        <f t="shared" si="96"/>
        <v>79226477</v>
      </c>
    </row>
    <row r="906" spans="1:46" x14ac:dyDescent="0.2">
      <c r="A906" s="1" t="str">
        <f>"01173"</f>
        <v>01173</v>
      </c>
      <c r="B906" s="1" t="str">
        <f>"حجت"</f>
        <v>حجت</v>
      </c>
      <c r="C906" s="1" t="str">
        <f>"تنگسير اصل"</f>
        <v>تنگسير اصل</v>
      </c>
      <c r="D906" s="1" t="str">
        <f t="shared" si="94"/>
        <v>قراردادي بهره بردار</v>
      </c>
      <c r="E906" s="1" t="str">
        <f t="shared" si="95"/>
        <v>پروژه بهره برداري نيروگاه بوشهر</v>
      </c>
      <c r="F906" s="1">
        <v>17424563</v>
      </c>
      <c r="G906" s="1">
        <v>3596301</v>
      </c>
      <c r="H906" s="1">
        <v>0</v>
      </c>
      <c r="I906" s="1">
        <v>12107181</v>
      </c>
      <c r="J906" s="1">
        <v>0</v>
      </c>
      <c r="K906" s="1">
        <v>4125000</v>
      </c>
      <c r="L906" s="1">
        <v>0</v>
      </c>
      <c r="M906" s="1">
        <v>1000000</v>
      </c>
      <c r="N906" s="1">
        <v>2740305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12730206</v>
      </c>
      <c r="W906" s="1">
        <v>1900000</v>
      </c>
      <c r="X906" s="1">
        <v>2529372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1957361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9667850</v>
      </c>
      <c r="AM906" s="1">
        <v>0</v>
      </c>
      <c r="AN906" s="1">
        <v>0</v>
      </c>
      <c r="AO906" s="1">
        <v>69778139</v>
      </c>
      <c r="AP906" s="1">
        <v>12296352</v>
      </c>
      <c r="AQ906" s="1">
        <v>57481787</v>
      </c>
      <c r="AR906" s="1">
        <v>13955628</v>
      </c>
      <c r="AS906" s="1">
        <v>2093344</v>
      </c>
      <c r="AT906" s="1">
        <f t="shared" si="96"/>
        <v>85827111</v>
      </c>
    </row>
    <row r="907" spans="1:46" x14ac:dyDescent="0.2">
      <c r="A907" s="1" t="str">
        <f>"01174"</f>
        <v>01174</v>
      </c>
      <c r="B907" s="1" t="str">
        <f>"محمد"</f>
        <v>محمد</v>
      </c>
      <c r="C907" s="1" t="str">
        <f>"جاماسب خلاري"</f>
        <v>جاماسب خلاري</v>
      </c>
      <c r="D907" s="1" t="str">
        <f t="shared" si="94"/>
        <v>قراردادي بهره بردار</v>
      </c>
      <c r="E907" s="1" t="str">
        <f t="shared" si="95"/>
        <v>پروژه بهره برداري نيروگاه بوشهر</v>
      </c>
      <c r="F907" s="1">
        <v>17183589</v>
      </c>
      <c r="G907" s="1">
        <v>5485694</v>
      </c>
      <c r="H907" s="1">
        <v>0</v>
      </c>
      <c r="I907" s="1">
        <v>11709455</v>
      </c>
      <c r="J907" s="1">
        <v>0</v>
      </c>
      <c r="K907" s="1">
        <v>4125000</v>
      </c>
      <c r="L907" s="1">
        <v>0</v>
      </c>
      <c r="M907" s="1">
        <v>1000000</v>
      </c>
      <c r="N907" s="1">
        <v>2655964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12859269</v>
      </c>
      <c r="W907" s="1">
        <v>1900000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1897117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5521356</v>
      </c>
      <c r="AM907" s="1">
        <v>0</v>
      </c>
      <c r="AN907" s="1">
        <v>0</v>
      </c>
      <c r="AO907" s="1">
        <v>64337444</v>
      </c>
      <c r="AP907" s="1">
        <v>15191245</v>
      </c>
      <c r="AQ907" s="1">
        <v>49146199</v>
      </c>
      <c r="AR907" s="1">
        <v>12867489</v>
      </c>
      <c r="AS907" s="1">
        <v>1930123</v>
      </c>
      <c r="AT907" s="1">
        <f t="shared" si="96"/>
        <v>79135056</v>
      </c>
    </row>
    <row r="908" spans="1:46" x14ac:dyDescent="0.2">
      <c r="A908" s="1" t="str">
        <f>"01175"</f>
        <v>01175</v>
      </c>
      <c r="B908" s="1" t="str">
        <f>"محمد مرتضي"</f>
        <v>محمد مرتضي</v>
      </c>
      <c r="C908" s="1" t="str">
        <f>"غلامي"</f>
        <v>غلامي</v>
      </c>
      <c r="D908" s="1" t="str">
        <f t="shared" si="94"/>
        <v>قراردادي بهره بردار</v>
      </c>
      <c r="E908" s="1" t="str">
        <f t="shared" si="95"/>
        <v>پروژه بهره برداري نيروگاه بوشهر</v>
      </c>
      <c r="F908" s="1">
        <v>17742209</v>
      </c>
      <c r="G908" s="1">
        <v>4016118</v>
      </c>
      <c r="H908" s="1">
        <v>0</v>
      </c>
      <c r="I908" s="1">
        <v>11676242</v>
      </c>
      <c r="J908" s="1">
        <v>0</v>
      </c>
      <c r="K908" s="1">
        <v>4125000</v>
      </c>
      <c r="L908" s="1">
        <v>0</v>
      </c>
      <c r="M908" s="1">
        <v>1000000</v>
      </c>
      <c r="N908" s="1">
        <v>2851481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8231382</v>
      </c>
      <c r="W908" s="1">
        <v>1900000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2036772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4890356</v>
      </c>
      <c r="AM908" s="1">
        <v>0</v>
      </c>
      <c r="AN908" s="1">
        <v>0</v>
      </c>
      <c r="AO908" s="1">
        <v>58469560</v>
      </c>
      <c r="AP908" s="1">
        <v>10419489</v>
      </c>
      <c r="AQ908" s="1">
        <v>48050071</v>
      </c>
      <c r="AR908" s="1">
        <v>11693912</v>
      </c>
      <c r="AS908" s="1">
        <v>1754087</v>
      </c>
      <c r="AT908" s="1">
        <f t="shared" si="96"/>
        <v>71917559</v>
      </c>
    </row>
    <row r="909" spans="1:46" x14ac:dyDescent="0.2">
      <c r="A909" s="1" t="str">
        <f>"01176"</f>
        <v>01176</v>
      </c>
      <c r="B909" s="1" t="str">
        <f>"محمد"</f>
        <v>محمد</v>
      </c>
      <c r="C909" s="1" t="str">
        <f>"مهري"</f>
        <v>مهري</v>
      </c>
      <c r="D909" s="1" t="str">
        <f t="shared" si="94"/>
        <v>قراردادي بهره بردار</v>
      </c>
      <c r="E909" s="1" t="str">
        <f t="shared" si="95"/>
        <v>پروژه بهره برداري نيروگاه بوشهر</v>
      </c>
      <c r="F909" s="1">
        <v>21111455</v>
      </c>
      <c r="G909" s="1">
        <v>4176363</v>
      </c>
      <c r="H909" s="1">
        <v>0</v>
      </c>
      <c r="I909" s="1">
        <v>14971246</v>
      </c>
      <c r="J909" s="1">
        <v>0</v>
      </c>
      <c r="K909" s="1">
        <v>5500000</v>
      </c>
      <c r="L909" s="1">
        <v>0</v>
      </c>
      <c r="M909" s="1">
        <v>1000000</v>
      </c>
      <c r="N909" s="1">
        <v>3526973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16445729</v>
      </c>
      <c r="W909" s="1">
        <v>1900000</v>
      </c>
      <c r="X909" s="1">
        <v>3064566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2519267</v>
      </c>
      <c r="AF909" s="1">
        <v>0</v>
      </c>
      <c r="AG909" s="1">
        <v>4034650</v>
      </c>
      <c r="AH909" s="1">
        <v>0</v>
      </c>
      <c r="AI909" s="1">
        <v>0</v>
      </c>
      <c r="AJ909" s="1">
        <v>0</v>
      </c>
      <c r="AK909" s="1">
        <v>0</v>
      </c>
      <c r="AL909" s="1">
        <v>11371970</v>
      </c>
      <c r="AM909" s="1">
        <v>0</v>
      </c>
      <c r="AN909" s="1">
        <v>0</v>
      </c>
      <c r="AO909" s="1">
        <v>89622219</v>
      </c>
      <c r="AP909" s="1">
        <v>16973384</v>
      </c>
      <c r="AQ909" s="1">
        <v>72648835</v>
      </c>
      <c r="AR909" s="1">
        <v>17924444</v>
      </c>
      <c r="AS909" s="1">
        <v>2688667</v>
      </c>
      <c r="AT909" s="1">
        <f t="shared" si="96"/>
        <v>110235330</v>
      </c>
    </row>
    <row r="910" spans="1:46" x14ac:dyDescent="0.2">
      <c r="A910" s="1" t="str">
        <f>"01177"</f>
        <v>01177</v>
      </c>
      <c r="B910" s="1" t="str">
        <f>"مسلم"</f>
        <v>مسلم</v>
      </c>
      <c r="C910" s="1" t="str">
        <f>"صالحي"</f>
        <v>صالحي</v>
      </c>
      <c r="D910" s="1" t="str">
        <f t="shared" si="94"/>
        <v>قراردادي بهره بردار</v>
      </c>
      <c r="E910" s="1" t="str">
        <f t="shared" si="95"/>
        <v>پروژه بهره برداري نيروگاه بوشهر</v>
      </c>
      <c r="F910" s="1">
        <v>10631305</v>
      </c>
      <c r="G910" s="1">
        <v>6431452</v>
      </c>
      <c r="H910" s="1">
        <v>0</v>
      </c>
      <c r="I910" s="1">
        <v>5226896</v>
      </c>
      <c r="J910" s="1">
        <v>0</v>
      </c>
      <c r="K910" s="1">
        <v>0</v>
      </c>
      <c r="L910" s="1">
        <v>0</v>
      </c>
      <c r="M910" s="1">
        <v>1000000</v>
      </c>
      <c r="N910" s="1">
        <v>1466761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1606000</v>
      </c>
      <c r="U910" s="1">
        <v>0</v>
      </c>
      <c r="V910" s="1">
        <v>2301588</v>
      </c>
      <c r="W910" s="1">
        <v>1900000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1047686</v>
      </c>
      <c r="AF910" s="1">
        <v>1516881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4643228</v>
      </c>
      <c r="AM910" s="1">
        <v>0</v>
      </c>
      <c r="AN910" s="1">
        <v>0</v>
      </c>
      <c r="AO910" s="1">
        <v>37771797</v>
      </c>
      <c r="AP910" s="1">
        <v>10051091</v>
      </c>
      <c r="AQ910" s="1">
        <v>27720706</v>
      </c>
      <c r="AR910" s="1">
        <v>6929783</v>
      </c>
      <c r="AS910" s="1">
        <v>1039467</v>
      </c>
      <c r="AT910" s="1">
        <f t="shared" si="96"/>
        <v>45741047</v>
      </c>
    </row>
    <row r="911" spans="1:46" x14ac:dyDescent="0.2">
      <c r="A911" s="1" t="str">
        <f>"01178"</f>
        <v>01178</v>
      </c>
      <c r="B911" s="1" t="str">
        <f>"مجيد"</f>
        <v>مجيد</v>
      </c>
      <c r="C911" s="1" t="str">
        <f>"دانيالي"</f>
        <v>دانيالي</v>
      </c>
      <c r="D911" s="1" t="str">
        <f t="shared" si="94"/>
        <v>قراردادي بهره بردار</v>
      </c>
      <c r="E911" s="1" t="str">
        <f t="shared" si="95"/>
        <v>پروژه بهره برداري نيروگاه بوشهر</v>
      </c>
      <c r="F911" s="1">
        <v>17746591</v>
      </c>
      <c r="G911" s="1">
        <v>2082954</v>
      </c>
      <c r="H911" s="1">
        <v>0</v>
      </c>
      <c r="I911" s="1">
        <v>12311938</v>
      </c>
      <c r="J911" s="1">
        <v>0</v>
      </c>
      <c r="K911" s="1">
        <v>5500000</v>
      </c>
      <c r="L911" s="1">
        <v>0</v>
      </c>
      <c r="M911" s="1">
        <v>1000000</v>
      </c>
      <c r="N911" s="1">
        <v>2853015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9839478</v>
      </c>
      <c r="W911" s="1">
        <v>1900000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2037868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4408498</v>
      </c>
      <c r="AM911" s="1">
        <v>0</v>
      </c>
      <c r="AN911" s="1">
        <v>0</v>
      </c>
      <c r="AO911" s="1">
        <v>59680342</v>
      </c>
      <c r="AP911" s="1">
        <v>9215660</v>
      </c>
      <c r="AQ911" s="1">
        <v>50464682</v>
      </c>
      <c r="AR911" s="1">
        <v>11936068</v>
      </c>
      <c r="AS911" s="1">
        <v>1790410</v>
      </c>
      <c r="AT911" s="1">
        <f t="shared" si="96"/>
        <v>73406820</v>
      </c>
    </row>
    <row r="912" spans="1:46" x14ac:dyDescent="0.2">
      <c r="A912" s="1" t="str">
        <f>"01179"</f>
        <v>01179</v>
      </c>
      <c r="B912" s="1" t="str">
        <f>"جواد"</f>
        <v>جواد</v>
      </c>
      <c r="C912" s="1" t="str">
        <f>"ذبيحي شيخ آبادي"</f>
        <v>ذبيحي شيخ آبادي</v>
      </c>
      <c r="D912" s="1" t="str">
        <f t="shared" si="94"/>
        <v>قراردادي بهره بردار</v>
      </c>
      <c r="E912" s="1" t="str">
        <f t="shared" si="95"/>
        <v>پروژه بهره برداري نيروگاه بوشهر</v>
      </c>
      <c r="F912" s="1">
        <v>17961276</v>
      </c>
      <c r="G912" s="1">
        <v>9639646</v>
      </c>
      <c r="H912" s="1">
        <v>0</v>
      </c>
      <c r="I912" s="1">
        <v>13070536</v>
      </c>
      <c r="J912" s="1">
        <v>0</v>
      </c>
      <c r="K912" s="1">
        <v>0</v>
      </c>
      <c r="L912" s="1">
        <v>0</v>
      </c>
      <c r="M912" s="1">
        <v>1000000</v>
      </c>
      <c r="N912" s="1">
        <v>2928155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12930792</v>
      </c>
      <c r="W912" s="1">
        <v>1900000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2091539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5660726</v>
      </c>
      <c r="AM912" s="1">
        <v>0</v>
      </c>
      <c r="AN912" s="1">
        <v>0</v>
      </c>
      <c r="AO912" s="1">
        <v>67182670</v>
      </c>
      <c r="AP912" s="1">
        <v>21500010</v>
      </c>
      <c r="AQ912" s="1">
        <v>45682660</v>
      </c>
      <c r="AR912" s="1">
        <v>13436534</v>
      </c>
      <c r="AS912" s="1">
        <v>2015480</v>
      </c>
      <c r="AT912" s="1">
        <f t="shared" si="96"/>
        <v>82634684</v>
      </c>
    </row>
    <row r="913" spans="1:46" x14ac:dyDescent="0.2">
      <c r="A913" s="1" t="str">
        <f>"01180"</f>
        <v>01180</v>
      </c>
      <c r="B913" s="1" t="str">
        <f>"نجمه"</f>
        <v>نجمه</v>
      </c>
      <c r="C913" s="1" t="str">
        <f>"ناظمي"</f>
        <v>ناظمي</v>
      </c>
      <c r="D913" s="1" t="str">
        <f t="shared" si="94"/>
        <v>قراردادي بهره بردار</v>
      </c>
      <c r="E913" s="1" t="str">
        <f t="shared" si="95"/>
        <v>پروژه بهره برداري نيروگاه بوشهر</v>
      </c>
      <c r="F913" s="1">
        <v>16616207</v>
      </c>
      <c r="G913" s="1">
        <v>3500807</v>
      </c>
      <c r="H913" s="1">
        <v>0</v>
      </c>
      <c r="I913" s="1">
        <v>12093278</v>
      </c>
      <c r="J913" s="1">
        <v>0</v>
      </c>
      <c r="K913" s="1">
        <v>4125000</v>
      </c>
      <c r="L913" s="1">
        <v>0</v>
      </c>
      <c r="M913" s="1">
        <v>1000000</v>
      </c>
      <c r="N913" s="1">
        <v>2629895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3758442</v>
      </c>
      <c r="W913" s="1">
        <v>1900000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1878497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4366546</v>
      </c>
      <c r="AM913" s="1">
        <v>0</v>
      </c>
      <c r="AN913" s="1">
        <v>0</v>
      </c>
      <c r="AO913" s="1">
        <v>51868672</v>
      </c>
      <c r="AP913" s="1">
        <v>18980069</v>
      </c>
      <c r="AQ913" s="1">
        <v>32888603</v>
      </c>
      <c r="AR913" s="1">
        <v>10373734</v>
      </c>
      <c r="AS913" s="1">
        <v>1556060</v>
      </c>
      <c r="AT913" s="1">
        <f t="shared" si="96"/>
        <v>63798466</v>
      </c>
    </row>
    <row r="914" spans="1:46" x14ac:dyDescent="0.2">
      <c r="A914" s="1" t="str">
        <f>"01182"</f>
        <v>01182</v>
      </c>
      <c r="B914" s="1" t="str">
        <f>"علي"</f>
        <v>علي</v>
      </c>
      <c r="C914" s="1" t="str">
        <f>"احدي"</f>
        <v>احدي</v>
      </c>
      <c r="D914" s="1" t="str">
        <f t="shared" si="94"/>
        <v>قراردادي بهره بردار</v>
      </c>
      <c r="E914" s="1" t="str">
        <f t="shared" si="95"/>
        <v>پروژه بهره برداري نيروگاه بوشهر</v>
      </c>
      <c r="F914" s="1">
        <v>19234053</v>
      </c>
      <c r="G914" s="1">
        <v>4057682</v>
      </c>
      <c r="H914" s="1">
        <v>0</v>
      </c>
      <c r="I914" s="1">
        <v>13921888</v>
      </c>
      <c r="J914" s="1">
        <v>0</v>
      </c>
      <c r="K914" s="1">
        <v>5500000</v>
      </c>
      <c r="L914" s="1">
        <v>0</v>
      </c>
      <c r="M914" s="1">
        <v>1000000</v>
      </c>
      <c r="N914" s="1">
        <v>3373627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14363406</v>
      </c>
      <c r="W914" s="1">
        <v>1900000</v>
      </c>
      <c r="X914" s="1">
        <v>2792040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2409733</v>
      </c>
      <c r="AF914" s="1">
        <v>1516881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10589683</v>
      </c>
      <c r="AM914" s="1">
        <v>0</v>
      </c>
      <c r="AN914" s="1">
        <v>0</v>
      </c>
      <c r="AO914" s="1">
        <v>80658993</v>
      </c>
      <c r="AP914" s="1">
        <v>14556353</v>
      </c>
      <c r="AQ914" s="1">
        <v>66102640</v>
      </c>
      <c r="AR914" s="1">
        <v>15828422</v>
      </c>
      <c r="AS914" s="1">
        <v>2374263</v>
      </c>
      <c r="AT914" s="1">
        <f t="shared" si="96"/>
        <v>98861678</v>
      </c>
    </row>
    <row r="915" spans="1:46" x14ac:dyDescent="0.2">
      <c r="A915" s="1" t="str">
        <f>"01183"</f>
        <v>01183</v>
      </c>
      <c r="B915" s="1" t="str">
        <f>"مسعود"</f>
        <v>مسعود</v>
      </c>
      <c r="C915" s="1" t="str">
        <f>"كرمي"</f>
        <v>كرمي</v>
      </c>
      <c r="D915" s="1" t="str">
        <f t="shared" si="94"/>
        <v>قراردادي بهره بردار</v>
      </c>
      <c r="E915" s="1" t="str">
        <f t="shared" si="95"/>
        <v>پروژه بهره برداري نيروگاه بوشهر</v>
      </c>
      <c r="F915" s="1">
        <v>23229829</v>
      </c>
      <c r="G915" s="1">
        <v>4470945</v>
      </c>
      <c r="H915" s="1">
        <v>0</v>
      </c>
      <c r="I915" s="1">
        <v>17575811</v>
      </c>
      <c r="J915" s="1">
        <v>0</v>
      </c>
      <c r="K915" s="1">
        <v>4125000</v>
      </c>
      <c r="L915" s="1">
        <v>0</v>
      </c>
      <c r="M915" s="1">
        <v>1000000</v>
      </c>
      <c r="N915" s="1">
        <v>3458734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12671934</v>
      </c>
      <c r="W915" s="1">
        <v>1900000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2470524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3952839</v>
      </c>
      <c r="AM915" s="1">
        <v>0</v>
      </c>
      <c r="AN915" s="1">
        <v>0</v>
      </c>
      <c r="AO915" s="1">
        <v>74855616</v>
      </c>
      <c r="AP915" s="1">
        <v>30695123</v>
      </c>
      <c r="AQ915" s="1">
        <v>44160493</v>
      </c>
      <c r="AR915" s="1">
        <v>14971123</v>
      </c>
      <c r="AS915" s="1">
        <v>2245668</v>
      </c>
      <c r="AT915" s="1">
        <f t="shared" si="96"/>
        <v>92072407</v>
      </c>
    </row>
    <row r="916" spans="1:46" x14ac:dyDescent="0.2">
      <c r="A916" s="1" t="str">
        <f>"01185"</f>
        <v>01185</v>
      </c>
      <c r="B916" s="1" t="str">
        <f>"محمود"</f>
        <v>محمود</v>
      </c>
      <c r="C916" s="1" t="str">
        <f>"دهقاني"</f>
        <v>دهقاني</v>
      </c>
      <c r="D916" s="1" t="str">
        <f>"قراردادي کارگري"</f>
        <v>قراردادي کارگري</v>
      </c>
      <c r="E916" s="1" t="str">
        <f>"پروژه تعميرات نيروگاه بوشهر"</f>
        <v>پروژه تعميرات نيروگاه بوشهر</v>
      </c>
      <c r="F916" s="1">
        <v>9904115</v>
      </c>
      <c r="G916" s="1">
        <v>21611370</v>
      </c>
      <c r="H916" s="1">
        <v>0</v>
      </c>
      <c r="I916" s="1">
        <v>5942469</v>
      </c>
      <c r="J916" s="1">
        <v>0</v>
      </c>
      <c r="K916" s="1">
        <v>0</v>
      </c>
      <c r="L916" s="1">
        <v>7628143</v>
      </c>
      <c r="M916" s="1">
        <v>1000000</v>
      </c>
      <c r="N916" s="1">
        <v>5282195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9526076</v>
      </c>
      <c r="W916" s="1">
        <v>1900000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3033762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0</v>
      </c>
      <c r="AM916" s="1">
        <v>0</v>
      </c>
      <c r="AN916" s="1">
        <v>0</v>
      </c>
      <c r="AO916" s="1">
        <v>65828130</v>
      </c>
      <c r="AP916" s="1">
        <v>11219422</v>
      </c>
      <c r="AQ916" s="1">
        <v>54608708</v>
      </c>
      <c r="AR916" s="1">
        <v>12558874</v>
      </c>
      <c r="AS916" s="1">
        <v>1883831</v>
      </c>
      <c r="AT916" s="1">
        <f t="shared" si="96"/>
        <v>80270835</v>
      </c>
    </row>
    <row r="917" spans="1:46" x14ac:dyDescent="0.2">
      <c r="A917" s="1" t="str">
        <f>"01186"</f>
        <v>01186</v>
      </c>
      <c r="B917" s="1" t="str">
        <f>"امير"</f>
        <v>امير</v>
      </c>
      <c r="C917" s="1" t="str">
        <f>"بختياري فرد"</f>
        <v>بختياري فرد</v>
      </c>
      <c r="D917" s="1" t="str">
        <f>"قراردادي کارگري"</f>
        <v>قراردادي کارگري</v>
      </c>
      <c r="E917" s="1" t="str">
        <f>"پروژه تعميرات نيروگاه بوشهر"</f>
        <v>پروژه تعميرات نيروگاه بوشهر</v>
      </c>
      <c r="F917" s="1">
        <v>6694277</v>
      </c>
      <c r="G917" s="1">
        <v>0</v>
      </c>
      <c r="H917" s="1">
        <v>0</v>
      </c>
      <c r="I917" s="1">
        <v>4016567</v>
      </c>
      <c r="J917" s="1">
        <v>0</v>
      </c>
      <c r="K917" s="1">
        <v>0</v>
      </c>
      <c r="L917" s="1">
        <v>7628143</v>
      </c>
      <c r="M917" s="1">
        <v>1000000</v>
      </c>
      <c r="N917" s="1">
        <v>3570280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7471781</v>
      </c>
      <c r="W917" s="1">
        <v>1900000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0</v>
      </c>
      <c r="AO917" s="1">
        <v>32281048</v>
      </c>
      <c r="AP917" s="1">
        <v>3187673</v>
      </c>
      <c r="AQ917" s="1">
        <v>29093375</v>
      </c>
      <c r="AR917" s="1">
        <v>6456210</v>
      </c>
      <c r="AS917" s="1">
        <v>968431</v>
      </c>
      <c r="AT917" s="1">
        <f t="shared" si="96"/>
        <v>39705689</v>
      </c>
    </row>
    <row r="918" spans="1:46" x14ac:dyDescent="0.2">
      <c r="A918" s="1" t="str">
        <f>"01188"</f>
        <v>01188</v>
      </c>
      <c r="B918" s="1" t="str">
        <f>"آرش"</f>
        <v>آرش</v>
      </c>
      <c r="C918" s="1" t="str">
        <f>"احمد خسروي"</f>
        <v>احمد خسروي</v>
      </c>
      <c r="D918" s="1" t="str">
        <f>"قراردادي بهره بردار"</f>
        <v>قراردادي بهره بردار</v>
      </c>
      <c r="E918" s="1" t="str">
        <f t="shared" ref="E918:E934" si="97">"پروژه بهره برداري نيروگاه بوشهر"</f>
        <v>پروژه بهره برداري نيروگاه بوشهر</v>
      </c>
      <c r="F918" s="1">
        <v>17952513</v>
      </c>
      <c r="G918" s="1">
        <v>0</v>
      </c>
      <c r="H918" s="1">
        <v>0</v>
      </c>
      <c r="I918" s="1">
        <v>12364031</v>
      </c>
      <c r="J918" s="1">
        <v>0</v>
      </c>
      <c r="K918" s="1">
        <v>4125000</v>
      </c>
      <c r="L918" s="1">
        <v>0</v>
      </c>
      <c r="M918" s="1">
        <v>1000000</v>
      </c>
      <c r="N918" s="1">
        <v>2925088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7565163</v>
      </c>
      <c r="W918" s="1">
        <v>1900000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2089348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4485664</v>
      </c>
      <c r="AM918" s="1">
        <v>0</v>
      </c>
      <c r="AN918" s="1">
        <v>0</v>
      </c>
      <c r="AO918" s="1">
        <v>54406807</v>
      </c>
      <c r="AP918" s="1">
        <v>31280151</v>
      </c>
      <c r="AQ918" s="1">
        <v>23126656</v>
      </c>
      <c r="AR918" s="1">
        <v>10881361</v>
      </c>
      <c r="AS918" s="1">
        <v>1632204</v>
      </c>
      <c r="AT918" s="1">
        <f t="shared" si="96"/>
        <v>66920372</v>
      </c>
    </row>
    <row r="919" spans="1:46" x14ac:dyDescent="0.2">
      <c r="A919" s="1" t="str">
        <f>"01189"</f>
        <v>01189</v>
      </c>
      <c r="B919" s="1" t="str">
        <f>"سيد علي"</f>
        <v>سيد علي</v>
      </c>
      <c r="C919" s="1" t="str">
        <f>"احمدي"</f>
        <v>احمدي</v>
      </c>
      <c r="D919" s="1" t="str">
        <f>"قراردادي بهره بردار"</f>
        <v>قراردادي بهره بردار</v>
      </c>
      <c r="E919" s="1" t="str">
        <f t="shared" si="97"/>
        <v>پروژه بهره برداري نيروگاه بوشهر</v>
      </c>
      <c r="F919" s="1">
        <v>18798111</v>
      </c>
      <c r="G919" s="1">
        <v>6340819</v>
      </c>
      <c r="H919" s="1">
        <v>0</v>
      </c>
      <c r="I919" s="1">
        <v>13897857</v>
      </c>
      <c r="J919" s="1">
        <v>0</v>
      </c>
      <c r="K919" s="1">
        <v>4125000</v>
      </c>
      <c r="L919" s="1">
        <v>0</v>
      </c>
      <c r="M919" s="1">
        <v>1000000</v>
      </c>
      <c r="N919" s="1">
        <v>3221047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8809653</v>
      </c>
      <c r="W919" s="1">
        <v>1900000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2300748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5830503</v>
      </c>
      <c r="AM919" s="1">
        <v>0</v>
      </c>
      <c r="AN919" s="1">
        <v>0</v>
      </c>
      <c r="AO919" s="1">
        <v>66223738</v>
      </c>
      <c r="AP919" s="1">
        <v>25787700</v>
      </c>
      <c r="AQ919" s="1">
        <v>40436038</v>
      </c>
      <c r="AR919" s="1">
        <v>13244748</v>
      </c>
      <c r="AS919" s="1">
        <v>1986712</v>
      </c>
      <c r="AT919" s="1">
        <f t="shared" si="96"/>
        <v>81455198</v>
      </c>
    </row>
    <row r="920" spans="1:46" x14ac:dyDescent="0.2">
      <c r="A920" s="1" t="str">
        <f>"01190"</f>
        <v>01190</v>
      </c>
      <c r="B920" s="1" t="str">
        <f>"علي"</f>
        <v>علي</v>
      </c>
      <c r="C920" s="1" t="str">
        <f>"بازياري"</f>
        <v>بازياري</v>
      </c>
      <c r="D920" s="1" t="str">
        <f>"قراردادي بهره بردار"</f>
        <v>قراردادي بهره بردار</v>
      </c>
      <c r="E920" s="1" t="str">
        <f t="shared" si="97"/>
        <v>پروژه بهره برداري نيروگاه بوشهر</v>
      </c>
      <c r="F920" s="1">
        <v>17111297</v>
      </c>
      <c r="G920" s="1">
        <v>3500698</v>
      </c>
      <c r="H920" s="1">
        <v>0</v>
      </c>
      <c r="I920" s="1">
        <v>11547487</v>
      </c>
      <c r="J920" s="1">
        <v>0</v>
      </c>
      <c r="K920" s="1">
        <v>5500000</v>
      </c>
      <c r="L920" s="1">
        <v>0</v>
      </c>
      <c r="M920" s="1">
        <v>1000000</v>
      </c>
      <c r="N920" s="1">
        <v>2630662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1606000</v>
      </c>
      <c r="U920" s="1">
        <v>0</v>
      </c>
      <c r="V920" s="1">
        <v>12391790</v>
      </c>
      <c r="W920" s="1">
        <v>1900000</v>
      </c>
      <c r="X920" s="1">
        <v>2483898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1879044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9561822</v>
      </c>
      <c r="AM920" s="1">
        <v>0</v>
      </c>
      <c r="AN920" s="1">
        <v>0</v>
      </c>
      <c r="AO920" s="1">
        <v>71112698</v>
      </c>
      <c r="AP920" s="1">
        <v>18272089</v>
      </c>
      <c r="AQ920" s="1">
        <v>52840609</v>
      </c>
      <c r="AR920" s="1">
        <v>13901340</v>
      </c>
      <c r="AS920" s="1">
        <v>2085201</v>
      </c>
      <c r="AT920" s="1">
        <f t="shared" si="96"/>
        <v>87099239</v>
      </c>
    </row>
    <row r="921" spans="1:46" x14ac:dyDescent="0.2">
      <c r="A921" s="1" t="str">
        <f>"01191"</f>
        <v>01191</v>
      </c>
      <c r="B921" s="1" t="str">
        <f>"احسان"</f>
        <v>احسان</v>
      </c>
      <c r="C921" s="1" t="str">
        <f>"خان خانان"</f>
        <v>خان خانان</v>
      </c>
      <c r="D921" s="1" t="str">
        <f>"قراردادي بهره بردار"</f>
        <v>قراردادي بهره بردار</v>
      </c>
      <c r="E921" s="1" t="str">
        <f t="shared" si="97"/>
        <v>پروژه بهره برداري نيروگاه بوشهر</v>
      </c>
      <c r="F921" s="1">
        <v>14127609</v>
      </c>
      <c r="G921" s="1">
        <v>13519905</v>
      </c>
      <c r="H921" s="1">
        <v>0</v>
      </c>
      <c r="I921" s="1">
        <v>11125704</v>
      </c>
      <c r="J921" s="1">
        <v>0</v>
      </c>
      <c r="K921" s="1">
        <v>0</v>
      </c>
      <c r="L921" s="1">
        <v>0</v>
      </c>
      <c r="M921" s="1">
        <v>1000000</v>
      </c>
      <c r="N921" s="1">
        <v>2663632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13582557</v>
      </c>
      <c r="W921" s="1">
        <v>1900000</v>
      </c>
      <c r="X921" s="1">
        <v>2050782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1902594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11339724</v>
      </c>
      <c r="AM921" s="1">
        <v>0</v>
      </c>
      <c r="AN921" s="1">
        <v>0</v>
      </c>
      <c r="AO921" s="1">
        <v>73212507</v>
      </c>
      <c r="AP921" s="1">
        <v>40791749</v>
      </c>
      <c r="AQ921" s="1">
        <v>32420758</v>
      </c>
      <c r="AR921" s="1">
        <v>14642501</v>
      </c>
      <c r="AS921" s="1">
        <v>2196375</v>
      </c>
      <c r="AT921" s="1">
        <f t="shared" si="96"/>
        <v>90051383</v>
      </c>
    </row>
    <row r="922" spans="1:46" x14ac:dyDescent="0.2">
      <c r="A922" s="1" t="str">
        <f>"01192"</f>
        <v>01192</v>
      </c>
      <c r="B922" s="1" t="str">
        <f>"حسين"</f>
        <v>حسين</v>
      </c>
      <c r="C922" s="1" t="str">
        <f>"معيني"</f>
        <v>معيني</v>
      </c>
      <c r="D922" s="1" t="str">
        <f>"قراردادي بهره بردار"</f>
        <v>قراردادي بهره بردار</v>
      </c>
      <c r="E922" s="1" t="str">
        <f t="shared" si="97"/>
        <v>پروژه بهره برداري نيروگاه بوشهر</v>
      </c>
      <c r="F922" s="1">
        <v>15908621</v>
      </c>
      <c r="G922" s="1">
        <v>10840764</v>
      </c>
      <c r="H922" s="1">
        <v>0</v>
      </c>
      <c r="I922" s="1">
        <v>12367599</v>
      </c>
      <c r="J922" s="1">
        <v>0</v>
      </c>
      <c r="K922" s="1">
        <v>4620000</v>
      </c>
      <c r="L922" s="1">
        <v>0</v>
      </c>
      <c r="M922" s="1">
        <v>1000000</v>
      </c>
      <c r="N922" s="1">
        <v>2803944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1606000</v>
      </c>
      <c r="U922" s="1">
        <v>0</v>
      </c>
      <c r="V922" s="1">
        <v>14916824</v>
      </c>
      <c r="W922" s="1">
        <v>1900000</v>
      </c>
      <c r="X922" s="1">
        <v>2309316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2002818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12119514</v>
      </c>
      <c r="AM922" s="1">
        <v>0</v>
      </c>
      <c r="AN922" s="1">
        <v>0</v>
      </c>
      <c r="AO922" s="1">
        <v>82395400</v>
      </c>
      <c r="AP922" s="1">
        <v>15676244</v>
      </c>
      <c r="AQ922" s="1">
        <v>66719156</v>
      </c>
      <c r="AR922" s="1">
        <v>16157880</v>
      </c>
      <c r="AS922" s="1">
        <v>2423682</v>
      </c>
      <c r="AT922" s="1">
        <f t="shared" si="96"/>
        <v>100976962</v>
      </c>
    </row>
    <row r="923" spans="1:46" x14ac:dyDescent="0.2">
      <c r="A923" s="1" t="str">
        <f>"01193"</f>
        <v>01193</v>
      </c>
      <c r="B923" s="1" t="str">
        <f>"محمد حسين"</f>
        <v>محمد حسين</v>
      </c>
      <c r="C923" s="1" t="str">
        <f>"افضلي"</f>
        <v>افضلي</v>
      </c>
      <c r="D923" s="1" t="str">
        <f>"قراردادي کارگري"</f>
        <v>قراردادي کارگري</v>
      </c>
      <c r="E923" s="1" t="str">
        <f t="shared" si="97"/>
        <v>پروژه بهره برداري نيروگاه بوشهر</v>
      </c>
      <c r="F923" s="1">
        <v>10377188</v>
      </c>
      <c r="G923" s="1">
        <v>521749</v>
      </c>
      <c r="H923" s="1">
        <v>0</v>
      </c>
      <c r="I923" s="1">
        <v>5675410</v>
      </c>
      <c r="J923" s="1">
        <v>0</v>
      </c>
      <c r="K923" s="1">
        <v>0</v>
      </c>
      <c r="L923" s="1">
        <v>0</v>
      </c>
      <c r="M923" s="1">
        <v>1000000</v>
      </c>
      <c r="N923" s="1">
        <v>1607840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2240586</v>
      </c>
      <c r="W923" s="1">
        <v>1900000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1148457</v>
      </c>
      <c r="AF923" s="1">
        <v>1516881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3596965</v>
      </c>
      <c r="AM923" s="1">
        <v>0</v>
      </c>
      <c r="AN923" s="1">
        <v>0</v>
      </c>
      <c r="AO923" s="1">
        <v>29585076</v>
      </c>
      <c r="AP923" s="1">
        <v>7564004</v>
      </c>
      <c r="AQ923" s="1">
        <v>22021072</v>
      </c>
      <c r="AR923" s="1">
        <v>5613639</v>
      </c>
      <c r="AS923" s="1">
        <v>842046</v>
      </c>
      <c r="AT923" s="1">
        <f t="shared" si="96"/>
        <v>36040761</v>
      </c>
    </row>
    <row r="924" spans="1:46" x14ac:dyDescent="0.2">
      <c r="A924" s="1" t="str">
        <f>"01194"</f>
        <v>01194</v>
      </c>
      <c r="B924" s="1" t="str">
        <f>"محمد هادي"</f>
        <v>محمد هادي</v>
      </c>
      <c r="C924" s="1" t="str">
        <f>"كارآمد"</f>
        <v>كارآمد</v>
      </c>
      <c r="D924" s="1" t="str">
        <f>"قراردادي بهره بردار"</f>
        <v>قراردادي بهره بردار</v>
      </c>
      <c r="E924" s="1" t="str">
        <f t="shared" si="97"/>
        <v>پروژه بهره برداري نيروگاه بوشهر</v>
      </c>
      <c r="F924" s="1">
        <v>18121195</v>
      </c>
      <c r="G924" s="1">
        <v>15855487</v>
      </c>
      <c r="H924" s="1">
        <v>0</v>
      </c>
      <c r="I924" s="1">
        <v>13541329</v>
      </c>
      <c r="J924" s="1">
        <v>0</v>
      </c>
      <c r="K924" s="1">
        <v>3465000</v>
      </c>
      <c r="L924" s="1">
        <v>0</v>
      </c>
      <c r="M924" s="1">
        <v>1000000</v>
      </c>
      <c r="N924" s="1">
        <v>2853782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16285377</v>
      </c>
      <c r="W924" s="1">
        <v>1900000</v>
      </c>
      <c r="X924" s="1">
        <v>2630496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2038415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12794898</v>
      </c>
      <c r="AM924" s="1">
        <v>0</v>
      </c>
      <c r="AN924" s="1">
        <v>0</v>
      </c>
      <c r="AO924" s="1">
        <v>90485979</v>
      </c>
      <c r="AP924" s="1">
        <v>18809609</v>
      </c>
      <c r="AQ924" s="1">
        <v>71676370</v>
      </c>
      <c r="AR924" s="1">
        <v>18097196</v>
      </c>
      <c r="AS924" s="1">
        <v>2714581</v>
      </c>
      <c r="AT924" s="1">
        <f t="shared" si="96"/>
        <v>111297756</v>
      </c>
    </row>
    <row r="925" spans="1:46" x14ac:dyDescent="0.2">
      <c r="A925" s="1" t="str">
        <f>"01195"</f>
        <v>01195</v>
      </c>
      <c r="B925" s="1" t="str">
        <f>"عليرضا"</f>
        <v>عليرضا</v>
      </c>
      <c r="C925" s="1" t="str">
        <f>"ايزدبخش"</f>
        <v>ايزدبخش</v>
      </c>
      <c r="D925" s="1" t="str">
        <f>"قراردادي بهره بردار"</f>
        <v>قراردادي بهره بردار</v>
      </c>
      <c r="E925" s="1" t="str">
        <f t="shared" si="97"/>
        <v>پروژه بهره برداري نيروگاه بوشهر</v>
      </c>
      <c r="F925" s="1">
        <v>13529557</v>
      </c>
      <c r="G925" s="1">
        <v>16685751</v>
      </c>
      <c r="H925" s="1">
        <v>0</v>
      </c>
      <c r="I925" s="1">
        <v>13166832</v>
      </c>
      <c r="J925" s="1">
        <v>0</v>
      </c>
      <c r="K925" s="1">
        <v>3465000</v>
      </c>
      <c r="L925" s="1">
        <v>0</v>
      </c>
      <c r="M925" s="1">
        <v>1000000</v>
      </c>
      <c r="N925" s="1">
        <v>2481149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7690800</v>
      </c>
      <c r="W925" s="1">
        <v>1900000</v>
      </c>
      <c r="X925" s="1">
        <v>1963968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1772249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10622105</v>
      </c>
      <c r="AM925" s="1">
        <v>0</v>
      </c>
      <c r="AN925" s="1">
        <v>0</v>
      </c>
      <c r="AO925" s="1">
        <v>74277411</v>
      </c>
      <c r="AP925" s="1">
        <v>19075773</v>
      </c>
      <c r="AQ925" s="1">
        <v>55201638</v>
      </c>
      <c r="AR925" s="1">
        <v>14855482</v>
      </c>
      <c r="AS925" s="1">
        <v>2228322</v>
      </c>
      <c r="AT925" s="1">
        <f t="shared" si="96"/>
        <v>91361215</v>
      </c>
    </row>
    <row r="926" spans="1:46" x14ac:dyDescent="0.2">
      <c r="A926" s="1" t="str">
        <f>"01196"</f>
        <v>01196</v>
      </c>
      <c r="B926" s="1" t="str">
        <f>"محمد"</f>
        <v>محمد</v>
      </c>
      <c r="C926" s="1" t="str">
        <f>"نژاد فرحاني"</f>
        <v>نژاد فرحاني</v>
      </c>
      <c r="D926" s="1" t="str">
        <f>"قراردادي بهره بردار"</f>
        <v>قراردادي بهره بردار</v>
      </c>
      <c r="E926" s="1" t="str">
        <f t="shared" si="97"/>
        <v>پروژه بهره برداري نيروگاه بوشهر</v>
      </c>
      <c r="F926" s="1">
        <v>17426753</v>
      </c>
      <c r="G926" s="1">
        <v>23344753</v>
      </c>
      <c r="H926" s="1">
        <v>0</v>
      </c>
      <c r="I926" s="1">
        <v>19329553</v>
      </c>
      <c r="J926" s="1">
        <v>0</v>
      </c>
      <c r="K926" s="1">
        <v>4620000</v>
      </c>
      <c r="L926" s="1">
        <v>0</v>
      </c>
      <c r="M926" s="1">
        <v>1000000</v>
      </c>
      <c r="N926" s="1">
        <v>3500138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1606000</v>
      </c>
      <c r="U926" s="1">
        <v>0</v>
      </c>
      <c r="V926" s="1">
        <v>10680836</v>
      </c>
      <c r="W926" s="1">
        <v>1900000</v>
      </c>
      <c r="X926" s="1">
        <v>2529690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2500098</v>
      </c>
      <c r="AF926" s="1">
        <v>3033762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12728321</v>
      </c>
      <c r="AM926" s="1">
        <v>0</v>
      </c>
      <c r="AN926" s="1">
        <v>0</v>
      </c>
      <c r="AO926" s="1">
        <v>104199904</v>
      </c>
      <c r="AP926" s="1">
        <v>46631308</v>
      </c>
      <c r="AQ926" s="1">
        <v>57568596</v>
      </c>
      <c r="AR926" s="1">
        <v>19912028</v>
      </c>
      <c r="AS926" s="1">
        <v>2986804</v>
      </c>
      <c r="AT926" s="1">
        <f t="shared" si="96"/>
        <v>127098736</v>
      </c>
    </row>
    <row r="927" spans="1:46" x14ac:dyDescent="0.2">
      <c r="A927" s="1" t="str">
        <f>"01197"</f>
        <v>01197</v>
      </c>
      <c r="B927" s="1" t="str">
        <f>"حميدرضا"</f>
        <v>حميدرضا</v>
      </c>
      <c r="C927" s="1" t="str">
        <f>"بني اسد"</f>
        <v>بني اسد</v>
      </c>
      <c r="D927" s="1" t="str">
        <f>"قراردادي بهره بردار"</f>
        <v>قراردادي بهره بردار</v>
      </c>
      <c r="E927" s="1" t="str">
        <f t="shared" si="97"/>
        <v>پروژه بهره برداري نيروگاه بوشهر</v>
      </c>
      <c r="F927" s="1">
        <v>14035601</v>
      </c>
      <c r="G927" s="1">
        <v>23312910</v>
      </c>
      <c r="H927" s="1">
        <v>0</v>
      </c>
      <c r="I927" s="1">
        <v>13807704</v>
      </c>
      <c r="J927" s="1">
        <v>0</v>
      </c>
      <c r="K927" s="1">
        <v>4620000</v>
      </c>
      <c r="L927" s="1">
        <v>0</v>
      </c>
      <c r="M927" s="1">
        <v>1000000</v>
      </c>
      <c r="N927" s="1">
        <v>2618394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1606000</v>
      </c>
      <c r="U927" s="1">
        <v>0</v>
      </c>
      <c r="V927" s="1">
        <v>8059044</v>
      </c>
      <c r="W927" s="1">
        <v>1900000</v>
      </c>
      <c r="X927" s="1">
        <v>2037426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1870282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11230418</v>
      </c>
      <c r="AM927" s="1">
        <v>0</v>
      </c>
      <c r="AN927" s="1">
        <v>0</v>
      </c>
      <c r="AO927" s="1">
        <v>86097779</v>
      </c>
      <c r="AP927" s="1">
        <v>21822488</v>
      </c>
      <c r="AQ927" s="1">
        <v>64275291</v>
      </c>
      <c r="AR927" s="1">
        <v>16898356</v>
      </c>
      <c r="AS927" s="1">
        <v>2534753</v>
      </c>
      <c r="AT927" s="1">
        <f t="shared" si="96"/>
        <v>105530888</v>
      </c>
    </row>
    <row r="928" spans="1:46" x14ac:dyDescent="0.2">
      <c r="A928" s="1" t="str">
        <f>"01198"</f>
        <v>01198</v>
      </c>
      <c r="B928" s="1" t="str">
        <f>"امين"</f>
        <v>امين</v>
      </c>
      <c r="C928" s="1" t="str">
        <f>"غريب زاده"</f>
        <v>غريب زاده</v>
      </c>
      <c r="D928" s="1" t="str">
        <f>"قراردادي کارگري"</f>
        <v>قراردادي کارگري</v>
      </c>
      <c r="E928" s="1" t="str">
        <f t="shared" si="97"/>
        <v>پروژه بهره برداري نيروگاه بوشهر</v>
      </c>
      <c r="F928" s="1">
        <v>10493293</v>
      </c>
      <c r="G928" s="1">
        <v>6094198</v>
      </c>
      <c r="H928" s="1">
        <v>0</v>
      </c>
      <c r="I928" s="1">
        <v>5762576</v>
      </c>
      <c r="J928" s="1">
        <v>0</v>
      </c>
      <c r="K928" s="1">
        <v>0</v>
      </c>
      <c r="L928" s="1">
        <v>0</v>
      </c>
      <c r="M928" s="1">
        <v>1000000</v>
      </c>
      <c r="N928" s="1">
        <v>1648477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2309185</v>
      </c>
      <c r="W928" s="1">
        <v>1900000</v>
      </c>
      <c r="X928" s="1">
        <v>0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1177483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4010015</v>
      </c>
      <c r="AM928" s="1">
        <v>0</v>
      </c>
      <c r="AN928" s="1">
        <v>0</v>
      </c>
      <c r="AO928" s="1">
        <v>34395227</v>
      </c>
      <c r="AP928" s="1">
        <v>5353652</v>
      </c>
      <c r="AQ928" s="1">
        <v>29041575</v>
      </c>
      <c r="AR928" s="1">
        <v>6879045</v>
      </c>
      <c r="AS928" s="1">
        <v>1031857</v>
      </c>
      <c r="AT928" s="1">
        <f t="shared" si="96"/>
        <v>42306129</v>
      </c>
    </row>
    <row r="929" spans="1:46" x14ac:dyDescent="0.2">
      <c r="A929" s="1" t="str">
        <f>"01199"</f>
        <v>01199</v>
      </c>
      <c r="B929" s="1" t="str">
        <f>"مهدي"</f>
        <v>مهدي</v>
      </c>
      <c r="C929" s="1" t="str">
        <f>"غلام نژاد دزفولي"</f>
        <v>غلام نژاد دزفولي</v>
      </c>
      <c r="D929" s="1" t="str">
        <f t="shared" ref="D929:D936" si="98">"قراردادي بهره بردار"</f>
        <v>قراردادي بهره بردار</v>
      </c>
      <c r="E929" s="1" t="str">
        <f t="shared" si="97"/>
        <v>پروژه بهره برداري نيروگاه بوشهر</v>
      </c>
      <c r="F929" s="1">
        <v>13117712</v>
      </c>
      <c r="G929" s="1">
        <v>16683453</v>
      </c>
      <c r="H929" s="1">
        <v>0</v>
      </c>
      <c r="I929" s="1">
        <v>12495653</v>
      </c>
      <c r="J929" s="1">
        <v>0</v>
      </c>
      <c r="K929" s="1">
        <v>4620000</v>
      </c>
      <c r="L929" s="1">
        <v>0</v>
      </c>
      <c r="M929" s="1">
        <v>1000000</v>
      </c>
      <c r="N929" s="1">
        <v>2337003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7382152</v>
      </c>
      <c r="W929" s="1">
        <v>1900000</v>
      </c>
      <c r="X929" s="1">
        <v>1904184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1669288</v>
      </c>
      <c r="AF929" s="1">
        <v>3033762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10283866</v>
      </c>
      <c r="AM929" s="1">
        <v>0</v>
      </c>
      <c r="AN929" s="1">
        <v>0</v>
      </c>
      <c r="AO929" s="1">
        <v>76427073</v>
      </c>
      <c r="AP929" s="1">
        <v>28537761</v>
      </c>
      <c r="AQ929" s="1">
        <v>47889312</v>
      </c>
      <c r="AR929" s="1">
        <v>14678662</v>
      </c>
      <c r="AS929" s="1">
        <v>2201799</v>
      </c>
      <c r="AT929" s="1">
        <f t="shared" si="96"/>
        <v>93307534</v>
      </c>
    </row>
    <row r="930" spans="1:46" x14ac:dyDescent="0.2">
      <c r="A930" s="1" t="str">
        <f>"01200"</f>
        <v>01200</v>
      </c>
      <c r="B930" s="1" t="str">
        <f>"ابراهيم"</f>
        <v>ابراهيم</v>
      </c>
      <c r="C930" s="1" t="str">
        <f>"حيدري"</f>
        <v>حيدري</v>
      </c>
      <c r="D930" s="1" t="str">
        <f t="shared" si="98"/>
        <v>قراردادي بهره بردار</v>
      </c>
      <c r="E930" s="1" t="str">
        <f t="shared" si="97"/>
        <v>پروژه بهره برداري نيروگاه بوشهر</v>
      </c>
      <c r="F930" s="1">
        <v>12554711</v>
      </c>
      <c r="G930" s="1">
        <v>574665</v>
      </c>
      <c r="H930" s="1">
        <v>0</v>
      </c>
      <c r="I930" s="1">
        <v>11965068</v>
      </c>
      <c r="J930" s="1">
        <v>0</v>
      </c>
      <c r="K930" s="1">
        <v>4620000</v>
      </c>
      <c r="L930" s="1">
        <v>0</v>
      </c>
      <c r="M930" s="1">
        <v>1000000</v>
      </c>
      <c r="N930" s="1">
        <v>2139953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6356991</v>
      </c>
      <c r="W930" s="1">
        <v>1900000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1528538</v>
      </c>
      <c r="AF930" s="1">
        <v>4550643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6173846</v>
      </c>
      <c r="AM930" s="1">
        <v>0</v>
      </c>
      <c r="AN930" s="1">
        <v>0</v>
      </c>
      <c r="AO930" s="1">
        <v>53364415</v>
      </c>
      <c r="AP930" s="1">
        <v>13261605</v>
      </c>
      <c r="AQ930" s="1">
        <v>40102810</v>
      </c>
      <c r="AR930" s="1">
        <v>9762754</v>
      </c>
      <c r="AS930" s="1">
        <v>1464413</v>
      </c>
      <c r="AT930" s="1">
        <f t="shared" si="96"/>
        <v>64591582</v>
      </c>
    </row>
    <row r="931" spans="1:46" x14ac:dyDescent="0.2">
      <c r="A931" s="1" t="str">
        <f>"01201"</f>
        <v>01201</v>
      </c>
      <c r="B931" s="1" t="str">
        <f>"مهدي"</f>
        <v>مهدي</v>
      </c>
      <c r="C931" s="1" t="str">
        <f>"عوض پور"</f>
        <v>عوض پور</v>
      </c>
      <c r="D931" s="1" t="str">
        <f t="shared" si="98"/>
        <v>قراردادي بهره بردار</v>
      </c>
      <c r="E931" s="1" t="str">
        <f t="shared" si="97"/>
        <v>پروژه بهره برداري نيروگاه بوشهر</v>
      </c>
      <c r="F931" s="1">
        <v>13597468</v>
      </c>
      <c r="G931" s="1">
        <v>16831500</v>
      </c>
      <c r="H931" s="1">
        <v>0</v>
      </c>
      <c r="I931" s="1">
        <v>13374094</v>
      </c>
      <c r="J931" s="1">
        <v>0</v>
      </c>
      <c r="K931" s="1">
        <v>4620000</v>
      </c>
      <c r="L931" s="1">
        <v>0</v>
      </c>
      <c r="M931" s="1">
        <v>1000000</v>
      </c>
      <c r="N931" s="1">
        <v>2504918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1606000</v>
      </c>
      <c r="U931" s="1">
        <v>0</v>
      </c>
      <c r="V931" s="1">
        <v>7757978</v>
      </c>
      <c r="W931" s="1">
        <v>1900000</v>
      </c>
      <c r="X931" s="1">
        <v>1973826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1789227</v>
      </c>
      <c r="AF931" s="1">
        <v>1516881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10669313</v>
      </c>
      <c r="AM931" s="1">
        <v>0</v>
      </c>
      <c r="AN931" s="1">
        <v>0</v>
      </c>
      <c r="AO931" s="1">
        <v>79141205</v>
      </c>
      <c r="AP931" s="1">
        <v>28588170</v>
      </c>
      <c r="AQ931" s="1">
        <v>50553035</v>
      </c>
      <c r="AR931" s="1">
        <v>15203665</v>
      </c>
      <c r="AS931" s="1">
        <v>2280550</v>
      </c>
      <c r="AT931" s="1">
        <f t="shared" si="96"/>
        <v>96625420</v>
      </c>
    </row>
    <row r="932" spans="1:46" x14ac:dyDescent="0.2">
      <c r="A932" s="1" t="str">
        <f>"01203"</f>
        <v>01203</v>
      </c>
      <c r="B932" s="1" t="str">
        <f>"علي"</f>
        <v>علي</v>
      </c>
      <c r="C932" s="1" t="str">
        <f>"زنده بودي"</f>
        <v>زنده بودي</v>
      </c>
      <c r="D932" s="1" t="str">
        <f t="shared" si="98"/>
        <v>قراردادي بهره بردار</v>
      </c>
      <c r="E932" s="1" t="str">
        <f t="shared" si="97"/>
        <v>پروژه بهره برداري نيروگاه بوشهر</v>
      </c>
      <c r="F932" s="1">
        <v>14114465</v>
      </c>
      <c r="G932" s="1">
        <v>18416191</v>
      </c>
      <c r="H932" s="1">
        <v>0</v>
      </c>
      <c r="I932" s="1">
        <v>14195058</v>
      </c>
      <c r="J932" s="1">
        <v>0</v>
      </c>
      <c r="K932" s="1">
        <v>4620000</v>
      </c>
      <c r="L932" s="1">
        <v>0</v>
      </c>
      <c r="M932" s="1">
        <v>1000000</v>
      </c>
      <c r="N932" s="1">
        <v>2685867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1606000</v>
      </c>
      <c r="U932" s="1">
        <v>0</v>
      </c>
      <c r="V932" s="1">
        <v>8241592</v>
      </c>
      <c r="W932" s="1">
        <v>1900000</v>
      </c>
      <c r="X932" s="1">
        <v>2048874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1918476</v>
      </c>
      <c r="AF932" s="1">
        <v>3033762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11041289</v>
      </c>
      <c r="AM932" s="1">
        <v>0</v>
      </c>
      <c r="AN932" s="1">
        <v>0</v>
      </c>
      <c r="AO932" s="1">
        <v>84821574</v>
      </c>
      <c r="AP932" s="1">
        <v>37829914</v>
      </c>
      <c r="AQ932" s="1">
        <v>46991660</v>
      </c>
      <c r="AR932" s="1">
        <v>16036362</v>
      </c>
      <c r="AS932" s="1">
        <v>2405454</v>
      </c>
      <c r="AT932" s="1">
        <f t="shared" si="96"/>
        <v>103263390</v>
      </c>
    </row>
    <row r="933" spans="1:46" x14ac:dyDescent="0.2">
      <c r="A933" s="1" t="str">
        <f>"01204"</f>
        <v>01204</v>
      </c>
      <c r="B933" s="1" t="str">
        <f>"فتح اله"</f>
        <v>فتح اله</v>
      </c>
      <c r="C933" s="1" t="str">
        <f>"محسني پور"</f>
        <v>محسني پور</v>
      </c>
      <c r="D933" s="1" t="str">
        <f t="shared" si="98"/>
        <v>قراردادي بهره بردار</v>
      </c>
      <c r="E933" s="1" t="str">
        <f t="shared" si="97"/>
        <v>پروژه بهره برداري نيروگاه بوشهر</v>
      </c>
      <c r="F933" s="1">
        <v>15442009</v>
      </c>
      <c r="G933" s="1">
        <v>20530755</v>
      </c>
      <c r="H933" s="1">
        <v>0</v>
      </c>
      <c r="I933" s="1">
        <v>16142470</v>
      </c>
      <c r="J933" s="1">
        <v>0</v>
      </c>
      <c r="K933" s="1">
        <v>4620000</v>
      </c>
      <c r="L933" s="1">
        <v>0</v>
      </c>
      <c r="M933" s="1">
        <v>1000000</v>
      </c>
      <c r="N933" s="1">
        <v>3150507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9290845</v>
      </c>
      <c r="W933" s="1">
        <v>1900000</v>
      </c>
      <c r="X933" s="1">
        <v>2241582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2250362</v>
      </c>
      <c r="AF933" s="1">
        <v>0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11913831</v>
      </c>
      <c r="AM933" s="1">
        <v>0</v>
      </c>
      <c r="AN933" s="1">
        <v>0</v>
      </c>
      <c r="AO933" s="1">
        <v>88482361</v>
      </c>
      <c r="AP933" s="1">
        <v>40004106</v>
      </c>
      <c r="AQ933" s="1">
        <v>48478255</v>
      </c>
      <c r="AR933" s="1">
        <v>17696472</v>
      </c>
      <c r="AS933" s="1">
        <v>2654471</v>
      </c>
      <c r="AT933" s="1">
        <f t="shared" si="96"/>
        <v>108833304</v>
      </c>
    </row>
    <row r="934" spans="1:46" x14ac:dyDescent="0.2">
      <c r="A934" s="1" t="str">
        <f>"01205"</f>
        <v>01205</v>
      </c>
      <c r="B934" s="1" t="str">
        <f>"مهدي"</f>
        <v>مهدي</v>
      </c>
      <c r="C934" s="1" t="str">
        <f>"عالي زاده"</f>
        <v>عالي زاده</v>
      </c>
      <c r="D934" s="1" t="str">
        <f t="shared" si="98"/>
        <v>قراردادي بهره بردار</v>
      </c>
      <c r="E934" s="1" t="str">
        <f t="shared" si="97"/>
        <v>پروژه بهره برداري نيروگاه بوشهر</v>
      </c>
      <c r="F934" s="1">
        <v>14217427</v>
      </c>
      <c r="G934" s="1">
        <v>25186630</v>
      </c>
      <c r="H934" s="1">
        <v>0</v>
      </c>
      <c r="I934" s="1">
        <v>12760626</v>
      </c>
      <c r="J934" s="1">
        <v>0</v>
      </c>
      <c r="K934" s="1">
        <v>4620000</v>
      </c>
      <c r="L934" s="1">
        <v>0</v>
      </c>
      <c r="M934" s="1">
        <v>1000000</v>
      </c>
      <c r="N934" s="1">
        <v>2721903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1606000</v>
      </c>
      <c r="U934" s="1">
        <v>0</v>
      </c>
      <c r="V934" s="1">
        <v>7530180</v>
      </c>
      <c r="W934" s="1">
        <v>1900000</v>
      </c>
      <c r="X934" s="1">
        <v>2063820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1944217</v>
      </c>
      <c r="AF934" s="1">
        <v>3033762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9059502</v>
      </c>
      <c r="AM934" s="1">
        <v>0</v>
      </c>
      <c r="AN934" s="1">
        <v>0</v>
      </c>
      <c r="AO934" s="1">
        <v>87644067</v>
      </c>
      <c r="AP934" s="1">
        <v>37163839</v>
      </c>
      <c r="AQ934" s="1">
        <v>50480228</v>
      </c>
      <c r="AR934" s="1">
        <v>16600861</v>
      </c>
      <c r="AS934" s="1">
        <v>2490129</v>
      </c>
      <c r="AT934" s="1">
        <f t="shared" si="96"/>
        <v>106735057</v>
      </c>
    </row>
    <row r="935" spans="1:46" x14ac:dyDescent="0.2">
      <c r="A935" s="1" t="str">
        <f>"01206"</f>
        <v>01206</v>
      </c>
      <c r="B935" s="1" t="str">
        <f>"عليرضا"</f>
        <v>عليرضا</v>
      </c>
      <c r="C935" s="1" t="str">
        <f>"قايد"</f>
        <v>قايد</v>
      </c>
      <c r="D935" s="1" t="str">
        <f t="shared" si="98"/>
        <v>قراردادي بهره بردار</v>
      </c>
      <c r="E935" s="1" t="str">
        <f>"پروژه تعميرات نيروگاه بوشهر"</f>
        <v>پروژه تعميرات نيروگاه بوشهر</v>
      </c>
      <c r="F935" s="1">
        <v>43296336</v>
      </c>
      <c r="G935" s="1">
        <v>0</v>
      </c>
      <c r="H935" s="1">
        <v>0</v>
      </c>
      <c r="I935" s="1">
        <v>52927296</v>
      </c>
      <c r="J935" s="1">
        <v>0</v>
      </c>
      <c r="K935" s="1">
        <v>5500000</v>
      </c>
      <c r="L935" s="1">
        <v>0</v>
      </c>
      <c r="M935" s="1">
        <v>1000000</v>
      </c>
      <c r="N935" s="1">
        <v>7057014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11537838</v>
      </c>
      <c r="W935" s="1">
        <v>1900000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5040724</v>
      </c>
      <c r="AF935" s="1">
        <v>4550643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7057014</v>
      </c>
      <c r="AM935" s="1">
        <v>0</v>
      </c>
      <c r="AN935" s="1">
        <v>0</v>
      </c>
      <c r="AO935" s="1">
        <v>139866865</v>
      </c>
      <c r="AP935" s="1">
        <v>52778227</v>
      </c>
      <c r="AQ935" s="1">
        <v>87088638</v>
      </c>
      <c r="AR935" s="1">
        <v>21944212</v>
      </c>
      <c r="AS935" s="1">
        <v>3291632</v>
      </c>
      <c r="AT935" s="1">
        <f t="shared" si="96"/>
        <v>165102709</v>
      </c>
    </row>
    <row r="936" spans="1:46" x14ac:dyDescent="0.2">
      <c r="A936" s="1" t="str">
        <f>"01207"</f>
        <v>01207</v>
      </c>
      <c r="B936" s="1" t="str">
        <f>"ابوالفضل"</f>
        <v>ابوالفضل</v>
      </c>
      <c r="C936" s="1" t="str">
        <f>"شهابي"</f>
        <v>شهابي</v>
      </c>
      <c r="D936" s="1" t="str">
        <f t="shared" si="98"/>
        <v>قراردادي بهره بردار</v>
      </c>
      <c r="E936" s="1" t="str">
        <f>"پروژه بهره برداري نيروگاه بوشهر"</f>
        <v>پروژه بهره برداري نيروگاه بوشهر</v>
      </c>
      <c r="F936" s="1">
        <v>20951536</v>
      </c>
      <c r="G936" s="1">
        <v>20393493</v>
      </c>
      <c r="H936" s="1">
        <v>0</v>
      </c>
      <c r="I936" s="1">
        <v>16615460</v>
      </c>
      <c r="J936" s="1">
        <v>0</v>
      </c>
      <c r="K936" s="1">
        <v>5500000</v>
      </c>
      <c r="L936" s="1">
        <v>0</v>
      </c>
      <c r="M936" s="1">
        <v>1000000</v>
      </c>
      <c r="N936" s="1">
        <v>2905153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4609329</v>
      </c>
      <c r="W936" s="1">
        <v>1900000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2075109</v>
      </c>
      <c r="AF936" s="1">
        <v>1516881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3546032</v>
      </c>
      <c r="AM936" s="1">
        <v>0</v>
      </c>
      <c r="AN936" s="1">
        <v>0</v>
      </c>
      <c r="AO936" s="1">
        <v>81012993</v>
      </c>
      <c r="AP936" s="1">
        <v>31414040</v>
      </c>
      <c r="AQ936" s="1">
        <v>49598953</v>
      </c>
      <c r="AR936" s="1">
        <v>15899222</v>
      </c>
      <c r="AS936" s="1">
        <v>2384883</v>
      </c>
      <c r="AT936" s="1">
        <f t="shared" si="96"/>
        <v>99297098</v>
      </c>
    </row>
    <row r="937" spans="1:46" x14ac:dyDescent="0.2">
      <c r="A937" s="1" t="str">
        <f>"01208"</f>
        <v>01208</v>
      </c>
      <c r="B937" s="1" t="str">
        <f>"عليرضا"</f>
        <v>عليرضا</v>
      </c>
      <c r="C937" s="1" t="str">
        <f>"فياض"</f>
        <v>فياض</v>
      </c>
      <c r="D937" s="1" t="str">
        <f t="shared" ref="D937:D944" si="99">"قراردادي کارگري"</f>
        <v>قراردادي کارگري</v>
      </c>
      <c r="E937" s="1" t="str">
        <f t="shared" ref="E937:E944" si="100">"پروژه تعميرات نيروگاه بوشهر"</f>
        <v>پروژه تعميرات نيروگاه بوشهر</v>
      </c>
      <c r="F937" s="1">
        <v>6798018</v>
      </c>
      <c r="G937" s="1">
        <v>1974614</v>
      </c>
      <c r="H937" s="1">
        <v>0</v>
      </c>
      <c r="I937" s="1">
        <v>4554672</v>
      </c>
      <c r="J937" s="1">
        <v>0</v>
      </c>
      <c r="K937" s="1">
        <v>0</v>
      </c>
      <c r="L937" s="1">
        <v>7628143</v>
      </c>
      <c r="M937" s="1">
        <v>1000000</v>
      </c>
      <c r="N937" s="1">
        <v>3625609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5376653</v>
      </c>
      <c r="W937" s="1">
        <v>1900000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32857709</v>
      </c>
      <c r="AP937" s="1">
        <v>6344604</v>
      </c>
      <c r="AQ937" s="1">
        <v>26513105</v>
      </c>
      <c r="AR937" s="1">
        <v>6571542</v>
      </c>
      <c r="AS937" s="1">
        <v>985731</v>
      </c>
      <c r="AT937" s="1">
        <f t="shared" si="96"/>
        <v>40414982</v>
      </c>
    </row>
    <row r="938" spans="1:46" x14ac:dyDescent="0.2">
      <c r="A938" s="1" t="str">
        <f>"01209"</f>
        <v>01209</v>
      </c>
      <c r="B938" s="1" t="str">
        <f>"اسماعيل"</f>
        <v>اسماعيل</v>
      </c>
      <c r="C938" s="1" t="str">
        <f>"انصاري"</f>
        <v>انصاري</v>
      </c>
      <c r="D938" s="1" t="str">
        <f t="shared" si="99"/>
        <v>قراردادي کارگري</v>
      </c>
      <c r="E938" s="1" t="str">
        <f t="shared" si="100"/>
        <v>پروژه تعميرات نيروگاه بوشهر</v>
      </c>
      <c r="F938" s="1">
        <v>7115340</v>
      </c>
      <c r="G938" s="1">
        <v>5411913</v>
      </c>
      <c r="H938" s="1">
        <v>0</v>
      </c>
      <c r="I938" s="1">
        <v>4269204</v>
      </c>
      <c r="J938" s="1">
        <v>0</v>
      </c>
      <c r="K938" s="1">
        <v>0</v>
      </c>
      <c r="L938" s="1">
        <v>7628143</v>
      </c>
      <c r="M938" s="1">
        <v>1000000</v>
      </c>
      <c r="N938" s="1">
        <v>3794848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7870282</v>
      </c>
      <c r="W938" s="1">
        <v>1900000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3421130</v>
      </c>
      <c r="AE938" s="1">
        <v>0</v>
      </c>
      <c r="AF938" s="1">
        <v>3033762</v>
      </c>
      <c r="AG938" s="1">
        <v>0</v>
      </c>
      <c r="AH938" s="1">
        <v>0</v>
      </c>
      <c r="AI938" s="1">
        <v>0</v>
      </c>
      <c r="AJ938" s="1">
        <v>1385450</v>
      </c>
      <c r="AK938" s="1">
        <v>0</v>
      </c>
      <c r="AL938" s="1">
        <v>0</v>
      </c>
      <c r="AM938" s="1">
        <v>0</v>
      </c>
      <c r="AN938" s="1">
        <v>0</v>
      </c>
      <c r="AO938" s="1">
        <v>46830072</v>
      </c>
      <c r="AP938" s="1">
        <v>7164339</v>
      </c>
      <c r="AQ938" s="1">
        <v>39665733</v>
      </c>
      <c r="AR938" s="1">
        <v>8759262</v>
      </c>
      <c r="AS938" s="1">
        <v>1313889</v>
      </c>
      <c r="AT938" s="1">
        <f t="shared" si="96"/>
        <v>56903223</v>
      </c>
    </row>
    <row r="939" spans="1:46" x14ac:dyDescent="0.2">
      <c r="A939" s="1" t="str">
        <f>"01210"</f>
        <v>01210</v>
      </c>
      <c r="B939" s="1" t="str">
        <f>"رضا"</f>
        <v>رضا</v>
      </c>
      <c r="C939" s="1" t="str">
        <f>"يادگاري"</f>
        <v>يادگاري</v>
      </c>
      <c r="D939" s="1" t="str">
        <f t="shared" si="99"/>
        <v>قراردادي کارگري</v>
      </c>
      <c r="E939" s="1" t="str">
        <f t="shared" si="100"/>
        <v>پروژه تعميرات نيروگاه بوشهر</v>
      </c>
      <c r="F939" s="1">
        <v>6395263</v>
      </c>
      <c r="G939" s="1">
        <v>0</v>
      </c>
      <c r="H939" s="1">
        <v>0</v>
      </c>
      <c r="I939" s="1">
        <v>3837157</v>
      </c>
      <c r="J939" s="1">
        <v>0</v>
      </c>
      <c r="K939" s="1">
        <v>0</v>
      </c>
      <c r="L939" s="1">
        <v>7628143</v>
      </c>
      <c r="M939" s="1">
        <v>1000000</v>
      </c>
      <c r="N939" s="1">
        <v>3410807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7401751</v>
      </c>
      <c r="W939" s="1">
        <v>1900000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3033762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0</v>
      </c>
      <c r="AO939" s="1">
        <v>34606883</v>
      </c>
      <c r="AP939" s="1">
        <v>6116460</v>
      </c>
      <c r="AQ939" s="1">
        <v>28490423</v>
      </c>
      <c r="AR939" s="1">
        <v>6314624</v>
      </c>
      <c r="AS939" s="1">
        <v>947194</v>
      </c>
      <c r="AT939" s="1">
        <f t="shared" si="96"/>
        <v>41868701</v>
      </c>
    </row>
    <row r="940" spans="1:46" x14ac:dyDescent="0.2">
      <c r="A940" s="1" t="str">
        <f>"01211"</f>
        <v>01211</v>
      </c>
      <c r="B940" s="1" t="str">
        <f>"اميد"</f>
        <v>اميد</v>
      </c>
      <c r="C940" s="1" t="str">
        <f>"غريبي"</f>
        <v>غريبي</v>
      </c>
      <c r="D940" s="1" t="str">
        <f t="shared" si="99"/>
        <v>قراردادي کارگري</v>
      </c>
      <c r="E940" s="1" t="str">
        <f t="shared" si="100"/>
        <v>پروژه تعميرات نيروگاه بوشهر</v>
      </c>
      <c r="F940" s="1">
        <v>6462389</v>
      </c>
      <c r="G940" s="1">
        <v>10544972</v>
      </c>
      <c r="H940" s="1">
        <v>0</v>
      </c>
      <c r="I940" s="1">
        <v>3877434</v>
      </c>
      <c r="J940" s="1">
        <v>0</v>
      </c>
      <c r="K940" s="1">
        <v>0</v>
      </c>
      <c r="L940" s="1">
        <v>7628143</v>
      </c>
      <c r="M940" s="1">
        <v>1000000</v>
      </c>
      <c r="N940" s="1">
        <v>3446607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7323372</v>
      </c>
      <c r="W940" s="1">
        <v>1900000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0</v>
      </c>
      <c r="AO940" s="1">
        <v>42182917</v>
      </c>
      <c r="AP940" s="1">
        <v>4364616</v>
      </c>
      <c r="AQ940" s="1">
        <v>37818301</v>
      </c>
      <c r="AR940" s="1">
        <v>8436583</v>
      </c>
      <c r="AS940" s="1">
        <v>1265488</v>
      </c>
      <c r="AT940" s="1">
        <f t="shared" si="96"/>
        <v>51884988</v>
      </c>
    </row>
    <row r="941" spans="1:46" x14ac:dyDescent="0.2">
      <c r="A941" s="1" t="str">
        <f>"01212"</f>
        <v>01212</v>
      </c>
      <c r="B941" s="1" t="str">
        <f>"پيمان"</f>
        <v>پيمان</v>
      </c>
      <c r="C941" s="1" t="str">
        <f>"زارعي"</f>
        <v>زارعي</v>
      </c>
      <c r="D941" s="1" t="str">
        <f t="shared" si="99"/>
        <v>قراردادي کارگري</v>
      </c>
      <c r="E941" s="1" t="str">
        <f t="shared" si="100"/>
        <v>پروژه تعميرات نيروگاه بوشهر</v>
      </c>
      <c r="F941" s="1">
        <v>6401365</v>
      </c>
      <c r="G941" s="1">
        <v>7660560</v>
      </c>
      <c r="H941" s="1">
        <v>0</v>
      </c>
      <c r="I941" s="1">
        <v>3840819</v>
      </c>
      <c r="J941" s="1">
        <v>0</v>
      </c>
      <c r="K941" s="1">
        <v>0</v>
      </c>
      <c r="L941" s="1">
        <v>7628143</v>
      </c>
      <c r="M941" s="1">
        <v>1000000</v>
      </c>
      <c r="N941" s="1">
        <v>3414061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7284317</v>
      </c>
      <c r="W941" s="1">
        <v>1900000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39129265</v>
      </c>
      <c r="AP941" s="1">
        <v>5339136</v>
      </c>
      <c r="AQ941" s="1">
        <v>33790129</v>
      </c>
      <c r="AR941" s="1">
        <v>7825853</v>
      </c>
      <c r="AS941" s="1">
        <v>1173878</v>
      </c>
      <c r="AT941" s="1">
        <f t="shared" si="96"/>
        <v>48128996</v>
      </c>
    </row>
    <row r="942" spans="1:46" x14ac:dyDescent="0.2">
      <c r="A942" s="1" t="str">
        <f>"01214"</f>
        <v>01214</v>
      </c>
      <c r="B942" s="1" t="str">
        <f>"سيدمحمد"</f>
        <v>سيدمحمد</v>
      </c>
      <c r="C942" s="1" t="str">
        <f>"مساوات"</f>
        <v>مساوات</v>
      </c>
      <c r="D942" s="1" t="str">
        <f t="shared" si="99"/>
        <v>قراردادي کارگري</v>
      </c>
      <c r="E942" s="1" t="str">
        <f t="shared" si="100"/>
        <v>پروژه تعميرات نيروگاه بوشهر</v>
      </c>
      <c r="F942" s="1">
        <v>6560027</v>
      </c>
      <c r="G942" s="1">
        <v>0</v>
      </c>
      <c r="H942" s="1">
        <v>0</v>
      </c>
      <c r="I942" s="1">
        <v>3936016</v>
      </c>
      <c r="J942" s="1">
        <v>0</v>
      </c>
      <c r="K942" s="1">
        <v>0</v>
      </c>
      <c r="L942" s="1">
        <v>7628143</v>
      </c>
      <c r="M942" s="1">
        <v>1000000</v>
      </c>
      <c r="N942" s="1">
        <v>3498682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7385860</v>
      </c>
      <c r="W942" s="1">
        <v>1900000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0</v>
      </c>
      <c r="AO942" s="1">
        <v>31908728</v>
      </c>
      <c r="AP942" s="1">
        <v>4382175</v>
      </c>
      <c r="AQ942" s="1">
        <v>27526553</v>
      </c>
      <c r="AR942" s="1">
        <v>6381746</v>
      </c>
      <c r="AS942" s="1">
        <v>957262</v>
      </c>
      <c r="AT942" s="1">
        <f t="shared" si="96"/>
        <v>39247736</v>
      </c>
    </row>
    <row r="943" spans="1:46" x14ac:dyDescent="0.2">
      <c r="A943" s="1" t="str">
        <f>"01215"</f>
        <v>01215</v>
      </c>
      <c r="B943" s="1" t="str">
        <f>"عبدالمحمد"</f>
        <v>عبدالمحمد</v>
      </c>
      <c r="C943" s="1" t="str">
        <f>"ماهيني"</f>
        <v>ماهيني</v>
      </c>
      <c r="D943" s="1" t="str">
        <f t="shared" si="99"/>
        <v>قراردادي کارگري</v>
      </c>
      <c r="E943" s="1" t="str">
        <f t="shared" si="100"/>
        <v>پروژه تعميرات نيروگاه بوشهر</v>
      </c>
      <c r="F943" s="1">
        <v>6071839</v>
      </c>
      <c r="G943" s="1">
        <v>3497634</v>
      </c>
      <c r="H943" s="1">
        <v>0</v>
      </c>
      <c r="I943" s="1">
        <v>3643103</v>
      </c>
      <c r="J943" s="1">
        <v>0</v>
      </c>
      <c r="K943" s="1">
        <v>0</v>
      </c>
      <c r="L943" s="1">
        <v>7628143</v>
      </c>
      <c r="M943" s="1">
        <v>1000000</v>
      </c>
      <c r="N943" s="1">
        <v>3238315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6955529</v>
      </c>
      <c r="W943" s="1">
        <v>1900000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3087210</v>
      </c>
      <c r="AE943" s="1">
        <v>0</v>
      </c>
      <c r="AF943" s="1">
        <v>1516881</v>
      </c>
      <c r="AG943" s="1">
        <v>0</v>
      </c>
      <c r="AH943" s="1">
        <v>0</v>
      </c>
      <c r="AI943" s="1">
        <v>0</v>
      </c>
      <c r="AJ943" s="1">
        <v>3730810</v>
      </c>
      <c r="AK943" s="1">
        <v>0</v>
      </c>
      <c r="AL943" s="1">
        <v>0</v>
      </c>
      <c r="AM943" s="1">
        <v>0</v>
      </c>
      <c r="AN943" s="1">
        <v>0</v>
      </c>
      <c r="AO943" s="1">
        <v>42269464</v>
      </c>
      <c r="AP943" s="1">
        <v>5151116</v>
      </c>
      <c r="AQ943" s="1">
        <v>37118348</v>
      </c>
      <c r="AR943" s="1">
        <v>8150517</v>
      </c>
      <c r="AS943" s="1">
        <v>1222577</v>
      </c>
      <c r="AT943" s="1">
        <f t="shared" si="96"/>
        <v>51642558</v>
      </c>
    </row>
    <row r="944" spans="1:46" x14ac:dyDescent="0.2">
      <c r="A944" s="1" t="str">
        <f>"01216"</f>
        <v>01216</v>
      </c>
      <c r="B944" s="1" t="str">
        <f>"محمدصادق"</f>
        <v>محمدصادق</v>
      </c>
      <c r="C944" s="1" t="str">
        <f>"احمدي"</f>
        <v>احمدي</v>
      </c>
      <c r="D944" s="1" t="str">
        <f t="shared" si="99"/>
        <v>قراردادي کارگري</v>
      </c>
      <c r="E944" s="1" t="str">
        <f t="shared" si="100"/>
        <v>پروژه تعميرات نيروگاه بوشهر</v>
      </c>
      <c r="F944" s="1">
        <v>5827745</v>
      </c>
      <c r="G944" s="1">
        <v>2108697</v>
      </c>
      <c r="H944" s="1">
        <v>0</v>
      </c>
      <c r="I944" s="1">
        <v>3496647</v>
      </c>
      <c r="J944" s="1">
        <v>0</v>
      </c>
      <c r="K944" s="1">
        <v>0</v>
      </c>
      <c r="L944" s="1">
        <v>7628143</v>
      </c>
      <c r="M944" s="1">
        <v>1000000</v>
      </c>
      <c r="N944" s="1">
        <v>3108131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4842040</v>
      </c>
      <c r="W944" s="1">
        <v>1900000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1516881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0</v>
      </c>
      <c r="AO944" s="1">
        <v>31428284</v>
      </c>
      <c r="AP944" s="1">
        <v>4278642</v>
      </c>
      <c r="AQ944" s="1">
        <v>27149642</v>
      </c>
      <c r="AR944" s="1">
        <v>5982281</v>
      </c>
      <c r="AS944" s="1">
        <v>897342</v>
      </c>
      <c r="AT944" s="1">
        <f t="shared" si="96"/>
        <v>38307907</v>
      </c>
    </row>
    <row r="945" spans="1:46" x14ac:dyDescent="0.2">
      <c r="A945" s="1" t="str">
        <f>"01217"</f>
        <v>01217</v>
      </c>
      <c r="B945" s="1" t="str">
        <f>"ابراهيم"</f>
        <v>ابراهيم</v>
      </c>
      <c r="C945" s="1" t="str">
        <f>"محمدي نژاد"</f>
        <v>محمدي نژاد</v>
      </c>
      <c r="D945" s="1" t="str">
        <f>"قراردادي بهره بردار"</f>
        <v>قراردادي بهره بردار</v>
      </c>
      <c r="E945" s="1" t="str">
        <f>"پروژه بهره برداري نيروگاه بوشهر"</f>
        <v>پروژه بهره برداري نيروگاه بوشهر</v>
      </c>
      <c r="F945" s="1">
        <v>14364201</v>
      </c>
      <c r="G945" s="1">
        <v>38333811</v>
      </c>
      <c r="H945" s="1">
        <v>0</v>
      </c>
      <c r="I945" s="1">
        <v>14034226</v>
      </c>
      <c r="J945" s="1">
        <v>0</v>
      </c>
      <c r="K945" s="1">
        <v>4620000</v>
      </c>
      <c r="L945" s="1">
        <v>0</v>
      </c>
      <c r="M945" s="1">
        <v>1000000</v>
      </c>
      <c r="N945" s="1">
        <v>2773274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1606000</v>
      </c>
      <c r="U945" s="1">
        <v>0</v>
      </c>
      <c r="V945" s="1">
        <v>8327719</v>
      </c>
      <c r="W945" s="1">
        <v>1900000</v>
      </c>
      <c r="X945" s="1">
        <v>2085126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1980910</v>
      </c>
      <c r="AF945" s="1">
        <v>1516881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11261889</v>
      </c>
      <c r="AM945" s="1">
        <v>0</v>
      </c>
      <c r="AN945" s="1">
        <v>0</v>
      </c>
      <c r="AO945" s="1">
        <v>103804037</v>
      </c>
      <c r="AP945" s="1">
        <v>19731763</v>
      </c>
      <c r="AQ945" s="1">
        <v>84072274</v>
      </c>
      <c r="AR945" s="1">
        <v>20136231</v>
      </c>
      <c r="AS945" s="1">
        <v>3020435</v>
      </c>
      <c r="AT945" s="1">
        <f t="shared" si="96"/>
        <v>126960703</v>
      </c>
    </row>
    <row r="946" spans="1:46" x14ac:dyDescent="0.2">
      <c r="A946" s="1" t="str">
        <f>"01218"</f>
        <v>01218</v>
      </c>
      <c r="B946" s="1" t="str">
        <f>"عليرضا"</f>
        <v>عليرضا</v>
      </c>
      <c r="C946" s="1" t="str">
        <f>"حاجياني"</f>
        <v>حاجياني</v>
      </c>
      <c r="D946" s="1" t="str">
        <f>"قراردادي بهره بردار"</f>
        <v>قراردادي بهره بردار</v>
      </c>
      <c r="E946" s="1" t="str">
        <f>"پروژه بهره برداري نيروگاه بوشهر"</f>
        <v>پروژه بهره برداري نيروگاه بوشهر</v>
      </c>
      <c r="F946" s="1">
        <v>14243715</v>
      </c>
      <c r="G946" s="1">
        <v>18675890</v>
      </c>
      <c r="H946" s="1">
        <v>0</v>
      </c>
      <c r="I946" s="1">
        <v>14619005</v>
      </c>
      <c r="J946" s="1">
        <v>0</v>
      </c>
      <c r="K946" s="1">
        <v>4620000</v>
      </c>
      <c r="L946" s="1">
        <v>0</v>
      </c>
      <c r="M946" s="1">
        <v>1000000</v>
      </c>
      <c r="N946" s="1">
        <v>2731104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1606000</v>
      </c>
      <c r="U946" s="1">
        <v>0</v>
      </c>
      <c r="V946" s="1">
        <v>8263771</v>
      </c>
      <c r="W946" s="1">
        <v>1900000</v>
      </c>
      <c r="X946" s="1">
        <v>2067636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1950789</v>
      </c>
      <c r="AF946" s="1">
        <v>3033762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11124424</v>
      </c>
      <c r="AM946" s="1">
        <v>0</v>
      </c>
      <c r="AN946" s="1">
        <v>0</v>
      </c>
      <c r="AO946" s="1">
        <v>85836096</v>
      </c>
      <c r="AP946" s="1">
        <v>29715637</v>
      </c>
      <c r="AQ946" s="1">
        <v>56120459</v>
      </c>
      <c r="AR946" s="1">
        <v>16239267</v>
      </c>
      <c r="AS946" s="1">
        <v>2435890</v>
      </c>
      <c r="AT946" s="1">
        <f t="shared" si="96"/>
        <v>104511253</v>
      </c>
    </row>
    <row r="947" spans="1:46" x14ac:dyDescent="0.2">
      <c r="A947" s="1" t="str">
        <f>"01219"</f>
        <v>01219</v>
      </c>
      <c r="B947" s="1" t="str">
        <f>"محسن"</f>
        <v>محسن</v>
      </c>
      <c r="C947" s="1" t="str">
        <f>"قيصي زاده"</f>
        <v>قيصي زاده</v>
      </c>
      <c r="D947" s="1" t="str">
        <f>"قراردادي بهره بردار"</f>
        <v>قراردادي بهره بردار</v>
      </c>
      <c r="E947" s="1" t="str">
        <f>"پروژه بهره برداري نيروگاه بوشهر"</f>
        <v>پروژه بهره برداري نيروگاه بوشهر</v>
      </c>
      <c r="F947" s="1">
        <v>28951851</v>
      </c>
      <c r="G947" s="1">
        <v>20161729</v>
      </c>
      <c r="H947" s="1">
        <v>0</v>
      </c>
      <c r="I947" s="1">
        <v>22721263</v>
      </c>
      <c r="J947" s="1">
        <v>0</v>
      </c>
      <c r="K947" s="1">
        <v>5500000</v>
      </c>
      <c r="L947" s="1">
        <v>0</v>
      </c>
      <c r="M947" s="1">
        <v>1000000</v>
      </c>
      <c r="N947" s="1">
        <v>4264571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6584766</v>
      </c>
      <c r="W947" s="1">
        <v>1900000</v>
      </c>
      <c r="X947" s="1">
        <v>0</v>
      </c>
      <c r="Y947" s="1">
        <v>0</v>
      </c>
      <c r="Z947" s="1">
        <v>7127638</v>
      </c>
      <c r="AA947" s="1">
        <v>0</v>
      </c>
      <c r="AB947" s="1">
        <v>0</v>
      </c>
      <c r="AC947" s="1">
        <v>0</v>
      </c>
      <c r="AD947" s="1">
        <v>0</v>
      </c>
      <c r="AE947" s="1">
        <v>3046122</v>
      </c>
      <c r="AF947" s="1">
        <v>1516881</v>
      </c>
      <c r="AG947" s="1">
        <v>4037750</v>
      </c>
      <c r="AH947" s="1">
        <v>0</v>
      </c>
      <c r="AI947" s="1">
        <v>0</v>
      </c>
      <c r="AJ947" s="1">
        <v>0</v>
      </c>
      <c r="AK947" s="1">
        <v>0</v>
      </c>
      <c r="AL947" s="1">
        <v>3655346</v>
      </c>
      <c r="AM947" s="1">
        <v>0</v>
      </c>
      <c r="AN947" s="1">
        <v>0</v>
      </c>
      <c r="AO947" s="1">
        <v>110467917</v>
      </c>
      <c r="AP947" s="1">
        <v>10531716</v>
      </c>
      <c r="AQ947" s="1">
        <v>99936201</v>
      </c>
      <c r="AR947" s="1">
        <v>20364680</v>
      </c>
      <c r="AS947" s="1">
        <v>3054702</v>
      </c>
      <c r="AT947" s="1">
        <f t="shared" si="96"/>
        <v>133887299</v>
      </c>
    </row>
    <row r="948" spans="1:46" x14ac:dyDescent="0.2">
      <c r="A948" s="1" t="str">
        <f>"01220"</f>
        <v>01220</v>
      </c>
      <c r="B948" s="1" t="str">
        <f>"امير"</f>
        <v>امير</v>
      </c>
      <c r="C948" s="1" t="str">
        <f>"عالي پور"</f>
        <v>عالي پور</v>
      </c>
      <c r="D948" s="1" t="str">
        <f>"قراردادي کارگري"</f>
        <v>قراردادي کارگري</v>
      </c>
      <c r="E948" s="1" t="str">
        <f>"پروژه تعميرات نيروگاه بوشهر"</f>
        <v>پروژه تعميرات نيروگاه بوشهر</v>
      </c>
      <c r="F948" s="1">
        <v>5571445</v>
      </c>
      <c r="G948" s="1">
        <v>1811130</v>
      </c>
      <c r="H948" s="1">
        <v>0</v>
      </c>
      <c r="I948" s="1">
        <v>3342867</v>
      </c>
      <c r="J948" s="1">
        <v>0</v>
      </c>
      <c r="K948" s="1">
        <v>0</v>
      </c>
      <c r="L948" s="1">
        <v>7628143</v>
      </c>
      <c r="M948" s="1">
        <v>1000000</v>
      </c>
      <c r="N948" s="1">
        <v>2971437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9004224</v>
      </c>
      <c r="W948" s="1">
        <v>1900000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2927084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2575830</v>
      </c>
      <c r="AK948" s="1">
        <v>0</v>
      </c>
      <c r="AL948" s="1">
        <v>0</v>
      </c>
      <c r="AM948" s="1">
        <v>0</v>
      </c>
      <c r="AN948" s="1">
        <v>0</v>
      </c>
      <c r="AO948" s="1">
        <v>38732160</v>
      </c>
      <c r="AP948" s="1">
        <v>9154972</v>
      </c>
      <c r="AQ948" s="1">
        <v>29577188</v>
      </c>
      <c r="AR948" s="1">
        <v>7746432</v>
      </c>
      <c r="AS948" s="1">
        <v>1161965</v>
      </c>
      <c r="AT948" s="1">
        <f t="shared" si="96"/>
        <v>47640557</v>
      </c>
    </row>
    <row r="949" spans="1:46" x14ac:dyDescent="0.2">
      <c r="A949" s="1" t="str">
        <f>"01221"</f>
        <v>01221</v>
      </c>
      <c r="B949" s="1" t="str">
        <f>"بهروز"</f>
        <v>بهروز</v>
      </c>
      <c r="C949" s="1" t="str">
        <f>"ايسپره"</f>
        <v>ايسپره</v>
      </c>
      <c r="D949" s="1" t="str">
        <f t="shared" ref="D949:D961" si="101">"قراردادي بهره بردار"</f>
        <v>قراردادي بهره بردار</v>
      </c>
      <c r="E949" s="1" t="str">
        <f t="shared" ref="E949:E961" si="102">"پروژه بهره برداري نيروگاه بوشهر"</f>
        <v>پروژه بهره برداري نيروگاه بوشهر</v>
      </c>
      <c r="F949" s="1">
        <v>17950321</v>
      </c>
      <c r="G949" s="1">
        <v>14267656</v>
      </c>
      <c r="H949" s="1">
        <v>0</v>
      </c>
      <c r="I949" s="1">
        <v>14248155</v>
      </c>
      <c r="J949" s="1">
        <v>0</v>
      </c>
      <c r="K949" s="1">
        <v>0</v>
      </c>
      <c r="L949" s="1">
        <v>0</v>
      </c>
      <c r="M949" s="1">
        <v>1000000</v>
      </c>
      <c r="N949" s="1">
        <v>2728804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1606000</v>
      </c>
      <c r="U949" s="1">
        <v>0</v>
      </c>
      <c r="V949" s="1">
        <v>4165780</v>
      </c>
      <c r="W949" s="1">
        <v>1900000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1949144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4781349</v>
      </c>
      <c r="AM949" s="1">
        <v>0</v>
      </c>
      <c r="AN949" s="1">
        <v>0</v>
      </c>
      <c r="AO949" s="1">
        <v>64597209</v>
      </c>
      <c r="AP949" s="1">
        <v>14402441</v>
      </c>
      <c r="AQ949" s="1">
        <v>50194768</v>
      </c>
      <c r="AR949" s="1">
        <v>12598242</v>
      </c>
      <c r="AS949" s="1">
        <v>1889736</v>
      </c>
      <c r="AT949" s="1">
        <f t="shared" si="96"/>
        <v>79085187</v>
      </c>
    </row>
    <row r="950" spans="1:46" x14ac:dyDescent="0.2">
      <c r="A950" s="1" t="str">
        <f>"01222"</f>
        <v>01222</v>
      </c>
      <c r="B950" s="1" t="str">
        <f>"محمد"</f>
        <v>محمد</v>
      </c>
      <c r="C950" s="1" t="str">
        <f>"اومن"</f>
        <v>اومن</v>
      </c>
      <c r="D950" s="1" t="str">
        <f t="shared" si="101"/>
        <v>قراردادي بهره بردار</v>
      </c>
      <c r="E950" s="1" t="str">
        <f t="shared" si="102"/>
        <v>پروژه بهره برداري نيروگاه بوشهر</v>
      </c>
      <c r="F950" s="1">
        <v>16684117</v>
      </c>
      <c r="G950" s="1">
        <v>7781624</v>
      </c>
      <c r="H950" s="1">
        <v>0</v>
      </c>
      <c r="I950" s="1">
        <v>11804654</v>
      </c>
      <c r="J950" s="1">
        <v>0</v>
      </c>
      <c r="K950" s="1">
        <v>4125000</v>
      </c>
      <c r="L950" s="1">
        <v>0</v>
      </c>
      <c r="M950" s="1">
        <v>1000000</v>
      </c>
      <c r="N950" s="1">
        <v>2481149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1606000</v>
      </c>
      <c r="U950" s="1">
        <v>0</v>
      </c>
      <c r="V950" s="1">
        <v>8752122</v>
      </c>
      <c r="W950" s="1">
        <v>1900000</v>
      </c>
      <c r="X950" s="1">
        <v>2421888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1772249</v>
      </c>
      <c r="AF950" s="1">
        <v>0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11018440</v>
      </c>
      <c r="AM950" s="1">
        <v>0</v>
      </c>
      <c r="AN950" s="1">
        <v>0</v>
      </c>
      <c r="AO950" s="1">
        <v>71347243</v>
      </c>
      <c r="AP950" s="1">
        <v>19815827</v>
      </c>
      <c r="AQ950" s="1">
        <v>51531416</v>
      </c>
      <c r="AR950" s="1">
        <v>13948249</v>
      </c>
      <c r="AS950" s="1">
        <v>2092237</v>
      </c>
      <c r="AT950" s="1">
        <f t="shared" si="96"/>
        <v>87387729</v>
      </c>
    </row>
    <row r="951" spans="1:46" x14ac:dyDescent="0.2">
      <c r="A951" s="1" t="str">
        <f>"01223"</f>
        <v>01223</v>
      </c>
      <c r="B951" s="1" t="str">
        <f>"مهدي"</f>
        <v>مهدي</v>
      </c>
      <c r="C951" s="1" t="str">
        <f>"سالاروند"</f>
        <v>سالاروند</v>
      </c>
      <c r="D951" s="1" t="str">
        <f t="shared" si="101"/>
        <v>قراردادي بهره بردار</v>
      </c>
      <c r="E951" s="1" t="str">
        <f t="shared" si="102"/>
        <v>پروژه بهره برداري نيروگاه بوشهر</v>
      </c>
      <c r="F951" s="1">
        <v>16881277</v>
      </c>
      <c r="G951" s="1">
        <v>10365959</v>
      </c>
      <c r="H951" s="1">
        <v>0</v>
      </c>
      <c r="I951" s="1">
        <v>11643414</v>
      </c>
      <c r="J951" s="1">
        <v>0</v>
      </c>
      <c r="K951" s="1">
        <v>5500000</v>
      </c>
      <c r="L951" s="1">
        <v>0</v>
      </c>
      <c r="M951" s="1">
        <v>1000000</v>
      </c>
      <c r="N951" s="1">
        <v>2745672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1606000</v>
      </c>
      <c r="U951" s="1">
        <v>0</v>
      </c>
      <c r="V951" s="1">
        <v>7651066</v>
      </c>
      <c r="W951" s="1">
        <v>1900000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1961194</v>
      </c>
      <c r="AF951" s="1">
        <v>1516881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5023768</v>
      </c>
      <c r="AM951" s="1">
        <v>0</v>
      </c>
      <c r="AN951" s="1">
        <v>0</v>
      </c>
      <c r="AO951" s="1">
        <v>67795231</v>
      </c>
      <c r="AP951" s="1">
        <v>22957802</v>
      </c>
      <c r="AQ951" s="1">
        <v>44837429</v>
      </c>
      <c r="AR951" s="1">
        <v>12934470</v>
      </c>
      <c r="AS951" s="1">
        <v>1940171</v>
      </c>
      <c r="AT951" s="1">
        <f t="shared" si="96"/>
        <v>82669872</v>
      </c>
    </row>
    <row r="952" spans="1:46" x14ac:dyDescent="0.2">
      <c r="A952" s="1" t="str">
        <f>"01224"</f>
        <v>01224</v>
      </c>
      <c r="B952" s="1" t="str">
        <f>"يوسف"</f>
        <v>يوسف</v>
      </c>
      <c r="C952" s="1" t="str">
        <f>"رضايي بانبيدي"</f>
        <v>رضايي بانبيدي</v>
      </c>
      <c r="D952" s="1" t="str">
        <f t="shared" si="101"/>
        <v>قراردادي بهره بردار</v>
      </c>
      <c r="E952" s="1" t="str">
        <f t="shared" si="102"/>
        <v>پروژه بهره برداري نيروگاه بوشهر</v>
      </c>
      <c r="F952" s="1">
        <v>12819781</v>
      </c>
      <c r="G952" s="1">
        <v>1287557</v>
      </c>
      <c r="H952" s="1">
        <v>0</v>
      </c>
      <c r="I952" s="1">
        <v>9181357</v>
      </c>
      <c r="J952" s="1">
        <v>0</v>
      </c>
      <c r="K952" s="1">
        <v>4620000</v>
      </c>
      <c r="L952" s="1">
        <v>0</v>
      </c>
      <c r="M952" s="1">
        <v>1000000</v>
      </c>
      <c r="N952" s="1">
        <v>2462747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1606000</v>
      </c>
      <c r="U952" s="1">
        <v>0</v>
      </c>
      <c r="V952" s="1">
        <v>5302407</v>
      </c>
      <c r="W952" s="1">
        <v>1900000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1759105</v>
      </c>
      <c r="AF952" s="1">
        <v>1516881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4967644</v>
      </c>
      <c r="AM952" s="1">
        <v>0</v>
      </c>
      <c r="AN952" s="1">
        <v>0</v>
      </c>
      <c r="AO952" s="1">
        <v>48423479</v>
      </c>
      <c r="AP952" s="1">
        <v>20609507</v>
      </c>
      <c r="AQ952" s="1">
        <v>27813972</v>
      </c>
      <c r="AR952" s="1">
        <v>9060120</v>
      </c>
      <c r="AS952" s="1">
        <v>1359018</v>
      </c>
      <c r="AT952" s="1">
        <f t="shared" si="96"/>
        <v>58842617</v>
      </c>
    </row>
    <row r="953" spans="1:46" x14ac:dyDescent="0.2">
      <c r="A953" s="1" t="str">
        <f>"01225"</f>
        <v>01225</v>
      </c>
      <c r="B953" s="1" t="str">
        <f>"حامد"</f>
        <v>حامد</v>
      </c>
      <c r="C953" s="1" t="str">
        <f>"علي نژاد"</f>
        <v>علي نژاد</v>
      </c>
      <c r="D953" s="1" t="str">
        <f t="shared" si="101"/>
        <v>قراردادي بهره بردار</v>
      </c>
      <c r="E953" s="1" t="str">
        <f t="shared" si="102"/>
        <v>پروژه بهره برداري نيروگاه بوشهر</v>
      </c>
      <c r="F953" s="1">
        <v>17726875</v>
      </c>
      <c r="G953" s="1">
        <v>9478536</v>
      </c>
      <c r="H953" s="1">
        <v>0</v>
      </c>
      <c r="I953" s="1">
        <v>12005728</v>
      </c>
      <c r="J953" s="1">
        <v>0</v>
      </c>
      <c r="K953" s="1">
        <v>5500000</v>
      </c>
      <c r="L953" s="1">
        <v>0</v>
      </c>
      <c r="M953" s="1">
        <v>1000000</v>
      </c>
      <c r="N953" s="1">
        <v>2846114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1606000</v>
      </c>
      <c r="U953" s="1">
        <v>0</v>
      </c>
      <c r="V953" s="1">
        <v>7395431</v>
      </c>
      <c r="W953" s="1">
        <v>1900000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2032939</v>
      </c>
      <c r="AF953" s="1">
        <v>1516881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4311670</v>
      </c>
      <c r="AM953" s="1">
        <v>0</v>
      </c>
      <c r="AN953" s="1">
        <v>0</v>
      </c>
      <c r="AO953" s="1">
        <v>67320174</v>
      </c>
      <c r="AP953" s="1">
        <v>11588913</v>
      </c>
      <c r="AQ953" s="1">
        <v>55731261</v>
      </c>
      <c r="AR953" s="1">
        <v>12839459</v>
      </c>
      <c r="AS953" s="1">
        <v>1925919</v>
      </c>
      <c r="AT953" s="1">
        <f t="shared" si="96"/>
        <v>82085552</v>
      </c>
    </row>
    <row r="954" spans="1:46" x14ac:dyDescent="0.2">
      <c r="A954" s="1" t="str">
        <f>"01226"</f>
        <v>01226</v>
      </c>
      <c r="B954" s="1" t="str">
        <f>"حيدر"</f>
        <v>حيدر</v>
      </c>
      <c r="C954" s="1" t="str">
        <f>"مير علايي"</f>
        <v>مير علايي</v>
      </c>
      <c r="D954" s="1" t="str">
        <f t="shared" si="101"/>
        <v>قراردادي بهره بردار</v>
      </c>
      <c r="E954" s="1" t="str">
        <f t="shared" si="102"/>
        <v>پروژه بهره برداري نيروگاه بوشهر</v>
      </c>
      <c r="F954" s="1">
        <v>12747489</v>
      </c>
      <c r="G954" s="1">
        <v>5092936</v>
      </c>
      <c r="H954" s="1">
        <v>0</v>
      </c>
      <c r="I954" s="1">
        <v>8140510</v>
      </c>
      <c r="J954" s="1">
        <v>0</v>
      </c>
      <c r="K954" s="1">
        <v>0</v>
      </c>
      <c r="L954" s="1">
        <v>0</v>
      </c>
      <c r="M954" s="1">
        <v>1000000</v>
      </c>
      <c r="N954" s="1">
        <v>2180590</v>
      </c>
      <c r="O954" s="1">
        <v>0</v>
      </c>
      <c r="P954" s="1">
        <v>0</v>
      </c>
      <c r="Q954" s="1">
        <v>0</v>
      </c>
      <c r="R954" s="1">
        <v>66526</v>
      </c>
      <c r="S954" s="1">
        <v>0</v>
      </c>
      <c r="T954" s="1">
        <v>0</v>
      </c>
      <c r="U954" s="1">
        <v>0</v>
      </c>
      <c r="V954" s="1">
        <v>5728110</v>
      </c>
      <c r="W954" s="1">
        <v>1900000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1557564</v>
      </c>
      <c r="AF954" s="1">
        <v>1516881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4014397</v>
      </c>
      <c r="AM954" s="1">
        <v>0</v>
      </c>
      <c r="AN954" s="1">
        <v>0</v>
      </c>
      <c r="AO954" s="1">
        <v>43945003</v>
      </c>
      <c r="AP954" s="1">
        <v>9175383</v>
      </c>
      <c r="AQ954" s="1">
        <v>34769620</v>
      </c>
      <c r="AR954" s="1">
        <v>8472319</v>
      </c>
      <c r="AS954" s="1">
        <v>1270848</v>
      </c>
      <c r="AT954" s="1">
        <f t="shared" si="96"/>
        <v>53688170</v>
      </c>
    </row>
    <row r="955" spans="1:46" x14ac:dyDescent="0.2">
      <c r="A955" s="1" t="str">
        <f>"01227"</f>
        <v>01227</v>
      </c>
      <c r="B955" s="1" t="str">
        <f>"اصغر"</f>
        <v>اصغر</v>
      </c>
      <c r="C955" s="1" t="str">
        <f>"خسروي"</f>
        <v>خسروي</v>
      </c>
      <c r="D955" s="1" t="str">
        <f t="shared" si="101"/>
        <v>قراردادي بهره بردار</v>
      </c>
      <c r="E955" s="1" t="str">
        <f t="shared" si="102"/>
        <v>پروژه بهره برداري نيروگاه بوشهر</v>
      </c>
      <c r="F955" s="1">
        <v>11658728</v>
      </c>
      <c r="G955" s="1">
        <v>0</v>
      </c>
      <c r="H955" s="1">
        <v>0</v>
      </c>
      <c r="I955" s="1">
        <v>7584302</v>
      </c>
      <c r="J955" s="1">
        <v>0</v>
      </c>
      <c r="K955" s="1">
        <v>4620000</v>
      </c>
      <c r="L955" s="1">
        <v>0</v>
      </c>
      <c r="M955" s="1">
        <v>1000000</v>
      </c>
      <c r="N955" s="1">
        <v>2056379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5328598</v>
      </c>
      <c r="W955" s="1">
        <v>1900000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1468842</v>
      </c>
      <c r="AF955" s="1">
        <v>1516881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3874742</v>
      </c>
      <c r="AM955" s="1">
        <v>0</v>
      </c>
      <c r="AN955" s="1">
        <v>0</v>
      </c>
      <c r="AO955" s="1">
        <v>41008472</v>
      </c>
      <c r="AP955" s="1">
        <v>13431784</v>
      </c>
      <c r="AQ955" s="1">
        <v>27576688</v>
      </c>
      <c r="AR955" s="1">
        <v>7898318</v>
      </c>
      <c r="AS955" s="1">
        <v>1184748</v>
      </c>
      <c r="AT955" s="1">
        <f t="shared" si="96"/>
        <v>50091538</v>
      </c>
    </row>
    <row r="956" spans="1:46" x14ac:dyDescent="0.2">
      <c r="A956" s="1" t="str">
        <f>"01228"</f>
        <v>01228</v>
      </c>
      <c r="B956" s="1" t="str">
        <f>"پيمان"</f>
        <v>پيمان</v>
      </c>
      <c r="C956" s="1" t="str">
        <f>"قائدي"</f>
        <v>قائدي</v>
      </c>
      <c r="D956" s="1" t="str">
        <f t="shared" si="101"/>
        <v>قراردادي بهره بردار</v>
      </c>
      <c r="E956" s="1" t="str">
        <f t="shared" si="102"/>
        <v>پروژه بهره برداري نيروگاه بوشهر</v>
      </c>
      <c r="F956" s="1">
        <v>12456131</v>
      </c>
      <c r="G956" s="1">
        <v>8571402</v>
      </c>
      <c r="H956" s="1">
        <v>0</v>
      </c>
      <c r="I956" s="1">
        <v>7435471</v>
      </c>
      <c r="J956" s="1">
        <v>0</v>
      </c>
      <c r="K956" s="1">
        <v>0</v>
      </c>
      <c r="L956" s="1">
        <v>0</v>
      </c>
      <c r="M956" s="1">
        <v>1000000</v>
      </c>
      <c r="N956" s="1">
        <v>2078614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5471578</v>
      </c>
      <c r="W956" s="1">
        <v>1900000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1484724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3902947</v>
      </c>
      <c r="AM956" s="1">
        <v>0</v>
      </c>
      <c r="AN956" s="1">
        <v>0</v>
      </c>
      <c r="AO956" s="1">
        <v>44300867</v>
      </c>
      <c r="AP956" s="1">
        <v>9361159</v>
      </c>
      <c r="AQ956" s="1">
        <v>34939708</v>
      </c>
      <c r="AR956" s="1">
        <v>8860173</v>
      </c>
      <c r="AS956" s="1">
        <v>1329026</v>
      </c>
      <c r="AT956" s="1">
        <f t="shared" si="96"/>
        <v>54490066</v>
      </c>
    </row>
    <row r="957" spans="1:46" x14ac:dyDescent="0.2">
      <c r="A957" s="1" t="str">
        <f>"01229"</f>
        <v>01229</v>
      </c>
      <c r="B957" s="1" t="str">
        <f>"ميثم"</f>
        <v>ميثم</v>
      </c>
      <c r="C957" s="1" t="str">
        <f>"دهقاني"</f>
        <v>دهقاني</v>
      </c>
      <c r="D957" s="1" t="str">
        <f t="shared" si="101"/>
        <v>قراردادي بهره بردار</v>
      </c>
      <c r="E957" s="1" t="str">
        <f t="shared" si="102"/>
        <v>پروژه بهره برداري نيروگاه بوشهر</v>
      </c>
      <c r="F957" s="1">
        <v>14510976</v>
      </c>
      <c r="G957" s="1">
        <v>7927212</v>
      </c>
      <c r="H957" s="1">
        <v>0</v>
      </c>
      <c r="I957" s="1">
        <v>9925480</v>
      </c>
      <c r="J957" s="1">
        <v>0</v>
      </c>
      <c r="K957" s="1">
        <v>4620000</v>
      </c>
      <c r="L957" s="1">
        <v>0</v>
      </c>
      <c r="M957" s="1">
        <v>1000000</v>
      </c>
      <c r="N957" s="1">
        <v>2556289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6405938</v>
      </c>
      <c r="W957" s="1">
        <v>1900000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1825921</v>
      </c>
      <c r="AF957" s="1">
        <v>1516881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4896797</v>
      </c>
      <c r="AM957" s="1">
        <v>0</v>
      </c>
      <c r="AN957" s="1">
        <v>0</v>
      </c>
      <c r="AO957" s="1">
        <v>57085494</v>
      </c>
      <c r="AP957" s="1">
        <v>7980037</v>
      </c>
      <c r="AQ957" s="1">
        <v>49105457</v>
      </c>
      <c r="AR957" s="1">
        <v>11113723</v>
      </c>
      <c r="AS957" s="1">
        <v>1667058</v>
      </c>
      <c r="AT957" s="1">
        <f t="shared" si="96"/>
        <v>69866275</v>
      </c>
    </row>
    <row r="958" spans="1:46" x14ac:dyDescent="0.2">
      <c r="A958" s="1" t="str">
        <f>"01230"</f>
        <v>01230</v>
      </c>
      <c r="B958" s="1" t="str">
        <f>"محمد شريف"</f>
        <v>محمد شريف</v>
      </c>
      <c r="C958" s="1" t="str">
        <f>"دل آرام"</f>
        <v>دل آرام</v>
      </c>
      <c r="D958" s="1" t="str">
        <f t="shared" si="101"/>
        <v>قراردادي بهره بردار</v>
      </c>
      <c r="E958" s="1" t="str">
        <f t="shared" si="102"/>
        <v>پروژه بهره برداري نيروگاه بوشهر</v>
      </c>
      <c r="F958" s="1">
        <v>23733683</v>
      </c>
      <c r="G958" s="1">
        <v>15047051</v>
      </c>
      <c r="H958" s="1">
        <v>0</v>
      </c>
      <c r="I958" s="1">
        <v>18681461</v>
      </c>
      <c r="J958" s="1">
        <v>0</v>
      </c>
      <c r="K958" s="1">
        <v>0</v>
      </c>
      <c r="L958" s="1">
        <v>0</v>
      </c>
      <c r="M958" s="1">
        <v>1000000</v>
      </c>
      <c r="N958" s="1">
        <v>3635083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1606000</v>
      </c>
      <c r="U958" s="1">
        <v>0</v>
      </c>
      <c r="V958" s="1">
        <v>11565088</v>
      </c>
      <c r="W958" s="1">
        <v>1900000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2596488</v>
      </c>
      <c r="AF958" s="1">
        <v>1516881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6425138</v>
      </c>
      <c r="AM958" s="1">
        <v>0</v>
      </c>
      <c r="AN958" s="1">
        <v>0</v>
      </c>
      <c r="AO958" s="1">
        <v>87706873</v>
      </c>
      <c r="AP958" s="1">
        <v>25710345</v>
      </c>
      <c r="AQ958" s="1">
        <v>61996528</v>
      </c>
      <c r="AR958" s="1">
        <v>16916798</v>
      </c>
      <c r="AS958" s="1">
        <v>2537520</v>
      </c>
      <c r="AT958" s="1">
        <f t="shared" si="96"/>
        <v>107161191</v>
      </c>
    </row>
    <row r="959" spans="1:46" x14ac:dyDescent="0.2">
      <c r="A959" s="1" t="str">
        <f>"01231"</f>
        <v>01231</v>
      </c>
      <c r="B959" s="1" t="str">
        <f>"جواد"</f>
        <v>جواد</v>
      </c>
      <c r="C959" s="1" t="str">
        <f>"سهرابي"</f>
        <v>سهرابي</v>
      </c>
      <c r="D959" s="1" t="str">
        <f t="shared" si="101"/>
        <v>قراردادي بهره بردار</v>
      </c>
      <c r="E959" s="1" t="str">
        <f t="shared" si="102"/>
        <v>پروژه بهره برداري نيروگاه بوشهر</v>
      </c>
      <c r="F959" s="1">
        <v>12059621</v>
      </c>
      <c r="G959" s="1">
        <v>20186</v>
      </c>
      <c r="H959" s="1">
        <v>0</v>
      </c>
      <c r="I959" s="1">
        <v>7010019</v>
      </c>
      <c r="J959" s="1">
        <v>0</v>
      </c>
      <c r="K959" s="1">
        <v>4620000</v>
      </c>
      <c r="L959" s="1">
        <v>0</v>
      </c>
      <c r="M959" s="1">
        <v>1000000</v>
      </c>
      <c r="N959" s="1">
        <v>1824826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5167935</v>
      </c>
      <c r="W959" s="1">
        <v>1900000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1303446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3641765</v>
      </c>
      <c r="AM959" s="1">
        <v>0</v>
      </c>
      <c r="AN959" s="1">
        <v>0</v>
      </c>
      <c r="AO959" s="1">
        <v>38547798</v>
      </c>
      <c r="AP959" s="1">
        <v>15034761</v>
      </c>
      <c r="AQ959" s="1">
        <v>23513037</v>
      </c>
      <c r="AR959" s="1">
        <v>7709559</v>
      </c>
      <c r="AS959" s="1">
        <v>1156435</v>
      </c>
      <c r="AT959" s="1">
        <f t="shared" si="96"/>
        <v>47413792</v>
      </c>
    </row>
    <row r="960" spans="1:46" x14ac:dyDescent="0.2">
      <c r="A960" s="1" t="str">
        <f>"01232"</f>
        <v>01232</v>
      </c>
      <c r="B960" s="1" t="str">
        <f>"محمد جواد"</f>
        <v>محمد جواد</v>
      </c>
      <c r="C960" s="1" t="str">
        <f>"حيدري"</f>
        <v>حيدري</v>
      </c>
      <c r="D960" s="1" t="str">
        <f t="shared" si="101"/>
        <v>قراردادي بهره بردار</v>
      </c>
      <c r="E960" s="1" t="str">
        <f t="shared" si="102"/>
        <v>پروژه بهره برداري نيروگاه بوشهر</v>
      </c>
      <c r="F960" s="1">
        <v>13820917</v>
      </c>
      <c r="G960" s="1">
        <v>0</v>
      </c>
      <c r="H960" s="1">
        <v>0</v>
      </c>
      <c r="I960" s="1">
        <v>8583055</v>
      </c>
      <c r="J960" s="1">
        <v>0</v>
      </c>
      <c r="K960" s="1">
        <v>3465000</v>
      </c>
      <c r="L960" s="1">
        <v>0</v>
      </c>
      <c r="M960" s="1">
        <v>1000000</v>
      </c>
      <c r="N960" s="1">
        <v>2211258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5140392</v>
      </c>
      <c r="W960" s="1">
        <v>1900000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1579472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4042877</v>
      </c>
      <c r="AM960" s="1">
        <v>0</v>
      </c>
      <c r="AN960" s="1">
        <v>0</v>
      </c>
      <c r="AO960" s="1">
        <v>41742971</v>
      </c>
      <c r="AP960" s="1">
        <v>17194937</v>
      </c>
      <c r="AQ960" s="1">
        <v>24548034</v>
      </c>
      <c r="AR960" s="1">
        <v>8348597</v>
      </c>
      <c r="AS960" s="1">
        <v>1252289</v>
      </c>
      <c r="AT960" s="1">
        <f t="shared" si="96"/>
        <v>51343857</v>
      </c>
    </row>
    <row r="961" spans="1:46" x14ac:dyDescent="0.2">
      <c r="A961" s="1" t="str">
        <f>"01233"</f>
        <v>01233</v>
      </c>
      <c r="B961" s="1" t="str">
        <f>"کامران"</f>
        <v>کامران</v>
      </c>
      <c r="C961" s="1" t="str">
        <f>"زارعي"</f>
        <v>زارعي</v>
      </c>
      <c r="D961" s="1" t="str">
        <f t="shared" si="101"/>
        <v>قراردادي بهره بردار</v>
      </c>
      <c r="E961" s="1" t="str">
        <f t="shared" si="102"/>
        <v>پروژه بهره برداري نيروگاه بوشهر</v>
      </c>
      <c r="F961" s="1">
        <v>13658807</v>
      </c>
      <c r="G961" s="1">
        <v>821121</v>
      </c>
      <c r="H961" s="1">
        <v>0</v>
      </c>
      <c r="I961" s="1">
        <v>6425992</v>
      </c>
      <c r="J961" s="1">
        <v>0</v>
      </c>
      <c r="K961" s="1">
        <v>0</v>
      </c>
      <c r="L961" s="1">
        <v>0</v>
      </c>
      <c r="M961" s="1">
        <v>1000000</v>
      </c>
      <c r="N961" s="1">
        <v>1778821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2644649</v>
      </c>
      <c r="W961" s="1">
        <v>1900000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1270587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3312288</v>
      </c>
      <c r="AM961" s="1">
        <v>0</v>
      </c>
      <c r="AN961" s="1">
        <v>0</v>
      </c>
      <c r="AO961" s="1">
        <v>32812265</v>
      </c>
      <c r="AP961" s="1">
        <v>4614756</v>
      </c>
      <c r="AQ961" s="1">
        <v>28197509</v>
      </c>
      <c r="AR961" s="1">
        <v>6562453</v>
      </c>
      <c r="AS961" s="1">
        <v>984368</v>
      </c>
      <c r="AT961" s="1">
        <f t="shared" si="96"/>
        <v>40359086</v>
      </c>
    </row>
    <row r="962" spans="1:46" x14ac:dyDescent="0.2">
      <c r="A962" s="1" t="str">
        <f>"01234"</f>
        <v>01234</v>
      </c>
      <c r="B962" s="1" t="str">
        <f>"محسن"</f>
        <v>محسن</v>
      </c>
      <c r="C962" s="1" t="str">
        <f>"نيکنام"</f>
        <v>نيکنام</v>
      </c>
      <c r="D962" s="1" t="str">
        <f>"قراردادي کارگري"</f>
        <v>قراردادي کارگري</v>
      </c>
      <c r="E962" s="1" t="str">
        <f>"پروژه تعميرات نيروگاه بوشهر"</f>
        <v>پروژه تعميرات نيروگاه بوشهر</v>
      </c>
      <c r="F962" s="1">
        <v>8476164</v>
      </c>
      <c r="G962" s="1">
        <v>5940983</v>
      </c>
      <c r="H962" s="1">
        <v>0</v>
      </c>
      <c r="I962" s="1">
        <v>5255221</v>
      </c>
      <c r="J962" s="1">
        <v>0</v>
      </c>
      <c r="K962" s="1">
        <v>0</v>
      </c>
      <c r="L962" s="1">
        <v>7628143</v>
      </c>
      <c r="M962" s="1">
        <v>1000000</v>
      </c>
      <c r="N962" s="1">
        <v>4520620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7796741</v>
      </c>
      <c r="W962" s="1">
        <v>1900000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3033762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45551634</v>
      </c>
      <c r="AP962" s="1">
        <v>6091953</v>
      </c>
      <c r="AQ962" s="1">
        <v>39459681</v>
      </c>
      <c r="AR962" s="1">
        <v>8503574</v>
      </c>
      <c r="AS962" s="1">
        <v>1275536</v>
      </c>
      <c r="AT962" s="1">
        <f t="shared" si="96"/>
        <v>55330744</v>
      </c>
    </row>
    <row r="963" spans="1:46" x14ac:dyDescent="0.2">
      <c r="A963" s="1" t="str">
        <f>"01235"</f>
        <v>01235</v>
      </c>
      <c r="B963" s="1" t="str">
        <f>"محمد"</f>
        <v>محمد</v>
      </c>
      <c r="C963" s="1" t="str">
        <f>"حسن زاده"</f>
        <v>حسن زاده</v>
      </c>
      <c r="D963" s="1" t="str">
        <f t="shared" ref="D963:D968" si="103">"قراردادي بهره بردار"</f>
        <v>قراردادي بهره بردار</v>
      </c>
      <c r="E963" s="1" t="str">
        <f>"پروژه بهره برداري نيروگاه بوشهر"</f>
        <v>پروژه بهره برداري نيروگاه بوشهر</v>
      </c>
      <c r="F963" s="1">
        <v>19992025</v>
      </c>
      <c r="G963" s="1">
        <v>13177535</v>
      </c>
      <c r="H963" s="1">
        <v>0</v>
      </c>
      <c r="I963" s="1">
        <v>15508770</v>
      </c>
      <c r="J963" s="1">
        <v>0</v>
      </c>
      <c r="K963" s="1">
        <v>5500000</v>
      </c>
      <c r="L963" s="1">
        <v>0</v>
      </c>
      <c r="M963" s="1">
        <v>1000000</v>
      </c>
      <c r="N963" s="1">
        <v>3098370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8723743</v>
      </c>
      <c r="W963" s="1">
        <v>1900000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2213122</v>
      </c>
      <c r="AF963" s="1">
        <v>3033762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5102150</v>
      </c>
      <c r="AM963" s="1">
        <v>0</v>
      </c>
      <c r="AN963" s="1">
        <v>0</v>
      </c>
      <c r="AO963" s="1">
        <v>79249477</v>
      </c>
      <c r="AP963" s="1">
        <v>32737507</v>
      </c>
      <c r="AQ963" s="1">
        <v>46511970</v>
      </c>
      <c r="AR963" s="1">
        <v>15243143</v>
      </c>
      <c r="AS963" s="1">
        <v>2286472</v>
      </c>
      <c r="AT963" s="1">
        <f t="shared" ref="AT963:AT1026" si="104">AO963+AR963+AS963</f>
        <v>96779092</v>
      </c>
    </row>
    <row r="964" spans="1:46" x14ac:dyDescent="0.2">
      <c r="A964" s="1" t="str">
        <f>"01236"</f>
        <v>01236</v>
      </c>
      <c r="B964" s="1" t="str">
        <f>"لاله"</f>
        <v>لاله</v>
      </c>
      <c r="C964" s="1" t="str">
        <f>"محمدي"</f>
        <v>محمدي</v>
      </c>
      <c r="D964" s="1" t="str">
        <f t="shared" si="103"/>
        <v>قراردادي بهره بردار</v>
      </c>
      <c r="E964" s="1" t="str">
        <f>"پروژه بهره برداري نيروگاه بوشهر"</f>
        <v>پروژه بهره برداري نيروگاه بوشهر</v>
      </c>
      <c r="F964" s="1">
        <v>16506673</v>
      </c>
      <c r="G964" s="1">
        <v>30894</v>
      </c>
      <c r="H964" s="1">
        <v>0</v>
      </c>
      <c r="I964" s="1">
        <v>10432000</v>
      </c>
      <c r="J964" s="1">
        <v>0</v>
      </c>
      <c r="K964" s="1">
        <v>4125000</v>
      </c>
      <c r="L964" s="1">
        <v>0</v>
      </c>
      <c r="M964" s="1">
        <v>1000000</v>
      </c>
      <c r="N964" s="1">
        <v>2039510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1606000</v>
      </c>
      <c r="U964" s="1">
        <v>0</v>
      </c>
      <c r="V964" s="1">
        <v>3385679</v>
      </c>
      <c r="W964" s="1">
        <v>1900000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1456793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3421823</v>
      </c>
      <c r="AM964" s="1">
        <v>0</v>
      </c>
      <c r="AN964" s="1">
        <v>0</v>
      </c>
      <c r="AO964" s="1">
        <v>45904372</v>
      </c>
      <c r="AP964" s="1">
        <v>13375167</v>
      </c>
      <c r="AQ964" s="1">
        <v>32529205</v>
      </c>
      <c r="AR964" s="1">
        <v>8859674</v>
      </c>
      <c r="AS964" s="1">
        <v>1328951</v>
      </c>
      <c r="AT964" s="1">
        <f t="shared" si="104"/>
        <v>56092997</v>
      </c>
    </row>
    <row r="965" spans="1:46" x14ac:dyDescent="0.2">
      <c r="A965" s="1" t="str">
        <f>"01237"</f>
        <v>01237</v>
      </c>
      <c r="B965" s="1" t="str">
        <f>"اميد"</f>
        <v>اميد</v>
      </c>
      <c r="C965" s="1" t="str">
        <f>"تکين"</f>
        <v>تکين</v>
      </c>
      <c r="D965" s="1" t="str">
        <f t="shared" si="103"/>
        <v>قراردادي بهره بردار</v>
      </c>
      <c r="E965" s="1" t="str">
        <f>"پروژه بهره برداري نيروگاه بوشهر"</f>
        <v>پروژه بهره برداري نيروگاه بوشهر</v>
      </c>
      <c r="F965" s="1">
        <v>13886636</v>
      </c>
      <c r="G965" s="1">
        <v>17456453</v>
      </c>
      <c r="H965" s="1">
        <v>0</v>
      </c>
      <c r="I965" s="1">
        <v>12328502</v>
      </c>
      <c r="J965" s="1">
        <v>0</v>
      </c>
      <c r="K965" s="1">
        <v>4620000</v>
      </c>
      <c r="L965" s="1">
        <v>0</v>
      </c>
      <c r="M965" s="1">
        <v>1000000</v>
      </c>
      <c r="N965" s="1">
        <v>2606127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1606000</v>
      </c>
      <c r="U965" s="1">
        <v>0</v>
      </c>
      <c r="V965" s="1">
        <v>7812091</v>
      </c>
      <c r="W965" s="1">
        <v>1900000</v>
      </c>
      <c r="X965" s="1">
        <v>2015802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1861519</v>
      </c>
      <c r="AF965" s="1">
        <v>1516881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10981702</v>
      </c>
      <c r="AM965" s="1">
        <v>0</v>
      </c>
      <c r="AN965" s="1">
        <v>0</v>
      </c>
      <c r="AO965" s="1">
        <v>79591713</v>
      </c>
      <c r="AP965" s="1">
        <v>29417688</v>
      </c>
      <c r="AQ965" s="1">
        <v>50174025</v>
      </c>
      <c r="AR965" s="1">
        <v>15293766</v>
      </c>
      <c r="AS965" s="1">
        <v>2294065</v>
      </c>
      <c r="AT965" s="1">
        <f t="shared" si="104"/>
        <v>97179544</v>
      </c>
    </row>
    <row r="966" spans="1:46" x14ac:dyDescent="0.2">
      <c r="A966" s="1" t="str">
        <f>"01238"</f>
        <v>01238</v>
      </c>
      <c r="B966" s="1" t="str">
        <f>"محمد امين"</f>
        <v>محمد امين</v>
      </c>
      <c r="C966" s="1" t="str">
        <f>"صمصامي"</f>
        <v>صمصامي</v>
      </c>
      <c r="D966" s="1" t="str">
        <f t="shared" si="103"/>
        <v>قراردادي بهره بردار</v>
      </c>
      <c r="E966" s="1" t="str">
        <f>"پروژه تعميرات نيروگاه بوشهر"</f>
        <v>پروژه تعميرات نيروگاه بوشهر</v>
      </c>
      <c r="F966" s="1">
        <v>28820667</v>
      </c>
      <c r="G966" s="1">
        <v>4540063</v>
      </c>
      <c r="H966" s="1">
        <v>0</v>
      </c>
      <c r="I966" s="1">
        <v>24234606</v>
      </c>
      <c r="J966" s="1">
        <v>0</v>
      </c>
      <c r="K966" s="1">
        <v>5500000</v>
      </c>
      <c r="L966" s="1">
        <v>0</v>
      </c>
      <c r="M966" s="1">
        <v>1000000</v>
      </c>
      <c r="N966" s="1">
        <v>6801371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24545318</v>
      </c>
      <c r="W966" s="1">
        <v>1900000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4858123</v>
      </c>
      <c r="AF966" s="1">
        <v>1516881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8322855</v>
      </c>
      <c r="AM966" s="1">
        <v>0</v>
      </c>
      <c r="AN966" s="1">
        <v>0</v>
      </c>
      <c r="AO966" s="1">
        <v>112039884</v>
      </c>
      <c r="AP966" s="1">
        <v>18909680</v>
      </c>
      <c r="AQ966" s="1">
        <v>93130204</v>
      </c>
      <c r="AR966" s="1">
        <v>22104599</v>
      </c>
      <c r="AS966" s="1">
        <v>3315689</v>
      </c>
      <c r="AT966" s="1">
        <f t="shared" si="104"/>
        <v>137460172</v>
      </c>
    </row>
    <row r="967" spans="1:46" x14ac:dyDescent="0.2">
      <c r="A967" s="1" t="str">
        <f>"01239"</f>
        <v>01239</v>
      </c>
      <c r="B967" s="1" t="str">
        <f>"مختار"</f>
        <v>مختار</v>
      </c>
      <c r="C967" s="1" t="str">
        <f>"كانيک زاده"</f>
        <v>كانيک زاده</v>
      </c>
      <c r="D967" s="1" t="str">
        <f t="shared" si="103"/>
        <v>قراردادي بهره بردار</v>
      </c>
      <c r="E967" s="1" t="str">
        <f>"پروژه بهره برداري نيروگاه بوشهر"</f>
        <v>پروژه بهره برداري نيروگاه بوشهر</v>
      </c>
      <c r="F967" s="1">
        <v>24333925</v>
      </c>
      <c r="G967" s="1">
        <v>13256549</v>
      </c>
      <c r="H967" s="1">
        <v>0</v>
      </c>
      <c r="I967" s="1">
        <v>13725720</v>
      </c>
      <c r="J967" s="1">
        <v>0</v>
      </c>
      <c r="K967" s="1">
        <v>4125000</v>
      </c>
      <c r="L967" s="1">
        <v>0</v>
      </c>
      <c r="M967" s="1">
        <v>1000000</v>
      </c>
      <c r="N967" s="1">
        <v>5331097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5343526</v>
      </c>
      <c r="W967" s="1">
        <v>1900000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3807926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6236609</v>
      </c>
      <c r="AM967" s="1">
        <v>0</v>
      </c>
      <c r="AN967" s="1">
        <v>0</v>
      </c>
      <c r="AO967" s="1">
        <v>79060352</v>
      </c>
      <c r="AP967" s="1">
        <v>12971402</v>
      </c>
      <c r="AQ967" s="1">
        <v>66088950</v>
      </c>
      <c r="AR967" s="1">
        <v>15812071</v>
      </c>
      <c r="AS967" s="1">
        <v>2371810</v>
      </c>
      <c r="AT967" s="1">
        <f t="shared" si="104"/>
        <v>97244233</v>
      </c>
    </row>
    <row r="968" spans="1:46" x14ac:dyDescent="0.2">
      <c r="A968" s="1" t="str">
        <f>"01240"</f>
        <v>01240</v>
      </c>
      <c r="B968" s="1" t="str">
        <f>"رضا"</f>
        <v>رضا</v>
      </c>
      <c r="C968" s="1" t="str">
        <f>"كريمي"</f>
        <v>كريمي</v>
      </c>
      <c r="D968" s="1" t="str">
        <f t="shared" si="103"/>
        <v>قراردادي بهره بردار</v>
      </c>
      <c r="E968" s="1" t="str">
        <f>"پروژه بهره برداري نيروگاه بوشهر"</f>
        <v>پروژه بهره برداري نيروگاه بوشهر</v>
      </c>
      <c r="F968" s="1">
        <v>11384895</v>
      </c>
      <c r="G968" s="1">
        <v>9005529</v>
      </c>
      <c r="H968" s="1">
        <v>0</v>
      </c>
      <c r="I968" s="1">
        <v>7830267</v>
      </c>
      <c r="J968" s="1">
        <v>0</v>
      </c>
      <c r="K968" s="1">
        <v>0</v>
      </c>
      <c r="L968" s="1">
        <v>0</v>
      </c>
      <c r="M968" s="1">
        <v>1000000</v>
      </c>
      <c r="N968" s="1">
        <v>1960537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2636802</v>
      </c>
      <c r="W968" s="1">
        <v>1900000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1400384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3791934</v>
      </c>
      <c r="AM968" s="1">
        <v>0</v>
      </c>
      <c r="AN968" s="1">
        <v>0</v>
      </c>
      <c r="AO968" s="1">
        <v>40910348</v>
      </c>
      <c r="AP968" s="1">
        <v>14477287</v>
      </c>
      <c r="AQ968" s="1">
        <v>26433061</v>
      </c>
      <c r="AR968" s="1">
        <v>8182070</v>
      </c>
      <c r="AS968" s="1">
        <v>1227310</v>
      </c>
      <c r="AT968" s="1">
        <f t="shared" si="104"/>
        <v>50319728</v>
      </c>
    </row>
    <row r="969" spans="1:46" x14ac:dyDescent="0.2">
      <c r="A969" s="1" t="str">
        <f>"01241"</f>
        <v>01241</v>
      </c>
      <c r="B969" s="1" t="str">
        <f>"عباس"</f>
        <v>عباس</v>
      </c>
      <c r="C969" s="1" t="str">
        <f>"احمدي"</f>
        <v>احمدي</v>
      </c>
      <c r="D969" s="1" t="str">
        <f t="shared" ref="D969:D986" si="105">"قراردادي کارگري"</f>
        <v>قراردادي کارگري</v>
      </c>
      <c r="E969" s="1" t="str">
        <f>"پروژه بهره برداري نيروگاه بوشهر"</f>
        <v>پروژه بهره برداري نيروگاه بوشهر</v>
      </c>
      <c r="F969" s="1">
        <v>15310569</v>
      </c>
      <c r="G969" s="1">
        <v>18618588</v>
      </c>
      <c r="H969" s="1">
        <v>0</v>
      </c>
      <c r="I969" s="1">
        <v>9412497</v>
      </c>
      <c r="J969" s="1">
        <v>0</v>
      </c>
      <c r="K969" s="1">
        <v>0</v>
      </c>
      <c r="L969" s="1">
        <v>0</v>
      </c>
      <c r="M969" s="1">
        <v>1000000</v>
      </c>
      <c r="N969" s="1">
        <v>2172922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3198206</v>
      </c>
      <c r="W969" s="1">
        <v>1900000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1552087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3533983</v>
      </c>
      <c r="AM969" s="1">
        <v>0</v>
      </c>
      <c r="AN969" s="1">
        <v>0</v>
      </c>
      <c r="AO969" s="1">
        <v>56698852</v>
      </c>
      <c r="AP969" s="1">
        <v>11210077</v>
      </c>
      <c r="AQ969" s="1">
        <v>45488775</v>
      </c>
      <c r="AR969" s="1">
        <v>11339770</v>
      </c>
      <c r="AS969" s="1">
        <v>1700966</v>
      </c>
      <c r="AT969" s="1">
        <f t="shared" si="104"/>
        <v>69739588</v>
      </c>
    </row>
    <row r="970" spans="1:46" x14ac:dyDescent="0.2">
      <c r="A970" s="1" t="str">
        <f>"01242"</f>
        <v>01242</v>
      </c>
      <c r="B970" s="1" t="str">
        <f>"مسعود"</f>
        <v>مسعود</v>
      </c>
      <c r="C970" s="1" t="str">
        <f>"احمدي باغکي"</f>
        <v>احمدي باغکي</v>
      </c>
      <c r="D970" s="1" t="str">
        <f t="shared" si="105"/>
        <v>قراردادي کارگري</v>
      </c>
      <c r="E970" s="1" t="str">
        <f t="shared" ref="E970:E986" si="106">"پروژه تعميرات نيروگاه بوشهر"</f>
        <v>پروژه تعميرات نيروگاه بوشهر</v>
      </c>
      <c r="F970" s="1">
        <v>5412785</v>
      </c>
      <c r="G970" s="1">
        <v>936797</v>
      </c>
      <c r="H970" s="1">
        <v>0</v>
      </c>
      <c r="I970" s="1">
        <v>3247671</v>
      </c>
      <c r="J970" s="1">
        <v>0</v>
      </c>
      <c r="K970" s="1">
        <v>0</v>
      </c>
      <c r="L970" s="1">
        <v>7672721</v>
      </c>
      <c r="M970" s="1">
        <v>1000000</v>
      </c>
      <c r="N970" s="1">
        <v>2886819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7331498</v>
      </c>
      <c r="W970" s="1">
        <v>1900000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30388291</v>
      </c>
      <c r="AP970" s="1">
        <v>5702410</v>
      </c>
      <c r="AQ970" s="1">
        <v>24685881</v>
      </c>
      <c r="AR970" s="1">
        <v>6077658</v>
      </c>
      <c r="AS970" s="1">
        <v>911649</v>
      </c>
      <c r="AT970" s="1">
        <f t="shared" si="104"/>
        <v>37377598</v>
      </c>
    </row>
    <row r="971" spans="1:46" x14ac:dyDescent="0.2">
      <c r="A971" s="1" t="str">
        <f>"01244"</f>
        <v>01244</v>
      </c>
      <c r="B971" s="1" t="str">
        <f>"مهدي"</f>
        <v>مهدي</v>
      </c>
      <c r="C971" s="1" t="str">
        <f>"باروني"</f>
        <v>باروني</v>
      </c>
      <c r="D971" s="1" t="str">
        <f t="shared" si="105"/>
        <v>قراردادي کارگري</v>
      </c>
      <c r="E971" s="1" t="str">
        <f t="shared" si="106"/>
        <v>پروژه تعميرات نيروگاه بوشهر</v>
      </c>
      <c r="F971" s="1">
        <v>6645459</v>
      </c>
      <c r="G971" s="1">
        <v>5062325</v>
      </c>
      <c r="H971" s="1">
        <v>0</v>
      </c>
      <c r="I971" s="1">
        <v>3987276</v>
      </c>
      <c r="J971" s="1">
        <v>0</v>
      </c>
      <c r="K971" s="1">
        <v>0</v>
      </c>
      <c r="L971" s="1">
        <v>7672721</v>
      </c>
      <c r="M971" s="1">
        <v>1000000</v>
      </c>
      <c r="N971" s="1">
        <v>3544244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4720810</v>
      </c>
      <c r="W971" s="1">
        <v>1900000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0</v>
      </c>
      <c r="AM971" s="1">
        <v>0</v>
      </c>
      <c r="AN971" s="1">
        <v>0</v>
      </c>
      <c r="AO971" s="1">
        <v>34532835</v>
      </c>
      <c r="AP971" s="1">
        <v>8128528</v>
      </c>
      <c r="AQ971" s="1">
        <v>26404307</v>
      </c>
      <c r="AR971" s="1">
        <v>6906567</v>
      </c>
      <c r="AS971" s="1">
        <v>1035985</v>
      </c>
      <c r="AT971" s="1">
        <f t="shared" si="104"/>
        <v>42475387</v>
      </c>
    </row>
    <row r="972" spans="1:46" x14ac:dyDescent="0.2">
      <c r="A972" s="1" t="str">
        <f>"01245"</f>
        <v>01245</v>
      </c>
      <c r="B972" s="1" t="str">
        <f>"محمد"</f>
        <v>محمد</v>
      </c>
      <c r="C972" s="1" t="str">
        <f>"براشکه"</f>
        <v>براشکه</v>
      </c>
      <c r="D972" s="1" t="str">
        <f t="shared" si="105"/>
        <v>قراردادي کارگري</v>
      </c>
      <c r="E972" s="1" t="str">
        <f t="shared" si="106"/>
        <v>پروژه تعميرات نيروگاه بوشهر</v>
      </c>
      <c r="F972" s="1">
        <v>5876564</v>
      </c>
      <c r="G972" s="1">
        <v>5723346</v>
      </c>
      <c r="H972" s="1">
        <v>0</v>
      </c>
      <c r="I972" s="1">
        <v>3525938</v>
      </c>
      <c r="J972" s="1">
        <v>0</v>
      </c>
      <c r="K972" s="1">
        <v>0</v>
      </c>
      <c r="L972" s="1">
        <v>7672721</v>
      </c>
      <c r="M972" s="1">
        <v>1000000</v>
      </c>
      <c r="N972" s="1">
        <v>3134168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2320605</v>
      </c>
      <c r="W972" s="1">
        <v>1900000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0</v>
      </c>
      <c r="AM972" s="1">
        <v>0</v>
      </c>
      <c r="AN972" s="1">
        <v>0</v>
      </c>
      <c r="AO972" s="1">
        <v>31153342</v>
      </c>
      <c r="AP972" s="1">
        <v>5009298</v>
      </c>
      <c r="AQ972" s="1">
        <v>26144044</v>
      </c>
      <c r="AR972" s="1">
        <v>6230668</v>
      </c>
      <c r="AS972" s="1">
        <v>934600</v>
      </c>
      <c r="AT972" s="1">
        <f t="shared" si="104"/>
        <v>38318610</v>
      </c>
    </row>
    <row r="973" spans="1:46" x14ac:dyDescent="0.2">
      <c r="A973" s="1" t="str">
        <f>"01246"</f>
        <v>01246</v>
      </c>
      <c r="B973" s="1" t="str">
        <f>"دانيال"</f>
        <v>دانيال</v>
      </c>
      <c r="C973" s="1" t="str">
        <f>"برزگر"</f>
        <v>برزگر</v>
      </c>
      <c r="D973" s="1" t="str">
        <f t="shared" si="105"/>
        <v>قراردادي کارگري</v>
      </c>
      <c r="E973" s="1" t="str">
        <f t="shared" si="106"/>
        <v>پروژه تعميرات نيروگاه بوشهر</v>
      </c>
      <c r="F973" s="1">
        <v>5565343</v>
      </c>
      <c r="G973" s="1">
        <v>0</v>
      </c>
      <c r="H973" s="1">
        <v>0</v>
      </c>
      <c r="I973" s="1">
        <v>3339206</v>
      </c>
      <c r="J973" s="1">
        <v>0</v>
      </c>
      <c r="K973" s="1">
        <v>0</v>
      </c>
      <c r="L973" s="1">
        <v>7672721</v>
      </c>
      <c r="M973" s="1">
        <v>1000000</v>
      </c>
      <c r="N973" s="1">
        <v>2968183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4283002</v>
      </c>
      <c r="W973" s="1">
        <v>1900000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26728455</v>
      </c>
      <c r="AP973" s="1">
        <v>6172089</v>
      </c>
      <c r="AQ973" s="1">
        <v>20556366</v>
      </c>
      <c r="AR973" s="1">
        <v>5345691</v>
      </c>
      <c r="AS973" s="1">
        <v>801854</v>
      </c>
      <c r="AT973" s="1">
        <f t="shared" si="104"/>
        <v>32876000</v>
      </c>
    </row>
    <row r="974" spans="1:46" x14ac:dyDescent="0.2">
      <c r="A974" s="1" t="str">
        <f>"01247"</f>
        <v>01247</v>
      </c>
      <c r="B974" s="1" t="str">
        <f>"ميثم"</f>
        <v>ميثم</v>
      </c>
      <c r="C974" s="1" t="str">
        <f>"بلاغي"</f>
        <v>بلاغي</v>
      </c>
      <c r="D974" s="1" t="str">
        <f t="shared" si="105"/>
        <v>قراردادي کارگري</v>
      </c>
      <c r="E974" s="1" t="str">
        <f t="shared" si="106"/>
        <v>پروژه تعميرات نيروگاه بوشهر</v>
      </c>
      <c r="F974" s="1">
        <v>5302942</v>
      </c>
      <c r="G974" s="1">
        <v>490331</v>
      </c>
      <c r="H974" s="1">
        <v>0</v>
      </c>
      <c r="I974" s="1">
        <v>3181766</v>
      </c>
      <c r="J974" s="1">
        <v>0</v>
      </c>
      <c r="K974" s="1">
        <v>0</v>
      </c>
      <c r="L974" s="1">
        <v>7672721</v>
      </c>
      <c r="M974" s="1">
        <v>1000000</v>
      </c>
      <c r="N974" s="1">
        <v>2828235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4176642</v>
      </c>
      <c r="W974" s="1">
        <v>1900000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1">
        <v>0</v>
      </c>
      <c r="AO974" s="1">
        <v>26552637</v>
      </c>
      <c r="AP974" s="1">
        <v>2802685</v>
      </c>
      <c r="AQ974" s="1">
        <v>23749952</v>
      </c>
      <c r="AR974" s="1">
        <v>5310527</v>
      </c>
      <c r="AS974" s="1">
        <v>796579</v>
      </c>
      <c r="AT974" s="1">
        <f t="shared" si="104"/>
        <v>32659743</v>
      </c>
    </row>
    <row r="975" spans="1:46" x14ac:dyDescent="0.2">
      <c r="A975" s="1" t="str">
        <f>"01249"</f>
        <v>01249</v>
      </c>
      <c r="B975" s="1" t="str">
        <f>"محمدرضا"</f>
        <v>محمدرضا</v>
      </c>
      <c r="C975" s="1" t="str">
        <f>"پورجماد"</f>
        <v>پورجماد</v>
      </c>
      <c r="D975" s="1" t="str">
        <f t="shared" si="105"/>
        <v>قراردادي کارگري</v>
      </c>
      <c r="E975" s="1" t="str">
        <f t="shared" si="106"/>
        <v>پروژه تعميرات نيروگاه بوشهر</v>
      </c>
      <c r="F975" s="1">
        <v>6322035</v>
      </c>
      <c r="G975" s="1">
        <v>0</v>
      </c>
      <c r="H975" s="1">
        <v>0</v>
      </c>
      <c r="I975" s="1">
        <v>3793221</v>
      </c>
      <c r="J975" s="1">
        <v>0</v>
      </c>
      <c r="K975" s="1">
        <v>0</v>
      </c>
      <c r="L975" s="1">
        <v>7672721</v>
      </c>
      <c r="M975" s="1">
        <v>1000000</v>
      </c>
      <c r="N975" s="1">
        <v>3371752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7971611</v>
      </c>
      <c r="W975" s="1">
        <v>1900000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3033762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35065102</v>
      </c>
      <c r="AP975" s="1">
        <v>5906194</v>
      </c>
      <c r="AQ975" s="1">
        <v>29158908</v>
      </c>
      <c r="AR975" s="1">
        <v>6406268</v>
      </c>
      <c r="AS975" s="1">
        <v>960940</v>
      </c>
      <c r="AT975" s="1">
        <f t="shared" si="104"/>
        <v>42432310</v>
      </c>
    </row>
    <row r="976" spans="1:46" x14ac:dyDescent="0.2">
      <c r="A976" s="1" t="str">
        <f>"01250"</f>
        <v>01250</v>
      </c>
      <c r="B976" s="1" t="str">
        <f>"حيدر"</f>
        <v>حيدر</v>
      </c>
      <c r="C976" s="1" t="str">
        <f>"پورمحمد"</f>
        <v>پورمحمد</v>
      </c>
      <c r="D976" s="1" t="str">
        <f t="shared" si="105"/>
        <v>قراردادي کارگري</v>
      </c>
      <c r="E976" s="1" t="str">
        <f t="shared" si="106"/>
        <v>پروژه تعميرات نيروگاه بوشهر</v>
      </c>
      <c r="F976" s="1">
        <v>5540934</v>
      </c>
      <c r="G976" s="1">
        <v>2515606</v>
      </c>
      <c r="H976" s="1">
        <v>0</v>
      </c>
      <c r="I976" s="1">
        <v>3324560</v>
      </c>
      <c r="J976" s="1">
        <v>0</v>
      </c>
      <c r="K976" s="1">
        <v>0</v>
      </c>
      <c r="L976" s="1">
        <v>7672721</v>
      </c>
      <c r="M976" s="1">
        <v>1000000</v>
      </c>
      <c r="N976" s="1">
        <v>2955165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4273109</v>
      </c>
      <c r="W976" s="1">
        <v>1900000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1516881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>
        <v>30698976</v>
      </c>
      <c r="AP976" s="1">
        <v>5475311</v>
      </c>
      <c r="AQ976" s="1">
        <v>25223665</v>
      </c>
      <c r="AR976" s="1">
        <v>5836419</v>
      </c>
      <c r="AS976" s="1">
        <v>875463</v>
      </c>
      <c r="AT976" s="1">
        <f t="shared" si="104"/>
        <v>37410858</v>
      </c>
    </row>
    <row r="977" spans="1:46" x14ac:dyDescent="0.2">
      <c r="A977" s="1" t="str">
        <f>"01252"</f>
        <v>01252</v>
      </c>
      <c r="B977" s="1" t="str">
        <f>"امراله"</f>
        <v>امراله</v>
      </c>
      <c r="C977" s="1" t="str">
        <f>"ثابت لقب"</f>
        <v>ثابت لقب</v>
      </c>
      <c r="D977" s="1" t="str">
        <f t="shared" si="105"/>
        <v>قراردادي کارگري</v>
      </c>
      <c r="E977" s="1" t="str">
        <f t="shared" si="106"/>
        <v>پروژه تعميرات نيروگاه بوشهر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980564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980564</v>
      </c>
      <c r="AP977" s="1">
        <v>980564</v>
      </c>
      <c r="AQ977" s="1">
        <v>0</v>
      </c>
      <c r="AR977" s="1">
        <v>0</v>
      </c>
      <c r="AS977" s="1">
        <v>0</v>
      </c>
      <c r="AT977" s="1">
        <f t="shared" si="104"/>
        <v>980564</v>
      </c>
    </row>
    <row r="978" spans="1:46" x14ac:dyDescent="0.2">
      <c r="A978" s="1" t="str">
        <f>"01255"</f>
        <v>01255</v>
      </c>
      <c r="B978" s="1" t="str">
        <f>"سيد جعفر"</f>
        <v>سيد جعفر</v>
      </c>
      <c r="C978" s="1" t="str">
        <f>"حسيني"</f>
        <v>حسيني</v>
      </c>
      <c r="D978" s="1" t="str">
        <f t="shared" si="105"/>
        <v>قراردادي کارگري</v>
      </c>
      <c r="E978" s="1" t="str">
        <f t="shared" si="106"/>
        <v>پروژه تعميرات نيروگاه بوشهر</v>
      </c>
      <c r="F978" s="1">
        <v>6187783</v>
      </c>
      <c r="G978" s="1">
        <v>0</v>
      </c>
      <c r="H978" s="1">
        <v>0</v>
      </c>
      <c r="I978" s="1">
        <v>3712670</v>
      </c>
      <c r="J978" s="1">
        <v>0</v>
      </c>
      <c r="K978" s="1">
        <v>0</v>
      </c>
      <c r="L978" s="1">
        <v>7672721</v>
      </c>
      <c r="M978" s="1">
        <v>1000000</v>
      </c>
      <c r="N978" s="1">
        <v>3300153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7877097</v>
      </c>
      <c r="W978" s="1">
        <v>1900000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1516881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33167305</v>
      </c>
      <c r="AP978" s="1">
        <v>2810707</v>
      </c>
      <c r="AQ978" s="1">
        <v>30356598</v>
      </c>
      <c r="AR978" s="1">
        <v>6330085</v>
      </c>
      <c r="AS978" s="1">
        <v>949513</v>
      </c>
      <c r="AT978" s="1">
        <f t="shared" si="104"/>
        <v>40446903</v>
      </c>
    </row>
    <row r="979" spans="1:46" x14ac:dyDescent="0.2">
      <c r="A979" s="1" t="str">
        <f>"01256"</f>
        <v>01256</v>
      </c>
      <c r="B979" s="1" t="str">
        <f>"احمد"</f>
        <v>احمد</v>
      </c>
      <c r="C979" s="1" t="str">
        <f>"حسيني ملائي"</f>
        <v>حسيني ملائي</v>
      </c>
      <c r="D979" s="1" t="str">
        <f t="shared" si="105"/>
        <v>قراردادي کارگري</v>
      </c>
      <c r="E979" s="1" t="str">
        <f t="shared" si="106"/>
        <v>پروژه تعميرات نيروگاه بوشهر</v>
      </c>
      <c r="F979" s="1">
        <v>5821642</v>
      </c>
      <c r="G979" s="1">
        <v>0</v>
      </c>
      <c r="H979" s="1">
        <v>0</v>
      </c>
      <c r="I979" s="1">
        <v>3492985</v>
      </c>
      <c r="J979" s="1">
        <v>0</v>
      </c>
      <c r="K979" s="1">
        <v>0</v>
      </c>
      <c r="L979" s="1">
        <v>7672721</v>
      </c>
      <c r="M979" s="1">
        <v>1000000</v>
      </c>
      <c r="N979" s="1">
        <v>3104875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4386890</v>
      </c>
      <c r="W979" s="1">
        <v>1900000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1516881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28895994</v>
      </c>
      <c r="AP979" s="1">
        <v>3730788</v>
      </c>
      <c r="AQ979" s="1">
        <v>25165206</v>
      </c>
      <c r="AR979" s="1">
        <v>5475823</v>
      </c>
      <c r="AS979" s="1">
        <v>821373</v>
      </c>
      <c r="AT979" s="1">
        <f t="shared" si="104"/>
        <v>35193190</v>
      </c>
    </row>
    <row r="980" spans="1:46" x14ac:dyDescent="0.2">
      <c r="A980" s="1" t="str">
        <f>"01259"</f>
        <v>01259</v>
      </c>
      <c r="B980" s="1" t="str">
        <f>"علي"</f>
        <v>علي</v>
      </c>
      <c r="C980" s="1" t="str">
        <f>"شمسائي"</f>
        <v>شمسائي</v>
      </c>
      <c r="D980" s="1" t="str">
        <f t="shared" si="105"/>
        <v>قراردادي کارگري</v>
      </c>
      <c r="E980" s="1" t="str">
        <f t="shared" si="106"/>
        <v>پروژه تعميرات نيروگاه بوشهر</v>
      </c>
      <c r="F980" s="1">
        <v>5699595</v>
      </c>
      <c r="G980" s="1">
        <v>0</v>
      </c>
      <c r="H980" s="1">
        <v>0</v>
      </c>
      <c r="I980" s="1">
        <v>3419757</v>
      </c>
      <c r="J980" s="1">
        <v>0</v>
      </c>
      <c r="K980" s="1">
        <v>0</v>
      </c>
      <c r="L980" s="1">
        <v>7672721</v>
      </c>
      <c r="M980" s="1">
        <v>1000000</v>
      </c>
      <c r="N980" s="1">
        <v>3039786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7533412</v>
      </c>
      <c r="W980" s="1">
        <v>1900000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30265271</v>
      </c>
      <c r="AP980" s="1">
        <v>4747133</v>
      </c>
      <c r="AQ980" s="1">
        <v>25518138</v>
      </c>
      <c r="AR980" s="1">
        <v>6053054</v>
      </c>
      <c r="AS980" s="1">
        <v>907958</v>
      </c>
      <c r="AT980" s="1">
        <f t="shared" si="104"/>
        <v>37226283</v>
      </c>
    </row>
    <row r="981" spans="1:46" x14ac:dyDescent="0.2">
      <c r="A981" s="1" t="str">
        <f>"01260"</f>
        <v>01260</v>
      </c>
      <c r="B981" s="1" t="str">
        <f>"سيد علي"</f>
        <v>سيد علي</v>
      </c>
      <c r="C981" s="1" t="str">
        <f>"عسکري"</f>
        <v>عسکري</v>
      </c>
      <c r="D981" s="1" t="str">
        <f t="shared" si="105"/>
        <v>قراردادي کارگري</v>
      </c>
      <c r="E981" s="1" t="str">
        <f t="shared" si="106"/>
        <v>پروژه تعميرات نيروگاه بوشهر</v>
      </c>
      <c r="F981" s="1">
        <v>5669083</v>
      </c>
      <c r="G981" s="1">
        <v>2790985</v>
      </c>
      <c r="H981" s="1">
        <v>0</v>
      </c>
      <c r="I981" s="1">
        <v>3401450</v>
      </c>
      <c r="J981" s="1">
        <v>0</v>
      </c>
      <c r="K981" s="1">
        <v>0</v>
      </c>
      <c r="L981" s="1">
        <v>7672721</v>
      </c>
      <c r="M981" s="1">
        <v>1000000</v>
      </c>
      <c r="N981" s="1">
        <v>3023511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6601395</v>
      </c>
      <c r="W981" s="1">
        <v>1900000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32059145</v>
      </c>
      <c r="AP981" s="1">
        <v>7922704</v>
      </c>
      <c r="AQ981" s="1">
        <v>24136441</v>
      </c>
      <c r="AR981" s="1">
        <v>6411829</v>
      </c>
      <c r="AS981" s="1">
        <v>961774</v>
      </c>
      <c r="AT981" s="1">
        <f t="shared" si="104"/>
        <v>39432748</v>
      </c>
    </row>
    <row r="982" spans="1:46" x14ac:dyDescent="0.2">
      <c r="A982" s="1" t="str">
        <f>"01262"</f>
        <v>01262</v>
      </c>
      <c r="B982" s="1" t="str">
        <f>"حميد"</f>
        <v>حميد</v>
      </c>
      <c r="C982" s="1" t="str">
        <f>"فرريزي"</f>
        <v>فرريزي</v>
      </c>
      <c r="D982" s="1" t="str">
        <f t="shared" si="105"/>
        <v>قراردادي کارگري</v>
      </c>
      <c r="E982" s="1" t="str">
        <f t="shared" si="106"/>
        <v>پروژه تعميرات نيروگاه بوشهر</v>
      </c>
      <c r="F982" s="1">
        <v>6688176</v>
      </c>
      <c r="G982" s="1">
        <v>3200399</v>
      </c>
      <c r="H982" s="1">
        <v>0</v>
      </c>
      <c r="I982" s="1">
        <v>4012906</v>
      </c>
      <c r="J982" s="1">
        <v>0</v>
      </c>
      <c r="K982" s="1">
        <v>0</v>
      </c>
      <c r="L982" s="1">
        <v>7672721</v>
      </c>
      <c r="M982" s="1">
        <v>1000000</v>
      </c>
      <c r="N982" s="1">
        <v>3567027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4738124</v>
      </c>
      <c r="W982" s="1">
        <v>1900000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3033762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35813115</v>
      </c>
      <c r="AP982" s="1">
        <v>2746410</v>
      </c>
      <c r="AQ982" s="1">
        <v>33066705</v>
      </c>
      <c r="AR982" s="1">
        <v>6555871</v>
      </c>
      <c r="AS982" s="1">
        <v>983381</v>
      </c>
      <c r="AT982" s="1">
        <f t="shared" si="104"/>
        <v>43352367</v>
      </c>
    </row>
    <row r="983" spans="1:46" x14ac:dyDescent="0.2">
      <c r="A983" s="1" t="str">
        <f>"01263"</f>
        <v>01263</v>
      </c>
      <c r="B983" s="1" t="str">
        <f>"حسين"</f>
        <v>حسين</v>
      </c>
      <c r="C983" s="1" t="str">
        <f>"فقيه"</f>
        <v>فقيه</v>
      </c>
      <c r="D983" s="1" t="str">
        <f t="shared" si="105"/>
        <v>قراردادي کارگري</v>
      </c>
      <c r="E983" s="1" t="str">
        <f t="shared" si="106"/>
        <v>پروژه تعميرات نيروگاه بوشهر</v>
      </c>
      <c r="F983" s="1">
        <v>5809437</v>
      </c>
      <c r="G983" s="1">
        <v>1953009</v>
      </c>
      <c r="H983" s="1">
        <v>0</v>
      </c>
      <c r="I983" s="1">
        <v>3485663</v>
      </c>
      <c r="J983" s="1">
        <v>0</v>
      </c>
      <c r="K983" s="1">
        <v>0</v>
      </c>
      <c r="L983" s="1">
        <v>7672721</v>
      </c>
      <c r="M983" s="1">
        <v>1000000</v>
      </c>
      <c r="N983" s="1">
        <v>3098366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7610742</v>
      </c>
      <c r="W983" s="1">
        <v>1900000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32529938</v>
      </c>
      <c r="AP983" s="1">
        <v>3805096</v>
      </c>
      <c r="AQ983" s="1">
        <v>28724842</v>
      </c>
      <c r="AR983" s="1">
        <v>6505988</v>
      </c>
      <c r="AS983" s="1">
        <v>975898</v>
      </c>
      <c r="AT983" s="1">
        <f t="shared" si="104"/>
        <v>40011824</v>
      </c>
    </row>
    <row r="984" spans="1:46" x14ac:dyDescent="0.2">
      <c r="A984" s="1" t="str">
        <f>"01264"</f>
        <v>01264</v>
      </c>
      <c r="B984" s="1" t="str">
        <f>"محمد علي"</f>
        <v>محمد علي</v>
      </c>
      <c r="C984" s="1" t="str">
        <f>"قناعت زاده"</f>
        <v>قناعت زاده</v>
      </c>
      <c r="D984" s="1" t="str">
        <f t="shared" si="105"/>
        <v>قراردادي کارگري</v>
      </c>
      <c r="E984" s="1" t="str">
        <f t="shared" si="106"/>
        <v>پروژه تعميرات نيروگاه بوشهر</v>
      </c>
      <c r="F984" s="1">
        <v>6041327</v>
      </c>
      <c r="G984" s="1">
        <v>2399324</v>
      </c>
      <c r="H984" s="1">
        <v>0</v>
      </c>
      <c r="I984" s="1">
        <v>3624796</v>
      </c>
      <c r="J984" s="1">
        <v>0</v>
      </c>
      <c r="K984" s="1">
        <v>0</v>
      </c>
      <c r="L984" s="1">
        <v>7672721</v>
      </c>
      <c r="M984" s="1">
        <v>1000000</v>
      </c>
      <c r="N984" s="1">
        <v>3222042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7773992</v>
      </c>
      <c r="W984" s="1">
        <v>1900000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>
        <v>33634202</v>
      </c>
      <c r="AP984" s="1">
        <v>8080394</v>
      </c>
      <c r="AQ984" s="1">
        <v>25553808</v>
      </c>
      <c r="AR984" s="1">
        <v>6726840</v>
      </c>
      <c r="AS984" s="1">
        <v>1009026</v>
      </c>
      <c r="AT984" s="1">
        <f t="shared" si="104"/>
        <v>41370068</v>
      </c>
    </row>
    <row r="985" spans="1:46" x14ac:dyDescent="0.2">
      <c r="A985" s="1" t="str">
        <f>"01266"</f>
        <v>01266</v>
      </c>
      <c r="B985" s="1" t="str">
        <f>"مجيد"</f>
        <v>مجيد</v>
      </c>
      <c r="C985" s="1" t="str">
        <f>"ماندني زاده"</f>
        <v>ماندني زاده</v>
      </c>
      <c r="D985" s="1" t="str">
        <f t="shared" si="105"/>
        <v>قراردادي کارگري</v>
      </c>
      <c r="E985" s="1" t="str">
        <f t="shared" si="106"/>
        <v>پروژه تعميرات نيروگاه بوشهر</v>
      </c>
      <c r="F985" s="1">
        <v>6016917</v>
      </c>
      <c r="G985" s="1">
        <v>0</v>
      </c>
      <c r="H985" s="1">
        <v>0</v>
      </c>
      <c r="I985" s="1">
        <v>3610150</v>
      </c>
      <c r="J985" s="1">
        <v>0</v>
      </c>
      <c r="K985" s="1">
        <v>0</v>
      </c>
      <c r="L985" s="1">
        <v>7672721</v>
      </c>
      <c r="M985" s="1">
        <v>1000000</v>
      </c>
      <c r="N985" s="1">
        <v>3209021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4466041</v>
      </c>
      <c r="W985" s="1">
        <v>1900000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27874850</v>
      </c>
      <c r="AP985" s="1">
        <v>12747804</v>
      </c>
      <c r="AQ985" s="1">
        <v>15127046</v>
      </c>
      <c r="AR985" s="1">
        <v>5574970</v>
      </c>
      <c r="AS985" s="1">
        <v>836246</v>
      </c>
      <c r="AT985" s="1">
        <f t="shared" si="104"/>
        <v>34286066</v>
      </c>
    </row>
    <row r="986" spans="1:46" x14ac:dyDescent="0.2">
      <c r="A986" s="1" t="str">
        <f>"01267"</f>
        <v>01267</v>
      </c>
      <c r="B986" s="1" t="str">
        <f>"کريم"</f>
        <v>کريم</v>
      </c>
      <c r="C986" s="1" t="str">
        <f>"محمدي"</f>
        <v>محمدي</v>
      </c>
      <c r="D986" s="1" t="str">
        <f t="shared" si="105"/>
        <v>قراردادي کارگري</v>
      </c>
      <c r="E986" s="1" t="str">
        <f t="shared" si="106"/>
        <v>پروژه تعميرات نيروگاه بوشهر</v>
      </c>
      <c r="F986" s="1">
        <v>1957476</v>
      </c>
      <c r="G986" s="1">
        <v>3788727</v>
      </c>
      <c r="H986" s="1">
        <v>0</v>
      </c>
      <c r="I986" s="1">
        <v>1174486</v>
      </c>
      <c r="J986" s="1">
        <v>0</v>
      </c>
      <c r="K986" s="1">
        <v>0</v>
      </c>
      <c r="L986" s="1">
        <v>2722578</v>
      </c>
      <c r="M986" s="1">
        <v>354839</v>
      </c>
      <c r="N986" s="1">
        <v>1043987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2627414</v>
      </c>
      <c r="W986" s="1">
        <v>674194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14343701</v>
      </c>
      <c r="AP986" s="1">
        <v>5437297</v>
      </c>
      <c r="AQ986" s="1">
        <v>8906404</v>
      </c>
      <c r="AR986" s="1">
        <v>2868740</v>
      </c>
      <c r="AS986" s="1">
        <v>430311</v>
      </c>
      <c r="AT986" s="1">
        <f t="shared" si="104"/>
        <v>17642752</v>
      </c>
    </row>
    <row r="987" spans="1:46" x14ac:dyDescent="0.2">
      <c r="A987" s="1" t="str">
        <f>"01268"</f>
        <v>01268</v>
      </c>
      <c r="B987" s="1" t="str">
        <f>"رضا"</f>
        <v>رضا</v>
      </c>
      <c r="C987" s="1" t="str">
        <f>"سهيلي راد"</f>
        <v>سهيلي راد</v>
      </c>
      <c r="D987" s="1" t="str">
        <f>"قراردادي بهره بردار"</f>
        <v>قراردادي بهره بردار</v>
      </c>
      <c r="E987" s="1" t="str">
        <f>"پروژه بهره برداري نيروگاه بوشهر"</f>
        <v>پروژه بهره برداري نيروگاه بوشهر</v>
      </c>
      <c r="F987" s="1">
        <v>16197789</v>
      </c>
      <c r="G987" s="1">
        <v>1585089</v>
      </c>
      <c r="H987" s="1">
        <v>0</v>
      </c>
      <c r="I987" s="1">
        <v>8270540</v>
      </c>
      <c r="J987" s="1">
        <v>0</v>
      </c>
      <c r="K987" s="1">
        <v>5500000</v>
      </c>
      <c r="L987" s="1">
        <v>0</v>
      </c>
      <c r="M987" s="1">
        <v>1000000</v>
      </c>
      <c r="N987" s="1">
        <v>2667465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1606000</v>
      </c>
      <c r="U987" s="1">
        <v>0</v>
      </c>
      <c r="V987" s="1">
        <v>3299680</v>
      </c>
      <c r="W987" s="1">
        <v>1900000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1905332</v>
      </c>
      <c r="AF987" s="1">
        <v>4550643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3955687</v>
      </c>
      <c r="AM987" s="1">
        <v>0</v>
      </c>
      <c r="AN987" s="1">
        <v>0</v>
      </c>
      <c r="AO987" s="1">
        <v>52438225</v>
      </c>
      <c r="AP987" s="1">
        <v>7154163</v>
      </c>
      <c r="AQ987" s="1">
        <v>45284062</v>
      </c>
      <c r="AR987" s="1">
        <v>9256316</v>
      </c>
      <c r="AS987" s="1">
        <v>1388446</v>
      </c>
      <c r="AT987" s="1">
        <f t="shared" si="104"/>
        <v>63082987</v>
      </c>
    </row>
    <row r="988" spans="1:46" x14ac:dyDescent="0.2">
      <c r="A988" s="1" t="str">
        <f>"01269"</f>
        <v>01269</v>
      </c>
      <c r="B988" s="1" t="str">
        <f>"حسن"</f>
        <v>حسن</v>
      </c>
      <c r="C988" s="1" t="str">
        <f>"انصاري"</f>
        <v>انصاري</v>
      </c>
      <c r="D988" s="1" t="str">
        <f>"قراردادي کارگري"</f>
        <v>قراردادي کارگري</v>
      </c>
      <c r="E988" s="1" t="str">
        <f>"پروژه تعميرات نيروگاه بوشهر"</f>
        <v>پروژه تعميرات نيروگاه بوشهر</v>
      </c>
      <c r="F988" s="1">
        <v>6187783</v>
      </c>
      <c r="G988" s="1">
        <v>1434358</v>
      </c>
      <c r="H988" s="1">
        <v>0</v>
      </c>
      <c r="I988" s="1">
        <v>3712670</v>
      </c>
      <c r="J988" s="1">
        <v>0</v>
      </c>
      <c r="K988" s="1">
        <v>0</v>
      </c>
      <c r="L988" s="1">
        <v>7672721</v>
      </c>
      <c r="M988" s="1">
        <v>1000000</v>
      </c>
      <c r="N988" s="1">
        <v>3300153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4535298</v>
      </c>
      <c r="W988" s="1">
        <v>1900000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1516881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31259864</v>
      </c>
      <c r="AP988" s="1">
        <v>7298489</v>
      </c>
      <c r="AQ988" s="1">
        <v>23961375</v>
      </c>
      <c r="AR988" s="1">
        <v>5948597</v>
      </c>
      <c r="AS988" s="1">
        <v>892289</v>
      </c>
      <c r="AT988" s="1">
        <f t="shared" si="104"/>
        <v>38100750</v>
      </c>
    </row>
    <row r="989" spans="1:46" x14ac:dyDescent="0.2">
      <c r="A989" s="1" t="str">
        <f>"01270"</f>
        <v>01270</v>
      </c>
      <c r="B989" s="1" t="str">
        <f>"عليرضا"</f>
        <v>عليرضا</v>
      </c>
      <c r="C989" s="1" t="str">
        <f>"رجب زاده"</f>
        <v>رجب زاده</v>
      </c>
      <c r="D989" s="1" t="str">
        <f>"قراردادي کارگري"</f>
        <v>قراردادي کارگري</v>
      </c>
      <c r="E989" s="1" t="str">
        <f>"پروژه تعميرات نيروگاه بوشهر"</f>
        <v>پروژه تعميرات نيروگاه بوشهر</v>
      </c>
      <c r="F989" s="1">
        <v>5510423</v>
      </c>
      <c r="G989" s="1">
        <v>1002963</v>
      </c>
      <c r="H989" s="1">
        <v>0</v>
      </c>
      <c r="I989" s="1">
        <v>3306253</v>
      </c>
      <c r="J989" s="1">
        <v>0</v>
      </c>
      <c r="K989" s="1">
        <v>0</v>
      </c>
      <c r="L989" s="1">
        <v>7672721</v>
      </c>
      <c r="M989" s="1">
        <v>1000000</v>
      </c>
      <c r="N989" s="1">
        <v>2938893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4260741</v>
      </c>
      <c r="W989" s="1">
        <v>1900000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1516881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29108875</v>
      </c>
      <c r="AP989" s="1">
        <v>6302106</v>
      </c>
      <c r="AQ989" s="1">
        <v>22806769</v>
      </c>
      <c r="AR989" s="1">
        <v>5518399</v>
      </c>
      <c r="AS989" s="1">
        <v>827760</v>
      </c>
      <c r="AT989" s="1">
        <f t="shared" si="104"/>
        <v>35455034</v>
      </c>
    </row>
    <row r="990" spans="1:46" x14ac:dyDescent="0.2">
      <c r="A990" s="1" t="str">
        <f>"01272"</f>
        <v>01272</v>
      </c>
      <c r="B990" s="1" t="str">
        <f>"عبداله"</f>
        <v>عبداله</v>
      </c>
      <c r="C990" s="1" t="str">
        <f>"هنرمند"</f>
        <v>هنرمند</v>
      </c>
      <c r="D990" s="1" t="str">
        <f>"قراردادي کارگري"</f>
        <v>قراردادي کارگري</v>
      </c>
      <c r="E990" s="1" t="str">
        <f>"پروژه تعميرات نيروگاه بوشهر"</f>
        <v>پروژه تعميرات نيروگاه بوشهر</v>
      </c>
      <c r="F990" s="1">
        <v>6419672</v>
      </c>
      <c r="G990" s="1">
        <v>2017937</v>
      </c>
      <c r="H990" s="1">
        <v>0</v>
      </c>
      <c r="I990" s="1">
        <v>3851804</v>
      </c>
      <c r="J990" s="1">
        <v>0</v>
      </c>
      <c r="K990" s="1">
        <v>0</v>
      </c>
      <c r="L990" s="1">
        <v>7672721</v>
      </c>
      <c r="M990" s="1">
        <v>1000000</v>
      </c>
      <c r="N990" s="1">
        <v>3423825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4629291</v>
      </c>
      <c r="W990" s="1">
        <v>1900000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1516881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32432131</v>
      </c>
      <c r="AP990" s="1">
        <v>6073782</v>
      </c>
      <c r="AQ990" s="1">
        <v>26358349</v>
      </c>
      <c r="AR990" s="1">
        <v>6183050</v>
      </c>
      <c r="AS990" s="1">
        <v>927458</v>
      </c>
      <c r="AT990" s="1">
        <f t="shared" si="104"/>
        <v>39542639</v>
      </c>
    </row>
    <row r="991" spans="1:46" x14ac:dyDescent="0.2">
      <c r="A991" s="1" t="str">
        <f>"01273"</f>
        <v>01273</v>
      </c>
      <c r="B991" s="1" t="str">
        <f>"ايمان"</f>
        <v>ايمان</v>
      </c>
      <c r="C991" s="1" t="str">
        <f>"آشوري"</f>
        <v>آشوري</v>
      </c>
      <c r="D991" s="1" t="str">
        <f>"قراردادي کارگري"</f>
        <v>قراردادي کارگري</v>
      </c>
      <c r="E991" s="1" t="str">
        <f>"پروژه تعميرات نيروگاه بوشهر"</f>
        <v>پروژه تعميرات نيروگاه بوشهر</v>
      </c>
      <c r="F991" s="1">
        <v>6437980</v>
      </c>
      <c r="G991" s="1">
        <v>0</v>
      </c>
      <c r="H991" s="1">
        <v>0</v>
      </c>
      <c r="I991" s="1">
        <v>3862788</v>
      </c>
      <c r="J991" s="1">
        <v>0</v>
      </c>
      <c r="K991" s="1">
        <v>0</v>
      </c>
      <c r="L991" s="1">
        <v>7672721</v>
      </c>
      <c r="M991" s="1">
        <v>1000000</v>
      </c>
      <c r="N991" s="1">
        <v>3433590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4636711</v>
      </c>
      <c r="W991" s="1">
        <v>1900000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3033762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31977552</v>
      </c>
      <c r="AP991" s="1">
        <v>2121213</v>
      </c>
      <c r="AQ991" s="1">
        <v>29856339</v>
      </c>
      <c r="AR991" s="1">
        <v>5788758</v>
      </c>
      <c r="AS991" s="1">
        <v>868314</v>
      </c>
      <c r="AT991" s="1">
        <f t="shared" si="104"/>
        <v>38634624</v>
      </c>
    </row>
    <row r="992" spans="1:46" x14ac:dyDescent="0.2">
      <c r="A992" s="1" t="str">
        <f>"01274"</f>
        <v>01274</v>
      </c>
      <c r="B992" s="1" t="str">
        <f>"حيدر"</f>
        <v>حيدر</v>
      </c>
      <c r="C992" s="1" t="str">
        <f>"قاسمي قلعه سيدي"</f>
        <v>قاسمي قلعه سيدي</v>
      </c>
      <c r="D992" s="1" t="str">
        <f>"قراردادي بهره بردار"</f>
        <v>قراردادي بهره بردار</v>
      </c>
      <c r="E992" s="1" t="str">
        <f>"پروژه بهره برداري نيروگاه بوشهر"</f>
        <v>پروژه بهره برداري نيروگاه بوشهر</v>
      </c>
      <c r="F992" s="1">
        <v>14732233</v>
      </c>
      <c r="G992" s="1">
        <v>7384714</v>
      </c>
      <c r="H992" s="1">
        <v>0</v>
      </c>
      <c r="I992" s="1">
        <v>13011553</v>
      </c>
      <c r="J992" s="1">
        <v>0</v>
      </c>
      <c r="K992" s="1">
        <v>4620000</v>
      </c>
      <c r="L992" s="1">
        <v>0</v>
      </c>
      <c r="M992" s="1">
        <v>1000000</v>
      </c>
      <c r="N992" s="1">
        <v>2557056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1606000</v>
      </c>
      <c r="U992" s="1">
        <v>0</v>
      </c>
      <c r="V992" s="1">
        <v>3805525</v>
      </c>
      <c r="W992" s="1">
        <v>1900000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1826468</v>
      </c>
      <c r="AF992" s="1">
        <v>3033762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5927944</v>
      </c>
      <c r="AM992" s="1">
        <v>0</v>
      </c>
      <c r="AN992" s="1">
        <v>0</v>
      </c>
      <c r="AO992" s="1">
        <v>61405255</v>
      </c>
      <c r="AP992" s="1">
        <v>9698503</v>
      </c>
      <c r="AQ992" s="1">
        <v>51706752</v>
      </c>
      <c r="AR992" s="1">
        <v>11353099</v>
      </c>
      <c r="AS992" s="1">
        <v>1702965</v>
      </c>
      <c r="AT992" s="1">
        <f t="shared" si="104"/>
        <v>74461319</v>
      </c>
    </row>
    <row r="993" spans="1:46" x14ac:dyDescent="0.2">
      <c r="A993" s="1" t="str">
        <f>"01275"</f>
        <v>01275</v>
      </c>
      <c r="B993" s="1" t="str">
        <f>"ماجد"</f>
        <v>ماجد</v>
      </c>
      <c r="C993" s="1" t="str">
        <f>"مجدميان سعدوني"</f>
        <v>مجدميان سعدوني</v>
      </c>
      <c r="D993" s="1" t="str">
        <f t="shared" ref="D993:D999" si="107">"قراردادي کارگري"</f>
        <v>قراردادي کارگري</v>
      </c>
      <c r="E993" s="1" t="str">
        <f t="shared" ref="E993:E1024" si="108">"پروژه تعميرات نيروگاه بوشهر"</f>
        <v>پروژه تعميرات نيروگاه بوشهر</v>
      </c>
      <c r="F993" s="1">
        <v>6077941</v>
      </c>
      <c r="G993" s="1">
        <v>4341504</v>
      </c>
      <c r="H993" s="1">
        <v>0</v>
      </c>
      <c r="I993" s="1">
        <v>3646765</v>
      </c>
      <c r="J993" s="1">
        <v>0</v>
      </c>
      <c r="K993" s="1">
        <v>0</v>
      </c>
      <c r="L993" s="1">
        <v>7672721</v>
      </c>
      <c r="M993" s="1">
        <v>1000000</v>
      </c>
      <c r="N993" s="1">
        <v>3241569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7327055</v>
      </c>
      <c r="W993" s="1">
        <v>1900000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0</v>
      </c>
      <c r="AO993" s="1">
        <v>35207555</v>
      </c>
      <c r="AP993" s="1">
        <v>3562431</v>
      </c>
      <c r="AQ993" s="1">
        <v>31645124</v>
      </c>
      <c r="AR993" s="1">
        <v>7041511</v>
      </c>
      <c r="AS993" s="1">
        <v>1056227</v>
      </c>
      <c r="AT993" s="1">
        <f t="shared" si="104"/>
        <v>43305293</v>
      </c>
    </row>
    <row r="994" spans="1:46" x14ac:dyDescent="0.2">
      <c r="A994" s="1" t="str">
        <f>"01276"</f>
        <v>01276</v>
      </c>
      <c r="B994" s="1" t="str">
        <f>"کاظم"</f>
        <v>کاظم</v>
      </c>
      <c r="C994" s="1" t="str">
        <f>"زارعي نيا"</f>
        <v>زارعي نيا</v>
      </c>
      <c r="D994" s="1" t="str">
        <f t="shared" si="107"/>
        <v>قراردادي کارگري</v>
      </c>
      <c r="E994" s="1" t="str">
        <f t="shared" si="108"/>
        <v>پروژه تعميرات نيروگاه بوشهر</v>
      </c>
      <c r="F994" s="1">
        <v>5565343</v>
      </c>
      <c r="G994" s="1">
        <v>3370184</v>
      </c>
      <c r="H994" s="1">
        <v>0</v>
      </c>
      <c r="I994" s="1">
        <v>3339206</v>
      </c>
      <c r="J994" s="1">
        <v>0</v>
      </c>
      <c r="K994" s="1">
        <v>0</v>
      </c>
      <c r="L994" s="1">
        <v>7672721</v>
      </c>
      <c r="M994" s="1">
        <v>1000000</v>
      </c>
      <c r="N994" s="1">
        <v>2968183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6988057</v>
      </c>
      <c r="W994" s="1">
        <v>1900000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2931818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3594863</v>
      </c>
      <c r="AK994" s="1">
        <v>0</v>
      </c>
      <c r="AL994" s="1">
        <v>0</v>
      </c>
      <c r="AM994" s="1">
        <v>0</v>
      </c>
      <c r="AN994" s="1">
        <v>0</v>
      </c>
      <c r="AO994" s="1">
        <v>39330375</v>
      </c>
      <c r="AP994" s="1">
        <v>6959903</v>
      </c>
      <c r="AQ994" s="1">
        <v>32370472</v>
      </c>
      <c r="AR994" s="1">
        <v>7866075</v>
      </c>
      <c r="AS994" s="1">
        <v>1179911</v>
      </c>
      <c r="AT994" s="1">
        <f t="shared" si="104"/>
        <v>48376361</v>
      </c>
    </row>
    <row r="995" spans="1:46" x14ac:dyDescent="0.2">
      <c r="A995" s="1" t="str">
        <f>"01277"</f>
        <v>01277</v>
      </c>
      <c r="B995" s="1" t="str">
        <f>"عبدالمجيد"</f>
        <v>عبدالمجيد</v>
      </c>
      <c r="C995" s="1" t="str">
        <f>"صادقي پور"</f>
        <v>صادقي پور</v>
      </c>
      <c r="D995" s="1" t="str">
        <f t="shared" si="107"/>
        <v>قراردادي کارگري</v>
      </c>
      <c r="E995" s="1" t="str">
        <f t="shared" si="108"/>
        <v>پروژه تعميرات نيروگاه بوشهر</v>
      </c>
      <c r="F995" s="1">
        <v>7975772</v>
      </c>
      <c r="G995" s="1">
        <v>3286740</v>
      </c>
      <c r="H995" s="1">
        <v>0</v>
      </c>
      <c r="I995" s="1">
        <v>4785463</v>
      </c>
      <c r="J995" s="1">
        <v>0</v>
      </c>
      <c r="K995" s="1">
        <v>0</v>
      </c>
      <c r="L995" s="1">
        <v>7672721</v>
      </c>
      <c r="M995" s="1">
        <v>1000000</v>
      </c>
      <c r="N995" s="1">
        <v>4253746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8582154</v>
      </c>
      <c r="W995" s="1">
        <v>1900000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1516881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40973477</v>
      </c>
      <c r="AP995" s="1">
        <v>14591136</v>
      </c>
      <c r="AQ995" s="1">
        <v>26382341</v>
      </c>
      <c r="AR995" s="1">
        <v>7891319</v>
      </c>
      <c r="AS995" s="1">
        <v>1183698</v>
      </c>
      <c r="AT995" s="1">
        <f t="shared" si="104"/>
        <v>50048494</v>
      </c>
    </row>
    <row r="996" spans="1:46" x14ac:dyDescent="0.2">
      <c r="A996" s="1" t="str">
        <f>"01278"</f>
        <v>01278</v>
      </c>
      <c r="B996" s="1" t="str">
        <f>"روح الله"</f>
        <v>روح الله</v>
      </c>
      <c r="C996" s="1" t="str">
        <f>"ونکي"</f>
        <v>ونکي</v>
      </c>
      <c r="D996" s="1" t="str">
        <f t="shared" si="107"/>
        <v>قراردادي کارگري</v>
      </c>
      <c r="E996" s="1" t="str">
        <f t="shared" si="108"/>
        <v>پروژه تعميرات نيروگاه بوشهر</v>
      </c>
      <c r="F996" s="1">
        <v>7853725</v>
      </c>
      <c r="G996" s="1">
        <v>5809008</v>
      </c>
      <c r="H996" s="1">
        <v>0</v>
      </c>
      <c r="I996" s="1">
        <v>4712235</v>
      </c>
      <c r="J996" s="1">
        <v>0</v>
      </c>
      <c r="K996" s="1">
        <v>0</v>
      </c>
      <c r="L996" s="1">
        <v>7672721</v>
      </c>
      <c r="M996" s="1">
        <v>1000000</v>
      </c>
      <c r="N996" s="1">
        <v>4188654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8501440</v>
      </c>
      <c r="W996" s="1">
        <v>1900000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1516881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>
        <v>43154664</v>
      </c>
      <c r="AP996" s="1">
        <v>7416811</v>
      </c>
      <c r="AQ996" s="1">
        <v>35737853</v>
      </c>
      <c r="AR996" s="1">
        <v>8327557</v>
      </c>
      <c r="AS996" s="1">
        <v>1249133</v>
      </c>
      <c r="AT996" s="1">
        <f t="shared" si="104"/>
        <v>52731354</v>
      </c>
    </row>
    <row r="997" spans="1:46" x14ac:dyDescent="0.2">
      <c r="A997" s="1" t="str">
        <f>"01279"</f>
        <v>01279</v>
      </c>
      <c r="B997" s="1" t="str">
        <f>"بهرام"</f>
        <v>بهرام</v>
      </c>
      <c r="C997" s="1" t="str">
        <f>"قائدي"</f>
        <v>قائدي</v>
      </c>
      <c r="D997" s="1" t="str">
        <f t="shared" si="107"/>
        <v>قراردادي کارگري</v>
      </c>
      <c r="E997" s="1" t="str">
        <f t="shared" si="108"/>
        <v>پروژه تعميرات نيروگاه بوشهر</v>
      </c>
      <c r="F997" s="1">
        <v>6816324</v>
      </c>
      <c r="G997" s="1">
        <v>9929254</v>
      </c>
      <c r="H997" s="1">
        <v>0</v>
      </c>
      <c r="I997" s="1">
        <v>4089795</v>
      </c>
      <c r="J997" s="1">
        <v>0</v>
      </c>
      <c r="K997" s="1">
        <v>0</v>
      </c>
      <c r="L997" s="1">
        <v>7628143</v>
      </c>
      <c r="M997" s="1">
        <v>1000000</v>
      </c>
      <c r="N997" s="1">
        <v>3635372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2516631</v>
      </c>
      <c r="W997" s="1">
        <v>1900000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0</v>
      </c>
      <c r="AO997" s="1">
        <v>37515519</v>
      </c>
      <c r="AP997" s="1">
        <v>5662388</v>
      </c>
      <c r="AQ997" s="1">
        <v>31853131</v>
      </c>
      <c r="AR997" s="1">
        <v>7503104</v>
      </c>
      <c r="AS997" s="1">
        <v>1125466</v>
      </c>
      <c r="AT997" s="1">
        <f t="shared" si="104"/>
        <v>46144089</v>
      </c>
    </row>
    <row r="998" spans="1:46" x14ac:dyDescent="0.2">
      <c r="A998" s="1" t="str">
        <f>"01280"</f>
        <v>01280</v>
      </c>
      <c r="B998" s="1" t="str">
        <f>"روح اله"</f>
        <v>روح اله</v>
      </c>
      <c r="C998" s="1" t="str">
        <f>"حقيقي"</f>
        <v>حقيقي</v>
      </c>
      <c r="D998" s="1" t="str">
        <f t="shared" si="107"/>
        <v>قراردادي کارگري</v>
      </c>
      <c r="E998" s="1" t="str">
        <f t="shared" si="108"/>
        <v>پروژه تعميرات نيروگاه بوشهر</v>
      </c>
      <c r="F998" s="1">
        <v>5492115</v>
      </c>
      <c r="G998" s="1">
        <v>14859810</v>
      </c>
      <c r="H998" s="1">
        <v>0</v>
      </c>
      <c r="I998" s="1">
        <v>3350191</v>
      </c>
      <c r="J998" s="1">
        <v>0</v>
      </c>
      <c r="K998" s="1">
        <v>0</v>
      </c>
      <c r="L998" s="1">
        <v>7628143</v>
      </c>
      <c r="M998" s="1">
        <v>1000000</v>
      </c>
      <c r="N998" s="1">
        <v>2929128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5375098</v>
      </c>
      <c r="W998" s="1">
        <v>1900000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0</v>
      </c>
      <c r="AO998" s="1">
        <v>42534485</v>
      </c>
      <c r="AP998" s="1">
        <v>7083129</v>
      </c>
      <c r="AQ998" s="1">
        <v>35451356</v>
      </c>
      <c r="AR998" s="1">
        <v>8506897</v>
      </c>
      <c r="AS998" s="1">
        <v>1276035</v>
      </c>
      <c r="AT998" s="1">
        <f t="shared" si="104"/>
        <v>52317417</v>
      </c>
    </row>
    <row r="999" spans="1:46" x14ac:dyDescent="0.2">
      <c r="A999" s="1" t="str">
        <f>"01281"</f>
        <v>01281</v>
      </c>
      <c r="B999" s="1" t="str">
        <f>"فرشيد"</f>
        <v>فرشيد</v>
      </c>
      <c r="C999" s="1" t="str">
        <f>"نگين تاجي"</f>
        <v>نگين تاجي</v>
      </c>
      <c r="D999" s="1" t="str">
        <f t="shared" si="107"/>
        <v>قراردادي کارگري</v>
      </c>
      <c r="E999" s="1" t="str">
        <f t="shared" si="108"/>
        <v>پروژه تعميرات نيروگاه بوشهر</v>
      </c>
      <c r="F999" s="1">
        <v>5412785</v>
      </c>
      <c r="G999" s="1">
        <v>0</v>
      </c>
      <c r="H999" s="1">
        <v>0</v>
      </c>
      <c r="I999" s="1">
        <v>3247671</v>
      </c>
      <c r="J999" s="1">
        <v>0</v>
      </c>
      <c r="K999" s="1">
        <v>0</v>
      </c>
      <c r="L999" s="1">
        <v>7628143</v>
      </c>
      <c r="M999" s="1">
        <v>1000000</v>
      </c>
      <c r="N999" s="1">
        <v>2886819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4212695</v>
      </c>
      <c r="W999" s="1">
        <v>1900000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0</v>
      </c>
      <c r="AO999" s="1">
        <v>26288113</v>
      </c>
      <c r="AP999" s="1">
        <v>9760842</v>
      </c>
      <c r="AQ999" s="1">
        <v>16527271</v>
      </c>
      <c r="AR999" s="1">
        <v>5257623</v>
      </c>
      <c r="AS999" s="1">
        <v>788643</v>
      </c>
      <c r="AT999" s="1">
        <f t="shared" si="104"/>
        <v>32334379</v>
      </c>
    </row>
    <row r="1000" spans="1:46" x14ac:dyDescent="0.2">
      <c r="A1000" s="1" t="str">
        <f>"01282"</f>
        <v>01282</v>
      </c>
      <c r="B1000" s="1" t="str">
        <f>"محمدرضا"</f>
        <v>محمدرضا</v>
      </c>
      <c r="C1000" s="1" t="str">
        <f>"ارجمند"</f>
        <v>ارجمند</v>
      </c>
      <c r="D1000" s="1" t="str">
        <f t="shared" ref="D1000:D1031" si="109">"قراردادي بهره بردار"</f>
        <v>قراردادي بهره بردار</v>
      </c>
      <c r="E1000" s="1" t="str">
        <f t="shared" si="108"/>
        <v>پروژه تعميرات نيروگاه بوشهر</v>
      </c>
      <c r="F1000" s="1">
        <v>11809885</v>
      </c>
      <c r="G1000" s="1">
        <v>657958</v>
      </c>
      <c r="H1000" s="1">
        <v>0</v>
      </c>
      <c r="I1000" s="1">
        <v>6342916</v>
      </c>
      <c r="J1000" s="1">
        <v>0</v>
      </c>
      <c r="K1000" s="1">
        <v>4620000</v>
      </c>
      <c r="L1000" s="1">
        <v>0</v>
      </c>
      <c r="M1000" s="1">
        <v>1000000</v>
      </c>
      <c r="N1000" s="1">
        <v>2224295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2720449</v>
      </c>
      <c r="W1000" s="1">
        <v>1900000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1588782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5238650</v>
      </c>
      <c r="AM1000" s="1">
        <v>0</v>
      </c>
      <c r="AN1000" s="1">
        <v>0</v>
      </c>
      <c r="AO1000" s="1">
        <v>38102935</v>
      </c>
      <c r="AP1000" s="1">
        <v>8133982</v>
      </c>
      <c r="AQ1000" s="1">
        <v>29968953</v>
      </c>
      <c r="AR1000" s="1">
        <v>7620587</v>
      </c>
      <c r="AS1000" s="1">
        <v>1143088</v>
      </c>
      <c r="AT1000" s="1">
        <f t="shared" si="104"/>
        <v>46866610</v>
      </c>
    </row>
    <row r="1001" spans="1:46" x14ac:dyDescent="0.2">
      <c r="A1001" s="1" t="str">
        <f>"01283"</f>
        <v>01283</v>
      </c>
      <c r="B1001" s="1" t="str">
        <f>"داوود"</f>
        <v>داوود</v>
      </c>
      <c r="C1001" s="1" t="str">
        <f>"اسدي زاده قره جلو"</f>
        <v>اسدي زاده قره جلو</v>
      </c>
      <c r="D1001" s="1" t="str">
        <f t="shared" si="109"/>
        <v>قراردادي بهره بردار</v>
      </c>
      <c r="E1001" s="1" t="str">
        <f t="shared" si="108"/>
        <v>پروژه تعميرات نيروگاه بوشهر</v>
      </c>
      <c r="F1001" s="1">
        <v>14979047</v>
      </c>
      <c r="G1001" s="1">
        <v>388614</v>
      </c>
      <c r="H1001" s="1">
        <v>0</v>
      </c>
      <c r="I1001" s="1">
        <v>8539239</v>
      </c>
      <c r="J1001" s="1">
        <v>0</v>
      </c>
      <c r="K1001" s="1">
        <v>4620000</v>
      </c>
      <c r="L1001" s="1">
        <v>0</v>
      </c>
      <c r="M1001" s="1">
        <v>1000000</v>
      </c>
      <c r="N1001" s="1">
        <v>3333502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2574011</v>
      </c>
      <c r="W1001" s="1">
        <v>1900000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2381071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-3492771</v>
      </c>
      <c r="AM1001" s="1">
        <v>0</v>
      </c>
      <c r="AN1001" s="1">
        <v>0</v>
      </c>
      <c r="AO1001" s="1">
        <v>36222713</v>
      </c>
      <c r="AP1001" s="1">
        <v>8427485</v>
      </c>
      <c r="AQ1001" s="1">
        <v>27795228</v>
      </c>
      <c r="AR1001" s="1">
        <v>7244543</v>
      </c>
      <c r="AS1001" s="1">
        <v>1086681</v>
      </c>
      <c r="AT1001" s="1">
        <f t="shared" si="104"/>
        <v>44553937</v>
      </c>
    </row>
    <row r="1002" spans="1:46" x14ac:dyDescent="0.2">
      <c r="A1002" s="1" t="str">
        <f>"01284"</f>
        <v>01284</v>
      </c>
      <c r="B1002" s="1" t="str">
        <f>"جاسم"</f>
        <v>جاسم</v>
      </c>
      <c r="C1002" s="1" t="str">
        <f>"اسکندري"</f>
        <v>اسکندري</v>
      </c>
      <c r="D1002" s="1" t="str">
        <f t="shared" si="109"/>
        <v>قراردادي بهره بردار</v>
      </c>
      <c r="E1002" s="1" t="str">
        <f t="shared" si="108"/>
        <v>پروژه تعميرات نيروگاه بوشهر</v>
      </c>
      <c r="F1002" s="1">
        <v>20691578</v>
      </c>
      <c r="G1002" s="1">
        <v>1642130</v>
      </c>
      <c r="H1002" s="1">
        <v>0</v>
      </c>
      <c r="I1002" s="1">
        <v>11228929</v>
      </c>
      <c r="J1002" s="1">
        <v>0</v>
      </c>
      <c r="K1002" s="1">
        <v>4125000</v>
      </c>
      <c r="L1002" s="1">
        <v>0</v>
      </c>
      <c r="M1002" s="1">
        <v>1000000</v>
      </c>
      <c r="N1002" s="1">
        <v>4240293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4517249</v>
      </c>
      <c r="W1002" s="1">
        <v>1900000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3028780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5982930</v>
      </c>
      <c r="AM1002" s="1">
        <v>0</v>
      </c>
      <c r="AN1002" s="1">
        <v>0</v>
      </c>
      <c r="AO1002" s="1">
        <v>58356889</v>
      </c>
      <c r="AP1002" s="1">
        <v>9330440</v>
      </c>
      <c r="AQ1002" s="1">
        <v>49026449</v>
      </c>
      <c r="AR1002" s="1">
        <v>11671378</v>
      </c>
      <c r="AS1002" s="1">
        <v>1750707</v>
      </c>
      <c r="AT1002" s="1">
        <f t="shared" si="104"/>
        <v>71778974</v>
      </c>
    </row>
    <row r="1003" spans="1:46" x14ac:dyDescent="0.2">
      <c r="A1003" s="1" t="str">
        <f>"01285"</f>
        <v>01285</v>
      </c>
      <c r="B1003" s="1" t="str">
        <f>"مجتبي"</f>
        <v>مجتبي</v>
      </c>
      <c r="C1003" s="1" t="str">
        <f>"اعتمادي"</f>
        <v>اعتمادي</v>
      </c>
      <c r="D1003" s="1" t="str">
        <f t="shared" si="109"/>
        <v>قراردادي بهره بردار</v>
      </c>
      <c r="E1003" s="1" t="str">
        <f t="shared" si="108"/>
        <v>پروژه تعميرات نيروگاه بوشهر</v>
      </c>
      <c r="F1003" s="1">
        <v>13578483</v>
      </c>
      <c r="G1003" s="1">
        <v>905394</v>
      </c>
      <c r="H1003" s="1">
        <v>0</v>
      </c>
      <c r="I1003" s="1">
        <v>7397825</v>
      </c>
      <c r="J1003" s="1">
        <v>0</v>
      </c>
      <c r="K1003" s="1">
        <v>4620000</v>
      </c>
      <c r="L1003" s="1">
        <v>0</v>
      </c>
      <c r="M1003" s="1">
        <v>1000000</v>
      </c>
      <c r="N1003" s="1">
        <v>2613282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2999728</v>
      </c>
      <c r="W1003" s="1">
        <v>1900000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1866631</v>
      </c>
      <c r="AF1003" s="1">
        <v>3033762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4541068</v>
      </c>
      <c r="AM1003" s="1">
        <v>0</v>
      </c>
      <c r="AN1003" s="1">
        <v>0</v>
      </c>
      <c r="AO1003" s="1">
        <v>44456173</v>
      </c>
      <c r="AP1003" s="1">
        <v>15021599</v>
      </c>
      <c r="AQ1003" s="1">
        <v>29434574</v>
      </c>
      <c r="AR1003" s="1">
        <v>8284482</v>
      </c>
      <c r="AS1003" s="1">
        <v>1242672</v>
      </c>
      <c r="AT1003" s="1">
        <f t="shared" si="104"/>
        <v>53983327</v>
      </c>
    </row>
    <row r="1004" spans="1:46" x14ac:dyDescent="0.2">
      <c r="A1004" s="1" t="str">
        <f>"01288"</f>
        <v>01288</v>
      </c>
      <c r="B1004" s="1" t="str">
        <f>"مهدي"</f>
        <v>مهدي</v>
      </c>
      <c r="C1004" s="1" t="str">
        <f>"انصاري جابري"</f>
        <v>انصاري جابري</v>
      </c>
      <c r="D1004" s="1" t="str">
        <f t="shared" si="109"/>
        <v>قراردادي بهره بردار</v>
      </c>
      <c r="E1004" s="1" t="str">
        <f t="shared" si="108"/>
        <v>پروژه تعميرات نيروگاه بوشهر</v>
      </c>
      <c r="F1004" s="1">
        <v>19734255</v>
      </c>
      <c r="G1004" s="1">
        <v>4119640</v>
      </c>
      <c r="H1004" s="1">
        <v>0</v>
      </c>
      <c r="I1004" s="1">
        <v>10582485</v>
      </c>
      <c r="J1004" s="1">
        <v>0</v>
      </c>
      <c r="K1004" s="1">
        <v>5500000</v>
      </c>
      <c r="L1004" s="1">
        <v>0</v>
      </c>
      <c r="M1004" s="1">
        <v>1000000</v>
      </c>
      <c r="N1004" s="1">
        <v>3905229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4268960</v>
      </c>
      <c r="W1004" s="1">
        <v>1900000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2789448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5678208</v>
      </c>
      <c r="AM1004" s="1">
        <v>0</v>
      </c>
      <c r="AN1004" s="1">
        <v>0</v>
      </c>
      <c r="AO1004" s="1">
        <v>59478225</v>
      </c>
      <c r="AP1004" s="1">
        <v>9834980</v>
      </c>
      <c r="AQ1004" s="1">
        <v>49643245</v>
      </c>
      <c r="AR1004" s="1">
        <v>11895645</v>
      </c>
      <c r="AS1004" s="1">
        <v>1784346</v>
      </c>
      <c r="AT1004" s="1">
        <f t="shared" si="104"/>
        <v>73158216</v>
      </c>
    </row>
    <row r="1005" spans="1:46" x14ac:dyDescent="0.2">
      <c r="A1005" s="1" t="str">
        <f>"01289"</f>
        <v>01289</v>
      </c>
      <c r="B1005" s="1" t="str">
        <f>"احسان"</f>
        <v>احسان</v>
      </c>
      <c r="C1005" s="1" t="str">
        <f>"اوستاد"</f>
        <v>اوستاد</v>
      </c>
      <c r="D1005" s="1" t="str">
        <f t="shared" si="109"/>
        <v>قراردادي بهره بردار</v>
      </c>
      <c r="E1005" s="1" t="str">
        <f t="shared" si="108"/>
        <v>پروژه تعميرات نيروگاه بوشهر</v>
      </c>
      <c r="F1005" s="1">
        <v>20193565</v>
      </c>
      <c r="G1005" s="1">
        <v>6249824</v>
      </c>
      <c r="H1005" s="1">
        <v>0</v>
      </c>
      <c r="I1005" s="1">
        <v>10892639</v>
      </c>
      <c r="J1005" s="1">
        <v>0</v>
      </c>
      <c r="K1005" s="1">
        <v>5500000</v>
      </c>
      <c r="L1005" s="1">
        <v>0</v>
      </c>
      <c r="M1005" s="1">
        <v>1000000</v>
      </c>
      <c r="N1005" s="1">
        <v>4065987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4375635</v>
      </c>
      <c r="W1005" s="1">
        <v>1900000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2904276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5699896</v>
      </c>
      <c r="AM1005" s="1">
        <v>0</v>
      </c>
      <c r="AN1005" s="1">
        <v>0</v>
      </c>
      <c r="AO1005" s="1">
        <v>62781822</v>
      </c>
      <c r="AP1005" s="1">
        <v>12231067</v>
      </c>
      <c r="AQ1005" s="1">
        <v>50550755</v>
      </c>
      <c r="AR1005" s="1">
        <v>12556364</v>
      </c>
      <c r="AS1005" s="1">
        <v>1883454</v>
      </c>
      <c r="AT1005" s="1">
        <f t="shared" si="104"/>
        <v>77221640</v>
      </c>
    </row>
    <row r="1006" spans="1:46" x14ac:dyDescent="0.2">
      <c r="A1006" s="1" t="str">
        <f>"01290"</f>
        <v>01290</v>
      </c>
      <c r="B1006" s="1" t="str">
        <f>"مرتضي"</f>
        <v>مرتضي</v>
      </c>
      <c r="C1006" s="1" t="str">
        <f>"اوشال"</f>
        <v>اوشال</v>
      </c>
      <c r="D1006" s="1" t="str">
        <f t="shared" si="109"/>
        <v>قراردادي بهره بردار</v>
      </c>
      <c r="E1006" s="1" t="str">
        <f t="shared" si="108"/>
        <v>پروژه تعميرات نيروگاه بوشهر</v>
      </c>
      <c r="F1006" s="1">
        <v>14876086</v>
      </c>
      <c r="G1006" s="1">
        <v>885314</v>
      </c>
      <c r="H1006" s="1">
        <v>0</v>
      </c>
      <c r="I1006" s="1">
        <v>8467886</v>
      </c>
      <c r="J1006" s="1">
        <v>0</v>
      </c>
      <c r="K1006" s="1">
        <v>3465000</v>
      </c>
      <c r="L1006" s="1">
        <v>0</v>
      </c>
      <c r="M1006" s="1">
        <v>1000000</v>
      </c>
      <c r="N1006" s="1">
        <v>3297465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2562783</v>
      </c>
      <c r="W1006" s="1">
        <v>1900000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2355331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-3368910</v>
      </c>
      <c r="AM1006" s="1">
        <v>0</v>
      </c>
      <c r="AN1006" s="1">
        <v>0</v>
      </c>
      <c r="AO1006" s="1">
        <v>35440955</v>
      </c>
      <c r="AP1006" s="1">
        <v>12709407</v>
      </c>
      <c r="AQ1006" s="1">
        <v>22731548</v>
      </c>
      <c r="AR1006" s="1">
        <v>7088192</v>
      </c>
      <c r="AS1006" s="1">
        <v>1063229</v>
      </c>
      <c r="AT1006" s="1">
        <f t="shared" si="104"/>
        <v>43592376</v>
      </c>
    </row>
    <row r="1007" spans="1:46" x14ac:dyDescent="0.2">
      <c r="A1007" s="1" t="str">
        <f>"01291"</f>
        <v>01291</v>
      </c>
      <c r="B1007" s="1" t="str">
        <f>"منصور"</f>
        <v>منصور</v>
      </c>
      <c r="C1007" s="1" t="str">
        <f>"ايزدپناه"</f>
        <v>ايزدپناه</v>
      </c>
      <c r="D1007" s="1" t="str">
        <f t="shared" si="109"/>
        <v>قراردادي بهره بردار</v>
      </c>
      <c r="E1007" s="1" t="str">
        <f t="shared" si="108"/>
        <v>پروژه تعميرات نيروگاه بوشهر</v>
      </c>
      <c r="F1007" s="1">
        <v>15599739</v>
      </c>
      <c r="G1007" s="1">
        <v>977660</v>
      </c>
      <c r="H1007" s="1">
        <v>0</v>
      </c>
      <c r="I1007" s="1">
        <v>8848480</v>
      </c>
      <c r="J1007" s="1">
        <v>0</v>
      </c>
      <c r="K1007" s="1">
        <v>4620000</v>
      </c>
      <c r="L1007" s="1">
        <v>0</v>
      </c>
      <c r="M1007" s="1">
        <v>1000000</v>
      </c>
      <c r="N1007" s="1">
        <v>3435733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3615722</v>
      </c>
      <c r="W1007" s="1">
        <v>1900000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2454096</v>
      </c>
      <c r="AF1007" s="1">
        <v>1516881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5819178</v>
      </c>
      <c r="AM1007" s="1">
        <v>0</v>
      </c>
      <c r="AN1007" s="1">
        <v>0</v>
      </c>
      <c r="AO1007" s="1">
        <v>49787489</v>
      </c>
      <c r="AP1007" s="1">
        <v>5380064</v>
      </c>
      <c r="AQ1007" s="1">
        <v>44407425</v>
      </c>
      <c r="AR1007" s="1">
        <v>9654122</v>
      </c>
      <c r="AS1007" s="1">
        <v>1448118</v>
      </c>
      <c r="AT1007" s="1">
        <f t="shared" si="104"/>
        <v>60889729</v>
      </c>
    </row>
    <row r="1008" spans="1:46" x14ac:dyDescent="0.2">
      <c r="A1008" s="1" t="str">
        <f>"01292"</f>
        <v>01292</v>
      </c>
      <c r="B1008" s="1" t="str">
        <f>"عباس"</f>
        <v>عباس</v>
      </c>
      <c r="C1008" s="1" t="str">
        <f>"ايمان منش"</f>
        <v>ايمان منش</v>
      </c>
      <c r="D1008" s="1" t="str">
        <f t="shared" si="109"/>
        <v>قراردادي بهره بردار</v>
      </c>
      <c r="E1008" s="1" t="str">
        <f t="shared" si="108"/>
        <v>پروژه تعميرات نيروگاه بوشهر</v>
      </c>
      <c r="F1008" s="1">
        <v>14703754</v>
      </c>
      <c r="G1008" s="1">
        <v>4451932</v>
      </c>
      <c r="H1008" s="1">
        <v>0</v>
      </c>
      <c r="I1008" s="1">
        <v>8074494</v>
      </c>
      <c r="J1008" s="1">
        <v>0</v>
      </c>
      <c r="K1008" s="1">
        <v>3465000</v>
      </c>
      <c r="L1008" s="1">
        <v>0</v>
      </c>
      <c r="M1008" s="1">
        <v>1000000</v>
      </c>
      <c r="N1008" s="1">
        <v>2892117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3346739</v>
      </c>
      <c r="W1008" s="1">
        <v>1900000</v>
      </c>
      <c r="X1008" s="1">
        <v>64722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2065798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5731221</v>
      </c>
      <c r="AM1008" s="1">
        <v>0</v>
      </c>
      <c r="AN1008" s="1">
        <v>0</v>
      </c>
      <c r="AO1008" s="1">
        <v>47695777</v>
      </c>
      <c r="AP1008" s="1">
        <v>7604574</v>
      </c>
      <c r="AQ1008" s="1">
        <v>40091203</v>
      </c>
      <c r="AR1008" s="1">
        <v>9539156</v>
      </c>
      <c r="AS1008" s="1">
        <v>1430873</v>
      </c>
      <c r="AT1008" s="1">
        <f t="shared" si="104"/>
        <v>58665806</v>
      </c>
    </row>
    <row r="1009" spans="1:46" x14ac:dyDescent="0.2">
      <c r="A1009" s="1" t="str">
        <f>"01294"</f>
        <v>01294</v>
      </c>
      <c r="B1009" s="1" t="str">
        <f>"حسين"</f>
        <v>حسين</v>
      </c>
      <c r="C1009" s="1" t="str">
        <f>"باغباني"</f>
        <v>باغباني</v>
      </c>
      <c r="D1009" s="1" t="str">
        <f t="shared" si="109"/>
        <v>قراردادي بهره بردار</v>
      </c>
      <c r="E1009" s="1" t="str">
        <f t="shared" si="108"/>
        <v>پروژه تعميرات نيروگاه بوشهر</v>
      </c>
      <c r="F1009" s="1">
        <v>12192888</v>
      </c>
      <c r="G1009" s="1">
        <v>4901539</v>
      </c>
      <c r="H1009" s="1">
        <v>0</v>
      </c>
      <c r="I1009" s="1">
        <v>6374932</v>
      </c>
      <c r="J1009" s="1">
        <v>0</v>
      </c>
      <c r="K1009" s="1">
        <v>3465000</v>
      </c>
      <c r="L1009" s="1">
        <v>0</v>
      </c>
      <c r="M1009" s="1">
        <v>1000000</v>
      </c>
      <c r="N1009" s="1">
        <v>2358342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3823277</v>
      </c>
      <c r="W1009" s="1">
        <v>1900000</v>
      </c>
      <c r="X1009" s="1">
        <v>125848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1684533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15622065</v>
      </c>
      <c r="AM1009" s="1">
        <v>0</v>
      </c>
      <c r="AN1009" s="1">
        <v>0</v>
      </c>
      <c r="AO1009" s="1">
        <v>53448424</v>
      </c>
      <c r="AP1009" s="1">
        <v>6075664</v>
      </c>
      <c r="AQ1009" s="1">
        <v>47372760</v>
      </c>
      <c r="AR1009" s="1">
        <v>10689685</v>
      </c>
      <c r="AS1009" s="1">
        <v>1603454</v>
      </c>
      <c r="AT1009" s="1">
        <f t="shared" si="104"/>
        <v>65741563</v>
      </c>
    </row>
    <row r="1010" spans="1:46" x14ac:dyDescent="0.2">
      <c r="A1010" s="1" t="str">
        <f>"01295"</f>
        <v>01295</v>
      </c>
      <c r="B1010" s="1" t="str">
        <f>"مهدي"</f>
        <v>مهدي</v>
      </c>
      <c r="C1010" s="1" t="str">
        <f>"برمک"</f>
        <v>برمک</v>
      </c>
      <c r="D1010" s="1" t="str">
        <f t="shared" si="109"/>
        <v>قراردادي بهره بردار</v>
      </c>
      <c r="E1010" s="1" t="str">
        <f t="shared" si="108"/>
        <v>پروژه تعميرات نيروگاه بوشهر</v>
      </c>
      <c r="F1010" s="1">
        <v>14981238</v>
      </c>
      <c r="G1010" s="1">
        <v>431448</v>
      </c>
      <c r="H1010" s="1">
        <v>0</v>
      </c>
      <c r="I1010" s="1">
        <v>8540757</v>
      </c>
      <c r="J1010" s="1">
        <v>0</v>
      </c>
      <c r="K1010" s="1">
        <v>4620000</v>
      </c>
      <c r="L1010" s="1">
        <v>0</v>
      </c>
      <c r="M1010" s="1">
        <v>1000000</v>
      </c>
      <c r="N1010" s="1">
        <v>3334269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3571577</v>
      </c>
      <c r="W1010" s="1">
        <v>1900000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2381619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6477872</v>
      </c>
      <c r="AM1010" s="1">
        <v>0</v>
      </c>
      <c r="AN1010" s="1">
        <v>0</v>
      </c>
      <c r="AO1010" s="1">
        <v>47238780</v>
      </c>
      <c r="AP1010" s="1">
        <v>8411098</v>
      </c>
      <c r="AQ1010" s="1">
        <v>38827682</v>
      </c>
      <c r="AR1010" s="1">
        <v>9447755</v>
      </c>
      <c r="AS1010" s="1">
        <v>1417164</v>
      </c>
      <c r="AT1010" s="1">
        <f t="shared" si="104"/>
        <v>58103699</v>
      </c>
    </row>
    <row r="1011" spans="1:46" x14ac:dyDescent="0.2">
      <c r="A1011" s="1" t="str">
        <f>"01297"</f>
        <v>01297</v>
      </c>
      <c r="B1011" s="1" t="str">
        <f>"مهدي"</f>
        <v>مهدي</v>
      </c>
      <c r="C1011" s="1" t="str">
        <f>"بيژني"</f>
        <v>بيژني</v>
      </c>
      <c r="D1011" s="1" t="str">
        <f t="shared" si="109"/>
        <v>قراردادي بهره بردار</v>
      </c>
      <c r="E1011" s="1" t="str">
        <f t="shared" si="108"/>
        <v>پروژه تعميرات نيروگاه بوشهر</v>
      </c>
      <c r="F1011" s="1">
        <v>15090771</v>
      </c>
      <c r="G1011" s="1">
        <v>1765436</v>
      </c>
      <c r="H1011" s="1">
        <v>0</v>
      </c>
      <c r="I1011" s="1">
        <v>8619089</v>
      </c>
      <c r="J1011" s="1">
        <v>0</v>
      </c>
      <c r="K1011" s="1">
        <v>3465000</v>
      </c>
      <c r="L1011" s="1">
        <v>0</v>
      </c>
      <c r="M1011" s="1">
        <v>1000000</v>
      </c>
      <c r="N1011" s="1">
        <v>3372602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2561213</v>
      </c>
      <c r="W1011" s="1">
        <v>1900000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2409002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-3879380</v>
      </c>
      <c r="AM1011" s="1">
        <v>0</v>
      </c>
      <c r="AN1011" s="1">
        <v>0</v>
      </c>
      <c r="AO1011" s="1">
        <v>36303733</v>
      </c>
      <c r="AP1011" s="1">
        <v>4235865</v>
      </c>
      <c r="AQ1011" s="1">
        <v>32067868</v>
      </c>
      <c r="AR1011" s="1">
        <v>7260746</v>
      </c>
      <c r="AS1011" s="1">
        <v>1089112</v>
      </c>
      <c r="AT1011" s="1">
        <f t="shared" si="104"/>
        <v>44653591</v>
      </c>
    </row>
    <row r="1012" spans="1:46" x14ac:dyDescent="0.2">
      <c r="A1012" s="1" t="str">
        <f>"01298"</f>
        <v>01298</v>
      </c>
      <c r="B1012" s="1" t="str">
        <f>"کريم"</f>
        <v>کريم</v>
      </c>
      <c r="C1012" s="1" t="str">
        <f>"پرتابيان"</f>
        <v>پرتابيان</v>
      </c>
      <c r="D1012" s="1" t="str">
        <f t="shared" si="109"/>
        <v>قراردادي بهره بردار</v>
      </c>
      <c r="E1012" s="1" t="str">
        <f t="shared" si="108"/>
        <v>پروژه تعميرات نيروگاه بوشهر</v>
      </c>
      <c r="F1012" s="1">
        <v>19200792</v>
      </c>
      <c r="G1012" s="1">
        <v>843547</v>
      </c>
      <c r="H1012" s="1">
        <v>0</v>
      </c>
      <c r="I1012" s="1">
        <v>11458747</v>
      </c>
      <c r="J1012" s="1">
        <v>0</v>
      </c>
      <c r="K1012" s="1">
        <v>4620000</v>
      </c>
      <c r="L1012" s="1">
        <v>0</v>
      </c>
      <c r="M1012" s="1">
        <v>1000000</v>
      </c>
      <c r="N1012" s="1">
        <v>4834361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4654288</v>
      </c>
      <c r="W1012" s="1">
        <v>1900000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3453117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7595821</v>
      </c>
      <c r="AM1012" s="1">
        <v>0</v>
      </c>
      <c r="AN1012" s="1">
        <v>0</v>
      </c>
      <c r="AO1012" s="1">
        <v>59560673</v>
      </c>
      <c r="AP1012" s="1">
        <v>9729794</v>
      </c>
      <c r="AQ1012" s="1">
        <v>49830879</v>
      </c>
      <c r="AR1012" s="1">
        <v>11912132</v>
      </c>
      <c r="AS1012" s="1">
        <v>1786819</v>
      </c>
      <c r="AT1012" s="1">
        <f t="shared" si="104"/>
        <v>73259624</v>
      </c>
    </row>
    <row r="1013" spans="1:46" x14ac:dyDescent="0.2">
      <c r="A1013" s="1" t="str">
        <f>"01299"</f>
        <v>01299</v>
      </c>
      <c r="B1013" s="1" t="str">
        <f>"عارف"</f>
        <v>عارف</v>
      </c>
      <c r="C1013" s="1" t="str">
        <f>"پورسوسن"</f>
        <v>پورسوسن</v>
      </c>
      <c r="D1013" s="1" t="str">
        <f t="shared" si="109"/>
        <v>قراردادي بهره بردار</v>
      </c>
      <c r="E1013" s="1" t="str">
        <f t="shared" si="108"/>
        <v>پروژه تعميرات نيروگاه بوشهر</v>
      </c>
      <c r="F1013" s="1">
        <v>15387241</v>
      </c>
      <c r="G1013" s="1">
        <v>4646640</v>
      </c>
      <c r="H1013" s="1">
        <v>0</v>
      </c>
      <c r="I1013" s="1">
        <v>8822131</v>
      </c>
      <c r="J1013" s="1">
        <v>0</v>
      </c>
      <c r="K1013" s="1">
        <v>4620000</v>
      </c>
      <c r="L1013" s="1">
        <v>0</v>
      </c>
      <c r="M1013" s="1">
        <v>1000000</v>
      </c>
      <c r="N1013" s="1">
        <v>3476368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3682173</v>
      </c>
      <c r="W1013" s="1">
        <v>1900000</v>
      </c>
      <c r="X1013" s="1">
        <v>107862</v>
      </c>
      <c r="Y1013" s="1">
        <v>0</v>
      </c>
      <c r="Z1013" s="1">
        <v>0</v>
      </c>
      <c r="AA1013" s="1">
        <v>10000000</v>
      </c>
      <c r="AB1013" s="1">
        <v>0</v>
      </c>
      <c r="AC1013" s="1">
        <v>0</v>
      </c>
      <c r="AD1013" s="1">
        <v>0</v>
      </c>
      <c r="AE1013" s="1">
        <v>2483119</v>
      </c>
      <c r="AF1013" s="1">
        <v>0</v>
      </c>
      <c r="AG1013" s="1">
        <v>0</v>
      </c>
      <c r="AH1013" s="1">
        <v>0</v>
      </c>
      <c r="AI1013" s="1">
        <v>-5000000</v>
      </c>
      <c r="AJ1013" s="1">
        <v>0</v>
      </c>
      <c r="AK1013" s="1">
        <v>0</v>
      </c>
      <c r="AL1013" s="1">
        <v>6652835</v>
      </c>
      <c r="AM1013" s="1">
        <v>0</v>
      </c>
      <c r="AN1013" s="1">
        <v>0</v>
      </c>
      <c r="AO1013" s="1">
        <v>57778369</v>
      </c>
      <c r="AP1013" s="1">
        <v>6022623</v>
      </c>
      <c r="AQ1013" s="1">
        <v>51755746</v>
      </c>
      <c r="AR1013" s="1">
        <v>10555675</v>
      </c>
      <c r="AS1013" s="1">
        <v>1583352</v>
      </c>
      <c r="AT1013" s="1">
        <f t="shared" si="104"/>
        <v>69917396</v>
      </c>
    </row>
    <row r="1014" spans="1:46" x14ac:dyDescent="0.2">
      <c r="A1014" s="1" t="str">
        <f>"01300"</f>
        <v>01300</v>
      </c>
      <c r="B1014" s="1" t="str">
        <f>"محمدجواد"</f>
        <v>محمدجواد</v>
      </c>
      <c r="C1014" s="1" t="str">
        <f>"پولادي"</f>
        <v>پولادي</v>
      </c>
      <c r="D1014" s="1" t="str">
        <f t="shared" si="109"/>
        <v>قراردادي بهره بردار</v>
      </c>
      <c r="E1014" s="1" t="str">
        <f t="shared" si="108"/>
        <v>پروژه تعميرات نيروگاه بوشهر</v>
      </c>
      <c r="F1014" s="1">
        <v>12889883</v>
      </c>
      <c r="G1014" s="1">
        <v>1929125</v>
      </c>
      <c r="H1014" s="1">
        <v>0</v>
      </c>
      <c r="I1014" s="1">
        <v>5954047</v>
      </c>
      <c r="J1014" s="1">
        <v>0</v>
      </c>
      <c r="K1014" s="1">
        <v>5500000</v>
      </c>
      <c r="L1014" s="1">
        <v>0</v>
      </c>
      <c r="M1014" s="1">
        <v>1000000</v>
      </c>
      <c r="N1014" s="1">
        <v>1509698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2485314</v>
      </c>
      <c r="W1014" s="1">
        <v>1900000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1078356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3421164</v>
      </c>
      <c r="AM1014" s="1">
        <v>0</v>
      </c>
      <c r="AN1014" s="1">
        <v>0</v>
      </c>
      <c r="AO1014" s="1">
        <v>37667587</v>
      </c>
      <c r="AP1014" s="1">
        <v>4910482</v>
      </c>
      <c r="AQ1014" s="1">
        <v>32757105</v>
      </c>
      <c r="AR1014" s="1">
        <v>7533517</v>
      </c>
      <c r="AS1014" s="1">
        <v>1130028</v>
      </c>
      <c r="AT1014" s="1">
        <f t="shared" si="104"/>
        <v>46331132</v>
      </c>
    </row>
    <row r="1015" spans="1:46" x14ac:dyDescent="0.2">
      <c r="A1015" s="1" t="str">
        <f>"01301"</f>
        <v>01301</v>
      </c>
      <c r="B1015" s="1" t="str">
        <f>"حامد"</f>
        <v>حامد</v>
      </c>
      <c r="C1015" s="1" t="str">
        <f>"تاروردي چماچايي"</f>
        <v>تاروردي چماچايي</v>
      </c>
      <c r="D1015" s="1" t="str">
        <f t="shared" si="109"/>
        <v>قراردادي بهره بردار</v>
      </c>
      <c r="E1015" s="1" t="str">
        <f t="shared" si="108"/>
        <v>پروژه تعميرات نيروگاه بوشهر</v>
      </c>
      <c r="F1015" s="1">
        <v>24776440</v>
      </c>
      <c r="G1015" s="1">
        <v>3194666</v>
      </c>
      <c r="H1015" s="1">
        <v>0</v>
      </c>
      <c r="I1015" s="1">
        <v>13819100</v>
      </c>
      <c r="J1015" s="1">
        <v>0</v>
      </c>
      <c r="K1015" s="1">
        <v>4125000</v>
      </c>
      <c r="L1015" s="1">
        <v>0</v>
      </c>
      <c r="M1015" s="1">
        <v>1000000</v>
      </c>
      <c r="N1015" s="1">
        <v>5485973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5435848</v>
      </c>
      <c r="W1015" s="1">
        <v>1900000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3918555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6358408</v>
      </c>
      <c r="AM1015" s="1">
        <v>0</v>
      </c>
      <c r="AN1015" s="1">
        <v>0</v>
      </c>
      <c r="AO1015" s="1">
        <v>70013990</v>
      </c>
      <c r="AP1015" s="1">
        <v>13014196</v>
      </c>
      <c r="AQ1015" s="1">
        <v>56999794</v>
      </c>
      <c r="AR1015" s="1">
        <v>14002798</v>
      </c>
      <c r="AS1015" s="1">
        <v>2100419</v>
      </c>
      <c r="AT1015" s="1">
        <f t="shared" si="104"/>
        <v>86117207</v>
      </c>
    </row>
    <row r="1016" spans="1:46" x14ac:dyDescent="0.2">
      <c r="A1016" s="1" t="str">
        <f>"01303"</f>
        <v>01303</v>
      </c>
      <c r="B1016" s="1" t="str">
        <f>"رضا"</f>
        <v>رضا</v>
      </c>
      <c r="C1016" s="1" t="str">
        <f>"تيموري"</f>
        <v>تيموري</v>
      </c>
      <c r="D1016" s="1" t="str">
        <f t="shared" si="109"/>
        <v>قراردادي بهره بردار</v>
      </c>
      <c r="E1016" s="1" t="str">
        <f t="shared" si="108"/>
        <v>پروژه تعميرات نيروگاه بوشهر</v>
      </c>
      <c r="F1016" s="1">
        <v>20609792</v>
      </c>
      <c r="G1016" s="1">
        <v>1951455</v>
      </c>
      <c r="H1016" s="1">
        <v>0</v>
      </c>
      <c r="I1016" s="1">
        <v>11330900</v>
      </c>
      <c r="J1016" s="1">
        <v>0</v>
      </c>
      <c r="K1016" s="1">
        <v>5500000</v>
      </c>
      <c r="L1016" s="1">
        <v>0</v>
      </c>
      <c r="M1016" s="1">
        <v>1000000</v>
      </c>
      <c r="N1016" s="1">
        <v>4211666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4501391</v>
      </c>
      <c r="W1016" s="1">
        <v>1900000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3008333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5853242</v>
      </c>
      <c r="AM1016" s="1">
        <v>0</v>
      </c>
      <c r="AN1016" s="1">
        <v>0</v>
      </c>
      <c r="AO1016" s="1">
        <v>59866779</v>
      </c>
      <c r="AP1016" s="1">
        <v>11755915</v>
      </c>
      <c r="AQ1016" s="1">
        <v>48110864</v>
      </c>
      <c r="AR1016" s="1">
        <v>11973357</v>
      </c>
      <c r="AS1016" s="1">
        <v>1796004</v>
      </c>
      <c r="AT1016" s="1">
        <f t="shared" si="104"/>
        <v>73636140</v>
      </c>
    </row>
    <row r="1017" spans="1:46" x14ac:dyDescent="0.2">
      <c r="A1017" s="1" t="str">
        <f>"01304"</f>
        <v>01304</v>
      </c>
      <c r="B1017" s="1" t="str">
        <f>"محسن"</f>
        <v>محسن</v>
      </c>
      <c r="C1017" s="1" t="str">
        <f>"جعفري"</f>
        <v>جعفري</v>
      </c>
      <c r="D1017" s="1" t="str">
        <f t="shared" si="109"/>
        <v>قراردادي بهره بردار</v>
      </c>
      <c r="E1017" s="1" t="str">
        <f t="shared" si="108"/>
        <v>پروژه تعميرات نيروگاه بوشهر</v>
      </c>
      <c r="F1017" s="1">
        <v>20737582</v>
      </c>
      <c r="G1017" s="1">
        <v>5167257</v>
      </c>
      <c r="H1017" s="1">
        <v>0</v>
      </c>
      <c r="I1017" s="1">
        <v>11259994</v>
      </c>
      <c r="J1017" s="1">
        <v>0</v>
      </c>
      <c r="K1017" s="1">
        <v>4125000</v>
      </c>
      <c r="L1017" s="1">
        <v>0</v>
      </c>
      <c r="M1017" s="1">
        <v>1000000</v>
      </c>
      <c r="N1017" s="1">
        <v>4256391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4527346</v>
      </c>
      <c r="W1017" s="1">
        <v>1900000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3040281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5979206</v>
      </c>
      <c r="AM1017" s="1">
        <v>0</v>
      </c>
      <c r="AN1017" s="1">
        <v>0</v>
      </c>
      <c r="AO1017" s="1">
        <v>61993057</v>
      </c>
      <c r="AP1017" s="1">
        <v>8256469</v>
      </c>
      <c r="AQ1017" s="1">
        <v>53736588</v>
      </c>
      <c r="AR1017" s="1">
        <v>12398612</v>
      </c>
      <c r="AS1017" s="1">
        <v>1859790</v>
      </c>
      <c r="AT1017" s="1">
        <f t="shared" si="104"/>
        <v>76251459</v>
      </c>
    </row>
    <row r="1018" spans="1:46" x14ac:dyDescent="0.2">
      <c r="A1018" s="1" t="str">
        <f>"01305"</f>
        <v>01305</v>
      </c>
      <c r="B1018" s="1" t="str">
        <f>"حسن"</f>
        <v>حسن</v>
      </c>
      <c r="C1018" s="1" t="str">
        <f>"جلوه گر خوش"</f>
        <v>جلوه گر خوش</v>
      </c>
      <c r="D1018" s="1" t="str">
        <f t="shared" si="109"/>
        <v>قراردادي بهره بردار</v>
      </c>
      <c r="E1018" s="1" t="str">
        <f t="shared" si="108"/>
        <v>پروژه تعميرات نيروگاه بوشهر</v>
      </c>
      <c r="F1018" s="1">
        <v>12070575</v>
      </c>
      <c r="G1018" s="1">
        <v>224712</v>
      </c>
      <c r="H1018" s="1">
        <v>0</v>
      </c>
      <c r="I1018" s="1">
        <v>6523579</v>
      </c>
      <c r="J1018" s="1">
        <v>0</v>
      </c>
      <c r="K1018" s="1">
        <v>4620000</v>
      </c>
      <c r="L1018" s="1">
        <v>0</v>
      </c>
      <c r="M1018" s="1">
        <v>1000000</v>
      </c>
      <c r="N1018" s="1">
        <v>2315533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2806441</v>
      </c>
      <c r="W1018" s="1">
        <v>1900000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1653955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5500765</v>
      </c>
      <c r="AM1018" s="1">
        <v>0</v>
      </c>
      <c r="AN1018" s="1">
        <v>0</v>
      </c>
      <c r="AO1018" s="1">
        <v>38615560</v>
      </c>
      <c r="AP1018" s="1">
        <v>4845755</v>
      </c>
      <c r="AQ1018" s="1">
        <v>33769805</v>
      </c>
      <c r="AR1018" s="1">
        <v>7723112</v>
      </c>
      <c r="AS1018" s="1">
        <v>1158466</v>
      </c>
      <c r="AT1018" s="1">
        <f t="shared" si="104"/>
        <v>47497138</v>
      </c>
    </row>
    <row r="1019" spans="1:46" x14ac:dyDescent="0.2">
      <c r="A1019" s="1" t="str">
        <f>"01306"</f>
        <v>01306</v>
      </c>
      <c r="B1019" s="1" t="str">
        <f>"علي اكبر"</f>
        <v>علي اكبر</v>
      </c>
      <c r="C1019" s="1" t="str">
        <f>"جوان فر"</f>
        <v>جوان فر</v>
      </c>
      <c r="D1019" s="1" t="str">
        <f t="shared" si="109"/>
        <v>قراردادي بهره بردار</v>
      </c>
      <c r="E1019" s="1" t="str">
        <f t="shared" si="108"/>
        <v>پروژه تعميرات نيروگاه بوشهر</v>
      </c>
      <c r="F1019" s="1">
        <v>13963310</v>
      </c>
      <c r="G1019" s="1">
        <v>534816</v>
      </c>
      <c r="H1019" s="1">
        <v>0</v>
      </c>
      <c r="I1019" s="1">
        <v>7835301</v>
      </c>
      <c r="J1019" s="1">
        <v>0</v>
      </c>
      <c r="K1019" s="1">
        <v>4620000</v>
      </c>
      <c r="L1019" s="1">
        <v>0</v>
      </c>
      <c r="M1019" s="1">
        <v>1000000</v>
      </c>
      <c r="N1019" s="1">
        <v>2977994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3254778</v>
      </c>
      <c r="W1019" s="1">
        <v>1900000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2127138</v>
      </c>
      <c r="AF1019" s="1">
        <v>1516881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5644033</v>
      </c>
      <c r="AM1019" s="1">
        <v>0</v>
      </c>
      <c r="AN1019" s="1">
        <v>0</v>
      </c>
      <c r="AO1019" s="1">
        <v>45374251</v>
      </c>
      <c r="AP1019" s="1">
        <v>6944682</v>
      </c>
      <c r="AQ1019" s="1">
        <v>38429569</v>
      </c>
      <c r="AR1019" s="1">
        <v>8771472</v>
      </c>
      <c r="AS1019" s="1">
        <v>1315722</v>
      </c>
      <c r="AT1019" s="1">
        <f t="shared" si="104"/>
        <v>55461445</v>
      </c>
    </row>
    <row r="1020" spans="1:46" x14ac:dyDescent="0.2">
      <c r="A1020" s="1" t="str">
        <f>"01307"</f>
        <v>01307</v>
      </c>
      <c r="B1020" s="1" t="str">
        <f>"سيد صادق"</f>
        <v>سيد صادق</v>
      </c>
      <c r="C1020" s="1" t="str">
        <f>"حسيني"</f>
        <v>حسيني</v>
      </c>
      <c r="D1020" s="1" t="str">
        <f t="shared" si="109"/>
        <v>قراردادي بهره بردار</v>
      </c>
      <c r="E1020" s="1" t="str">
        <f t="shared" si="108"/>
        <v>پروژه تعميرات نيروگاه بوشهر</v>
      </c>
      <c r="F1020" s="1">
        <v>19910969</v>
      </c>
      <c r="G1020" s="1">
        <v>1418801</v>
      </c>
      <c r="H1020" s="1">
        <v>0</v>
      </c>
      <c r="I1020" s="1">
        <v>10701814</v>
      </c>
      <c r="J1020" s="1">
        <v>0</v>
      </c>
      <c r="K1020" s="1">
        <v>4125000</v>
      </c>
      <c r="L1020" s="1">
        <v>0</v>
      </c>
      <c r="M1020" s="1">
        <v>1000000</v>
      </c>
      <c r="N1020" s="1">
        <v>3967078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4313156</v>
      </c>
      <c r="W1020" s="1">
        <v>1900000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2833627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5718078</v>
      </c>
      <c r="AM1020" s="1">
        <v>0</v>
      </c>
      <c r="AN1020" s="1">
        <v>0</v>
      </c>
      <c r="AO1020" s="1">
        <v>55888523</v>
      </c>
      <c r="AP1020" s="1">
        <v>9984259</v>
      </c>
      <c r="AQ1020" s="1">
        <v>45904264</v>
      </c>
      <c r="AR1020" s="1">
        <v>11177706</v>
      </c>
      <c r="AS1020" s="1">
        <v>1676655</v>
      </c>
      <c r="AT1020" s="1">
        <f t="shared" si="104"/>
        <v>68742884</v>
      </c>
    </row>
    <row r="1021" spans="1:46" x14ac:dyDescent="0.2">
      <c r="A1021" s="1" t="str">
        <f>"01308"</f>
        <v>01308</v>
      </c>
      <c r="B1021" s="1" t="str">
        <f>"رضا"</f>
        <v>رضا</v>
      </c>
      <c r="C1021" s="1" t="str">
        <f>"خدري"</f>
        <v>خدري</v>
      </c>
      <c r="D1021" s="1" t="str">
        <f t="shared" si="109"/>
        <v>قراردادي بهره بردار</v>
      </c>
      <c r="E1021" s="1" t="str">
        <f t="shared" si="108"/>
        <v>پروژه تعميرات نيروگاه بوشهر</v>
      </c>
      <c r="F1021" s="1">
        <v>13257913</v>
      </c>
      <c r="G1021" s="1">
        <v>4139336</v>
      </c>
      <c r="H1021" s="1">
        <v>0</v>
      </c>
      <c r="I1021" s="1">
        <v>7346443</v>
      </c>
      <c r="J1021" s="1">
        <v>0</v>
      </c>
      <c r="K1021" s="1">
        <v>3465000</v>
      </c>
      <c r="L1021" s="1">
        <v>0</v>
      </c>
      <c r="M1021" s="1">
        <v>1000000</v>
      </c>
      <c r="N1021" s="1">
        <v>2731103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3118287</v>
      </c>
      <c r="W1021" s="1">
        <v>1900000</v>
      </c>
      <c r="X1021" s="1">
        <v>18876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1950787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5896619</v>
      </c>
      <c r="AM1021" s="1">
        <v>0</v>
      </c>
      <c r="AN1021" s="1">
        <v>0</v>
      </c>
      <c r="AO1021" s="1">
        <v>44824364</v>
      </c>
      <c r="AP1021" s="1">
        <v>5326269</v>
      </c>
      <c r="AQ1021" s="1">
        <v>39498095</v>
      </c>
      <c r="AR1021" s="1">
        <v>8964872</v>
      </c>
      <c r="AS1021" s="1">
        <v>1344731</v>
      </c>
      <c r="AT1021" s="1">
        <f t="shared" si="104"/>
        <v>55133967</v>
      </c>
    </row>
    <row r="1022" spans="1:46" x14ac:dyDescent="0.2">
      <c r="A1022" s="1" t="str">
        <f>"01309"</f>
        <v>01309</v>
      </c>
      <c r="B1022" s="1" t="str">
        <f>"سجاد"</f>
        <v>سجاد</v>
      </c>
      <c r="C1022" s="1" t="str">
        <f>"ذكاوت جو"</f>
        <v>ذكاوت جو</v>
      </c>
      <c r="D1022" s="1" t="str">
        <f t="shared" si="109"/>
        <v>قراردادي بهره بردار</v>
      </c>
      <c r="E1022" s="1" t="str">
        <f t="shared" si="108"/>
        <v>پروژه تعميرات نيروگاه بوشهر</v>
      </c>
      <c r="F1022" s="1">
        <v>13323635</v>
      </c>
      <c r="G1022" s="1">
        <v>404483</v>
      </c>
      <c r="H1022" s="1">
        <v>0</v>
      </c>
      <c r="I1022" s="1">
        <v>7391989</v>
      </c>
      <c r="J1022" s="1">
        <v>0</v>
      </c>
      <c r="K1022" s="1">
        <v>3465000</v>
      </c>
      <c r="L1022" s="1">
        <v>0</v>
      </c>
      <c r="M1022" s="1">
        <v>1000000</v>
      </c>
      <c r="N1022" s="1">
        <v>2754106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3122735</v>
      </c>
      <c r="W1022" s="1">
        <v>1900000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1967219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5790370</v>
      </c>
      <c r="AM1022" s="1">
        <v>0</v>
      </c>
      <c r="AN1022" s="1">
        <v>0</v>
      </c>
      <c r="AO1022" s="1">
        <v>41119537</v>
      </c>
      <c r="AP1022" s="1">
        <v>6817598</v>
      </c>
      <c r="AQ1022" s="1">
        <v>34301939</v>
      </c>
      <c r="AR1022" s="1">
        <v>8223907</v>
      </c>
      <c r="AS1022" s="1">
        <v>1233586</v>
      </c>
      <c r="AT1022" s="1">
        <f t="shared" si="104"/>
        <v>50577030</v>
      </c>
    </row>
    <row r="1023" spans="1:46" x14ac:dyDescent="0.2">
      <c r="A1023" s="1" t="str">
        <f>"01310"</f>
        <v>01310</v>
      </c>
      <c r="B1023" s="1" t="str">
        <f>"فرهاد"</f>
        <v>فرهاد</v>
      </c>
      <c r="C1023" s="1" t="str">
        <f>"رازقي نيا"</f>
        <v>رازقي نيا</v>
      </c>
      <c r="D1023" s="1" t="str">
        <f t="shared" si="109"/>
        <v>قراردادي بهره بردار</v>
      </c>
      <c r="E1023" s="1" t="str">
        <f t="shared" si="108"/>
        <v>پروژه تعميرات نيروگاه بوشهر</v>
      </c>
      <c r="F1023" s="1">
        <v>12356819</v>
      </c>
      <c r="G1023" s="1">
        <v>187261</v>
      </c>
      <c r="H1023" s="1">
        <v>0</v>
      </c>
      <c r="I1023" s="1">
        <v>6721957</v>
      </c>
      <c r="J1023" s="1">
        <v>0</v>
      </c>
      <c r="K1023" s="1">
        <v>3465000</v>
      </c>
      <c r="L1023" s="1">
        <v>0</v>
      </c>
      <c r="M1023" s="1">
        <v>1000000</v>
      </c>
      <c r="N1023" s="1">
        <v>2415722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2881224</v>
      </c>
      <c r="W1023" s="1">
        <v>1900000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1725514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5592186</v>
      </c>
      <c r="AM1023" s="1">
        <v>0</v>
      </c>
      <c r="AN1023" s="1">
        <v>0</v>
      </c>
      <c r="AO1023" s="1">
        <v>38245683</v>
      </c>
      <c r="AP1023" s="1">
        <v>6935086</v>
      </c>
      <c r="AQ1023" s="1">
        <v>31310597</v>
      </c>
      <c r="AR1023" s="1">
        <v>7649137</v>
      </c>
      <c r="AS1023" s="1">
        <v>1147369</v>
      </c>
      <c r="AT1023" s="1">
        <f t="shared" si="104"/>
        <v>47042189</v>
      </c>
    </row>
    <row r="1024" spans="1:46" x14ac:dyDescent="0.2">
      <c r="A1024" s="1" t="str">
        <f>"01311"</f>
        <v>01311</v>
      </c>
      <c r="B1024" s="1" t="str">
        <f>"محمدرضا"</f>
        <v>محمدرضا</v>
      </c>
      <c r="C1024" s="1" t="str">
        <f>"ربيعي"</f>
        <v>ربيعي</v>
      </c>
      <c r="D1024" s="1" t="str">
        <f t="shared" si="109"/>
        <v>قراردادي بهره بردار</v>
      </c>
      <c r="E1024" s="1" t="str">
        <f t="shared" si="108"/>
        <v>پروژه تعميرات نيروگاه بوشهر</v>
      </c>
      <c r="F1024" s="1">
        <v>14436495</v>
      </c>
      <c r="G1024" s="1">
        <v>5441950</v>
      </c>
      <c r="H1024" s="1">
        <v>0</v>
      </c>
      <c r="I1024" s="1">
        <v>8163232</v>
      </c>
      <c r="J1024" s="1">
        <v>0</v>
      </c>
      <c r="K1024" s="1">
        <v>3465000</v>
      </c>
      <c r="L1024" s="1">
        <v>0</v>
      </c>
      <c r="M1024" s="1">
        <v>1000000</v>
      </c>
      <c r="N1024" s="1">
        <v>3143605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3431761</v>
      </c>
      <c r="W1024" s="1">
        <v>1900000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2245435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6328837</v>
      </c>
      <c r="AM1024" s="1">
        <v>0</v>
      </c>
      <c r="AN1024" s="1">
        <v>0</v>
      </c>
      <c r="AO1024" s="1">
        <v>49556315</v>
      </c>
      <c r="AP1024" s="1">
        <v>15417084</v>
      </c>
      <c r="AQ1024" s="1">
        <v>34139231</v>
      </c>
      <c r="AR1024" s="1">
        <v>9911263</v>
      </c>
      <c r="AS1024" s="1">
        <v>1486689</v>
      </c>
      <c r="AT1024" s="1">
        <f t="shared" si="104"/>
        <v>60954267</v>
      </c>
    </row>
    <row r="1025" spans="1:46" x14ac:dyDescent="0.2">
      <c r="A1025" s="1" t="str">
        <f>"01312"</f>
        <v>01312</v>
      </c>
      <c r="B1025" s="1" t="str">
        <f>"عباس"</f>
        <v>عباس</v>
      </c>
      <c r="C1025" s="1" t="str">
        <f>"رضايي"</f>
        <v>رضايي</v>
      </c>
      <c r="D1025" s="1" t="str">
        <f t="shared" si="109"/>
        <v>قراردادي بهره بردار</v>
      </c>
      <c r="E1025" s="1" t="str">
        <f t="shared" ref="E1025:E1051" si="110">"پروژه تعميرات نيروگاه بوشهر"</f>
        <v>پروژه تعميرات نيروگاه بوشهر</v>
      </c>
      <c r="F1025" s="1">
        <v>15396006</v>
      </c>
      <c r="G1025" s="1">
        <v>5562228</v>
      </c>
      <c r="H1025" s="1">
        <v>0</v>
      </c>
      <c r="I1025" s="1">
        <v>8828204</v>
      </c>
      <c r="J1025" s="1">
        <v>0</v>
      </c>
      <c r="K1025" s="1">
        <v>3465000</v>
      </c>
      <c r="L1025" s="1">
        <v>0</v>
      </c>
      <c r="M1025" s="1">
        <v>1000000</v>
      </c>
      <c r="N1025" s="1">
        <v>3479435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3684265</v>
      </c>
      <c r="W1025" s="1">
        <v>1900000</v>
      </c>
      <c r="X1025" s="1">
        <v>107862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2485312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6653711</v>
      </c>
      <c r="AM1025" s="1">
        <v>0</v>
      </c>
      <c r="AN1025" s="1">
        <v>0</v>
      </c>
      <c r="AO1025" s="1">
        <v>52562023</v>
      </c>
      <c r="AP1025" s="1">
        <v>14062333</v>
      </c>
      <c r="AQ1025" s="1">
        <v>38499690</v>
      </c>
      <c r="AR1025" s="1">
        <v>10512405</v>
      </c>
      <c r="AS1025" s="1">
        <v>1576860</v>
      </c>
      <c r="AT1025" s="1">
        <f t="shared" si="104"/>
        <v>64651288</v>
      </c>
    </row>
    <row r="1026" spans="1:46" x14ac:dyDescent="0.2">
      <c r="A1026" s="1" t="str">
        <f>"01313"</f>
        <v>01313</v>
      </c>
      <c r="B1026" s="1" t="str">
        <f>"سعيد"</f>
        <v>سعيد</v>
      </c>
      <c r="C1026" s="1" t="str">
        <f>"زارعي"</f>
        <v>زارعي</v>
      </c>
      <c r="D1026" s="1" t="str">
        <f t="shared" si="109"/>
        <v>قراردادي بهره بردار</v>
      </c>
      <c r="E1026" s="1" t="str">
        <f t="shared" si="110"/>
        <v>پروژه تعميرات نيروگاه بوشهر</v>
      </c>
      <c r="F1026" s="1">
        <v>14950572</v>
      </c>
      <c r="G1026" s="1">
        <v>1315856</v>
      </c>
      <c r="H1026" s="1">
        <v>0</v>
      </c>
      <c r="I1026" s="1">
        <v>8569844</v>
      </c>
      <c r="J1026" s="1">
        <v>0</v>
      </c>
      <c r="K1026" s="1">
        <v>4620000</v>
      </c>
      <c r="L1026" s="1">
        <v>0</v>
      </c>
      <c r="M1026" s="1">
        <v>1000000</v>
      </c>
      <c r="N1026" s="1">
        <v>3323534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2554091</v>
      </c>
      <c r="W1026" s="1">
        <v>1900000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2373954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-3676958</v>
      </c>
      <c r="AM1026" s="1">
        <v>0</v>
      </c>
      <c r="AN1026" s="1">
        <v>0</v>
      </c>
      <c r="AO1026" s="1">
        <v>36930893</v>
      </c>
      <c r="AP1026" s="1">
        <v>3593585</v>
      </c>
      <c r="AQ1026" s="1">
        <v>33337308</v>
      </c>
      <c r="AR1026" s="1">
        <v>7386178</v>
      </c>
      <c r="AS1026" s="1">
        <v>1107928</v>
      </c>
      <c r="AT1026" s="1">
        <f t="shared" si="104"/>
        <v>45424999</v>
      </c>
    </row>
    <row r="1027" spans="1:46" x14ac:dyDescent="0.2">
      <c r="A1027" s="1" t="str">
        <f>"01314"</f>
        <v>01314</v>
      </c>
      <c r="B1027" s="1" t="str">
        <f>"عزيز"</f>
        <v>عزيز</v>
      </c>
      <c r="C1027" s="1" t="str">
        <f>"سالمي نيا"</f>
        <v>سالمي نيا</v>
      </c>
      <c r="D1027" s="1" t="str">
        <f t="shared" si="109"/>
        <v>قراردادي بهره بردار</v>
      </c>
      <c r="E1027" s="1" t="str">
        <f t="shared" si="110"/>
        <v>پروژه تعميرات نيروگاه بوشهر</v>
      </c>
      <c r="F1027" s="1">
        <v>14670895</v>
      </c>
      <c r="G1027" s="1">
        <v>4556414</v>
      </c>
      <c r="H1027" s="1">
        <v>0</v>
      </c>
      <c r="I1027" s="1">
        <v>8325679</v>
      </c>
      <c r="J1027" s="1">
        <v>0</v>
      </c>
      <c r="K1027" s="1">
        <v>3465000</v>
      </c>
      <c r="L1027" s="1">
        <v>0</v>
      </c>
      <c r="M1027" s="1">
        <v>1000000</v>
      </c>
      <c r="N1027" s="1">
        <v>3225647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3492618</v>
      </c>
      <c r="W1027" s="1">
        <v>1900000</v>
      </c>
      <c r="X1027" s="1">
        <v>72807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2304034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6399923</v>
      </c>
      <c r="AM1027" s="1">
        <v>0</v>
      </c>
      <c r="AN1027" s="1">
        <v>0</v>
      </c>
      <c r="AO1027" s="1">
        <v>49413017</v>
      </c>
      <c r="AP1027" s="1">
        <v>9445259</v>
      </c>
      <c r="AQ1027" s="1">
        <v>39967758</v>
      </c>
      <c r="AR1027" s="1">
        <v>9882603</v>
      </c>
      <c r="AS1027" s="1">
        <v>1482390</v>
      </c>
      <c r="AT1027" s="1">
        <f t="shared" ref="AT1027:AT1090" si="111">AO1027+AR1027+AS1027</f>
        <v>60778010</v>
      </c>
    </row>
    <row r="1028" spans="1:46" x14ac:dyDescent="0.2">
      <c r="A1028" s="1" t="str">
        <f>"01315"</f>
        <v>01315</v>
      </c>
      <c r="B1028" s="1" t="str">
        <f>"مهران"</f>
        <v>مهران</v>
      </c>
      <c r="C1028" s="1" t="str">
        <f>"سليمي"</f>
        <v>سليمي</v>
      </c>
      <c r="D1028" s="1" t="str">
        <f t="shared" si="109"/>
        <v>قراردادي بهره بردار</v>
      </c>
      <c r="E1028" s="1" t="str">
        <f t="shared" si="110"/>
        <v>پروژه تعميرات نيروگاه بوشهر</v>
      </c>
      <c r="F1028" s="1">
        <v>20143180</v>
      </c>
      <c r="G1028" s="1">
        <v>3457934</v>
      </c>
      <c r="H1028" s="1">
        <v>0</v>
      </c>
      <c r="I1028" s="1">
        <v>10858619</v>
      </c>
      <c r="J1028" s="1">
        <v>0</v>
      </c>
      <c r="K1028" s="1">
        <v>4125000</v>
      </c>
      <c r="L1028" s="1">
        <v>0</v>
      </c>
      <c r="M1028" s="1">
        <v>1000000</v>
      </c>
      <c r="N1028" s="1">
        <v>4048352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4364631</v>
      </c>
      <c r="W1028" s="1">
        <v>1900000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2891680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5704496</v>
      </c>
      <c r="AM1028" s="1">
        <v>0</v>
      </c>
      <c r="AN1028" s="1">
        <v>0</v>
      </c>
      <c r="AO1028" s="1">
        <v>58493892</v>
      </c>
      <c r="AP1028" s="1">
        <v>11135734</v>
      </c>
      <c r="AQ1028" s="1">
        <v>47358158</v>
      </c>
      <c r="AR1028" s="1">
        <v>11698778</v>
      </c>
      <c r="AS1028" s="1">
        <v>1754817</v>
      </c>
      <c r="AT1028" s="1">
        <f t="shared" si="111"/>
        <v>71947487</v>
      </c>
    </row>
    <row r="1029" spans="1:46" x14ac:dyDescent="0.2">
      <c r="A1029" s="1" t="str">
        <f>"01316"</f>
        <v>01316</v>
      </c>
      <c r="B1029" s="1" t="str">
        <f>"اميد"</f>
        <v>اميد</v>
      </c>
      <c r="C1029" s="1" t="str">
        <f>"شاهسوندحسيني"</f>
        <v>شاهسوندحسيني</v>
      </c>
      <c r="D1029" s="1" t="str">
        <f t="shared" si="109"/>
        <v>قراردادي بهره بردار</v>
      </c>
      <c r="E1029" s="1" t="str">
        <f t="shared" si="110"/>
        <v>پروژه تعميرات نيروگاه بوشهر</v>
      </c>
      <c r="F1029" s="1">
        <v>14880467</v>
      </c>
      <c r="G1029" s="1">
        <v>339369</v>
      </c>
      <c r="H1029" s="1">
        <v>0</v>
      </c>
      <c r="I1029" s="1">
        <v>8470923</v>
      </c>
      <c r="J1029" s="1">
        <v>0</v>
      </c>
      <c r="K1029" s="1">
        <v>3465000</v>
      </c>
      <c r="L1029" s="1">
        <v>0</v>
      </c>
      <c r="M1029" s="1">
        <v>1000000</v>
      </c>
      <c r="N1029" s="1">
        <v>3298999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2563427</v>
      </c>
      <c r="W1029" s="1">
        <v>1900000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2356426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-3372504</v>
      </c>
      <c r="AM1029" s="1">
        <v>0</v>
      </c>
      <c r="AN1029" s="1">
        <v>0</v>
      </c>
      <c r="AO1029" s="1">
        <v>34902107</v>
      </c>
      <c r="AP1029" s="1">
        <v>7897813</v>
      </c>
      <c r="AQ1029" s="1">
        <v>27004294</v>
      </c>
      <c r="AR1029" s="1">
        <v>6980423</v>
      </c>
      <c r="AS1029" s="1">
        <v>1047063</v>
      </c>
      <c r="AT1029" s="1">
        <f t="shared" si="111"/>
        <v>42929593</v>
      </c>
    </row>
    <row r="1030" spans="1:46" x14ac:dyDescent="0.2">
      <c r="A1030" s="1" t="str">
        <f>"01317"</f>
        <v>01317</v>
      </c>
      <c r="B1030" s="1" t="str">
        <f>"امين"</f>
        <v>امين</v>
      </c>
      <c r="C1030" s="1" t="str">
        <f>"شفيعي"</f>
        <v>شفيعي</v>
      </c>
      <c r="D1030" s="1" t="str">
        <f t="shared" si="109"/>
        <v>قراردادي بهره بردار</v>
      </c>
      <c r="E1030" s="1" t="str">
        <f t="shared" si="110"/>
        <v>پروژه تعميرات نيروگاه بوشهر</v>
      </c>
      <c r="F1030" s="1">
        <v>15753083</v>
      </c>
      <c r="G1030" s="1">
        <v>2422585</v>
      </c>
      <c r="H1030" s="1">
        <v>0</v>
      </c>
      <c r="I1030" s="1">
        <v>8954636</v>
      </c>
      <c r="J1030" s="1">
        <v>0</v>
      </c>
      <c r="K1030" s="1">
        <v>4427500</v>
      </c>
      <c r="L1030" s="1">
        <v>0</v>
      </c>
      <c r="M1030" s="1">
        <v>1000000</v>
      </c>
      <c r="N1030" s="1">
        <v>3489404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3688220</v>
      </c>
      <c r="W1030" s="1">
        <v>1900000</v>
      </c>
      <c r="X1030" s="1">
        <v>0</v>
      </c>
      <c r="Y1030" s="1">
        <v>0</v>
      </c>
      <c r="Z1030" s="1">
        <v>0</v>
      </c>
      <c r="AA1030" s="1">
        <v>10000000</v>
      </c>
      <c r="AB1030" s="1">
        <v>0</v>
      </c>
      <c r="AC1030" s="1">
        <v>0</v>
      </c>
      <c r="AD1030" s="1">
        <v>0</v>
      </c>
      <c r="AE1030" s="1">
        <v>2492430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6192687</v>
      </c>
      <c r="AM1030" s="1">
        <v>0</v>
      </c>
      <c r="AN1030" s="1">
        <v>0</v>
      </c>
      <c r="AO1030" s="1">
        <v>60320545</v>
      </c>
      <c r="AP1030" s="1">
        <v>8270398</v>
      </c>
      <c r="AQ1030" s="1">
        <v>52050147</v>
      </c>
      <c r="AR1030" s="1">
        <v>10064108</v>
      </c>
      <c r="AS1030" s="1">
        <v>1509618</v>
      </c>
      <c r="AT1030" s="1">
        <f t="shared" si="111"/>
        <v>71894271</v>
      </c>
    </row>
    <row r="1031" spans="1:46" x14ac:dyDescent="0.2">
      <c r="A1031" s="1" t="str">
        <f>"01318"</f>
        <v>01318</v>
      </c>
      <c r="B1031" s="1" t="str">
        <f>"محمدامين"</f>
        <v>محمدامين</v>
      </c>
      <c r="C1031" s="1" t="str">
        <f>"صالحي"</f>
        <v>صالحي</v>
      </c>
      <c r="D1031" s="1" t="str">
        <f t="shared" si="109"/>
        <v>قراردادي بهره بردار</v>
      </c>
      <c r="E1031" s="1" t="str">
        <f t="shared" si="110"/>
        <v>پروژه تعميرات نيروگاه بوشهر</v>
      </c>
      <c r="F1031" s="1">
        <v>13303919</v>
      </c>
      <c r="G1031" s="1">
        <v>1525774</v>
      </c>
      <c r="H1031" s="1">
        <v>0</v>
      </c>
      <c r="I1031" s="1">
        <v>7438532</v>
      </c>
      <c r="J1031" s="1">
        <v>0</v>
      </c>
      <c r="K1031" s="1">
        <v>3465000</v>
      </c>
      <c r="L1031" s="1">
        <v>0</v>
      </c>
      <c r="M1031" s="1">
        <v>1000000</v>
      </c>
      <c r="N1031" s="1">
        <v>2747206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2111542</v>
      </c>
      <c r="W1031" s="1">
        <v>1900000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1962290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-4336532</v>
      </c>
      <c r="AM1031" s="1">
        <v>0</v>
      </c>
      <c r="AN1031" s="1">
        <v>0</v>
      </c>
      <c r="AO1031" s="1">
        <v>31117731</v>
      </c>
      <c r="AP1031" s="1">
        <v>8953554</v>
      </c>
      <c r="AQ1031" s="1">
        <v>22164177</v>
      </c>
      <c r="AR1031" s="1">
        <v>6223546</v>
      </c>
      <c r="AS1031" s="1">
        <v>933531</v>
      </c>
      <c r="AT1031" s="1">
        <f t="shared" si="111"/>
        <v>38274808</v>
      </c>
    </row>
    <row r="1032" spans="1:46" x14ac:dyDescent="0.2">
      <c r="A1032" s="1" t="str">
        <f>"01319"</f>
        <v>01319</v>
      </c>
      <c r="B1032" s="1" t="str">
        <f>"رضا"</f>
        <v>رضا</v>
      </c>
      <c r="C1032" s="1" t="str">
        <f>"عاليبري"</f>
        <v>عاليبري</v>
      </c>
      <c r="D1032" s="1" t="str">
        <f t="shared" ref="D1032:D1050" si="112">"قراردادي بهره بردار"</f>
        <v>قراردادي بهره بردار</v>
      </c>
      <c r="E1032" s="1" t="str">
        <f t="shared" si="110"/>
        <v>پروژه تعميرات نيروگاه بوشهر</v>
      </c>
      <c r="F1032" s="1">
        <v>13151304</v>
      </c>
      <c r="G1032" s="1">
        <v>4177002</v>
      </c>
      <c r="H1032" s="1">
        <v>0</v>
      </c>
      <c r="I1032" s="1">
        <v>7272556</v>
      </c>
      <c r="J1032" s="1">
        <v>0</v>
      </c>
      <c r="K1032" s="1">
        <v>3465000</v>
      </c>
      <c r="L1032" s="1">
        <v>0</v>
      </c>
      <c r="M1032" s="1">
        <v>1000000</v>
      </c>
      <c r="N1032" s="1">
        <v>2693788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3092081</v>
      </c>
      <c r="W1032" s="1">
        <v>1900000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1924137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5879020</v>
      </c>
      <c r="AM1032" s="1">
        <v>0</v>
      </c>
      <c r="AN1032" s="1">
        <v>0</v>
      </c>
      <c r="AO1032" s="1">
        <v>44554888</v>
      </c>
      <c r="AP1032" s="1">
        <v>13973078</v>
      </c>
      <c r="AQ1032" s="1">
        <v>30581810</v>
      </c>
      <c r="AR1032" s="1">
        <v>8910978</v>
      </c>
      <c r="AS1032" s="1">
        <v>1336647</v>
      </c>
      <c r="AT1032" s="1">
        <f t="shared" si="111"/>
        <v>54802513</v>
      </c>
    </row>
    <row r="1033" spans="1:46" x14ac:dyDescent="0.2">
      <c r="A1033" s="1" t="str">
        <f>"01320"</f>
        <v>01320</v>
      </c>
      <c r="B1033" s="1" t="str">
        <f>"حسين"</f>
        <v>حسين</v>
      </c>
      <c r="C1033" s="1" t="str">
        <f>"عباسي"</f>
        <v>عباسي</v>
      </c>
      <c r="D1033" s="1" t="str">
        <f t="shared" si="112"/>
        <v>قراردادي بهره بردار</v>
      </c>
      <c r="E1033" s="1" t="str">
        <f t="shared" si="110"/>
        <v>پروژه تعميرات نيروگاه بوشهر</v>
      </c>
      <c r="F1033" s="1">
        <v>12613859</v>
      </c>
      <c r="G1033" s="1">
        <v>0</v>
      </c>
      <c r="H1033" s="1">
        <v>0</v>
      </c>
      <c r="I1033" s="1">
        <v>5855606</v>
      </c>
      <c r="J1033" s="1">
        <v>0</v>
      </c>
      <c r="K1033" s="1">
        <v>5500000</v>
      </c>
      <c r="L1033" s="1">
        <v>0</v>
      </c>
      <c r="M1033" s="1">
        <v>1000000</v>
      </c>
      <c r="N1033" s="1">
        <v>1413090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2432227</v>
      </c>
      <c r="W1033" s="1">
        <v>1900000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1009350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3430365</v>
      </c>
      <c r="AM1033" s="1">
        <v>0</v>
      </c>
      <c r="AN1033" s="1">
        <v>0</v>
      </c>
      <c r="AO1033" s="1">
        <v>35154497</v>
      </c>
      <c r="AP1033" s="1">
        <v>4862347</v>
      </c>
      <c r="AQ1033" s="1">
        <v>30292150</v>
      </c>
      <c r="AR1033" s="1">
        <v>7030899</v>
      </c>
      <c r="AS1033" s="1">
        <v>1054635</v>
      </c>
      <c r="AT1033" s="1">
        <f t="shared" si="111"/>
        <v>43240031</v>
      </c>
    </row>
    <row r="1034" spans="1:46" x14ac:dyDescent="0.2">
      <c r="A1034" s="1" t="str">
        <f>"01321"</f>
        <v>01321</v>
      </c>
      <c r="B1034" s="1" t="str">
        <f>"ابراهيم"</f>
        <v>ابراهيم</v>
      </c>
      <c r="C1034" s="1" t="str">
        <f>"عباسيان"</f>
        <v>عباسيان</v>
      </c>
      <c r="D1034" s="1" t="str">
        <f t="shared" si="112"/>
        <v>قراردادي بهره بردار</v>
      </c>
      <c r="E1034" s="1" t="str">
        <f t="shared" si="110"/>
        <v>پروژه تعميرات نيروگاه بوشهر</v>
      </c>
      <c r="F1034" s="1">
        <v>21285249</v>
      </c>
      <c r="G1034" s="1">
        <v>5391071</v>
      </c>
      <c r="H1034" s="1">
        <v>0</v>
      </c>
      <c r="I1034" s="1">
        <v>11629808</v>
      </c>
      <c r="J1034" s="1">
        <v>0</v>
      </c>
      <c r="K1034" s="1">
        <v>5500000</v>
      </c>
      <c r="L1034" s="1">
        <v>0</v>
      </c>
      <c r="M1034" s="1">
        <v>1000000</v>
      </c>
      <c r="N1034" s="1">
        <v>4448078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4648009</v>
      </c>
      <c r="W1034" s="1">
        <v>1900000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3177198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5939774</v>
      </c>
      <c r="AM1034" s="1">
        <v>0</v>
      </c>
      <c r="AN1034" s="1">
        <v>0</v>
      </c>
      <c r="AO1034" s="1">
        <v>64919187</v>
      </c>
      <c r="AP1034" s="1">
        <v>10912791</v>
      </c>
      <c r="AQ1034" s="1">
        <v>54006396</v>
      </c>
      <c r="AR1034" s="1">
        <v>12983837</v>
      </c>
      <c r="AS1034" s="1">
        <v>1947575</v>
      </c>
      <c r="AT1034" s="1">
        <f t="shared" si="111"/>
        <v>79850599</v>
      </c>
    </row>
    <row r="1035" spans="1:46" x14ac:dyDescent="0.2">
      <c r="A1035" s="1" t="str">
        <f>"01322"</f>
        <v>01322</v>
      </c>
      <c r="B1035" s="1" t="str">
        <f>"ميثم"</f>
        <v>ميثم</v>
      </c>
      <c r="C1035" s="1" t="str">
        <f>"علمداري"</f>
        <v>علمداري</v>
      </c>
      <c r="D1035" s="1" t="str">
        <f t="shared" si="112"/>
        <v>قراردادي بهره بردار</v>
      </c>
      <c r="E1035" s="1" t="str">
        <f t="shared" si="110"/>
        <v>پروژه تعميرات نيروگاه بوشهر</v>
      </c>
      <c r="F1035" s="1">
        <v>14762903</v>
      </c>
      <c r="G1035" s="1">
        <v>1430522</v>
      </c>
      <c r="H1035" s="1">
        <v>0</v>
      </c>
      <c r="I1035" s="1">
        <v>8389445</v>
      </c>
      <c r="J1035" s="1">
        <v>0</v>
      </c>
      <c r="K1035" s="1">
        <v>3465000</v>
      </c>
      <c r="L1035" s="1">
        <v>0</v>
      </c>
      <c r="M1035" s="1">
        <v>1000000</v>
      </c>
      <c r="N1035" s="1">
        <v>3257850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2507293</v>
      </c>
      <c r="W1035" s="1">
        <v>1900000</v>
      </c>
      <c r="X1035" s="1">
        <v>171720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2327036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-3664281</v>
      </c>
      <c r="AM1035" s="1">
        <v>0</v>
      </c>
      <c r="AN1035" s="1">
        <v>0</v>
      </c>
      <c r="AO1035" s="1">
        <v>35547488</v>
      </c>
      <c r="AP1035" s="1">
        <v>11826256</v>
      </c>
      <c r="AQ1035" s="1">
        <v>23721232</v>
      </c>
      <c r="AR1035" s="1">
        <v>7109498</v>
      </c>
      <c r="AS1035" s="1">
        <v>1066423</v>
      </c>
      <c r="AT1035" s="1">
        <f t="shared" si="111"/>
        <v>43723409</v>
      </c>
    </row>
    <row r="1036" spans="1:46" x14ac:dyDescent="0.2">
      <c r="A1036" s="1" t="str">
        <f>"01324"</f>
        <v>01324</v>
      </c>
      <c r="B1036" s="1" t="str">
        <f>"نعمت الله"</f>
        <v>نعمت الله</v>
      </c>
      <c r="C1036" s="1" t="str">
        <f>"فقيه"</f>
        <v>فقيه</v>
      </c>
      <c r="D1036" s="1" t="str">
        <f t="shared" si="112"/>
        <v>قراردادي بهره بردار</v>
      </c>
      <c r="E1036" s="1" t="str">
        <f t="shared" si="110"/>
        <v>پروژه تعميرات نيروگاه بوشهر</v>
      </c>
      <c r="F1036" s="1">
        <v>15447850</v>
      </c>
      <c r="G1036" s="1">
        <v>1692445</v>
      </c>
      <c r="H1036" s="1">
        <v>0</v>
      </c>
      <c r="I1036" s="1">
        <v>8864137</v>
      </c>
      <c r="J1036" s="1">
        <v>0</v>
      </c>
      <c r="K1036" s="1">
        <v>4620000</v>
      </c>
      <c r="L1036" s="1">
        <v>0</v>
      </c>
      <c r="M1036" s="1">
        <v>1000000</v>
      </c>
      <c r="N1036" s="1">
        <v>3497582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2635276</v>
      </c>
      <c r="W1036" s="1">
        <v>1900000</v>
      </c>
      <c r="X1036" s="1">
        <v>6678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2498272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-3955066</v>
      </c>
      <c r="AM1036" s="1">
        <v>0</v>
      </c>
      <c r="AN1036" s="1">
        <v>0</v>
      </c>
      <c r="AO1036" s="1">
        <v>38207174</v>
      </c>
      <c r="AP1036" s="1">
        <v>5005841</v>
      </c>
      <c r="AQ1036" s="1">
        <v>33201333</v>
      </c>
      <c r="AR1036" s="1">
        <v>7641435</v>
      </c>
      <c r="AS1036" s="1">
        <v>1146214</v>
      </c>
      <c r="AT1036" s="1">
        <f t="shared" si="111"/>
        <v>46994823</v>
      </c>
    </row>
    <row r="1037" spans="1:46" x14ac:dyDescent="0.2">
      <c r="A1037" s="1" t="str">
        <f>"01325"</f>
        <v>01325</v>
      </c>
      <c r="B1037" s="1" t="str">
        <f>"حسين"</f>
        <v>حسين</v>
      </c>
      <c r="C1037" s="1" t="str">
        <f>"قديريان"</f>
        <v>قديريان</v>
      </c>
      <c r="D1037" s="1" t="str">
        <f t="shared" si="112"/>
        <v>قراردادي بهره بردار</v>
      </c>
      <c r="E1037" s="1" t="str">
        <f t="shared" si="110"/>
        <v>پروژه تعميرات نيروگاه بوشهر</v>
      </c>
      <c r="F1037" s="1">
        <v>19707969</v>
      </c>
      <c r="G1037" s="1">
        <v>966369</v>
      </c>
      <c r="H1037" s="1">
        <v>0</v>
      </c>
      <c r="I1037" s="1">
        <v>10689588</v>
      </c>
      <c r="J1037" s="1">
        <v>0</v>
      </c>
      <c r="K1037" s="1">
        <v>5500000</v>
      </c>
      <c r="L1037" s="1">
        <v>0</v>
      </c>
      <c r="M1037" s="1">
        <v>1000000</v>
      </c>
      <c r="N1037" s="1">
        <v>3896028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4253867</v>
      </c>
      <c r="W1037" s="1">
        <v>1900000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2782878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5462208</v>
      </c>
      <c r="AM1037" s="1">
        <v>0</v>
      </c>
      <c r="AN1037" s="1">
        <v>0</v>
      </c>
      <c r="AO1037" s="1">
        <v>56158907</v>
      </c>
      <c r="AP1037" s="1">
        <v>11150332</v>
      </c>
      <c r="AQ1037" s="1">
        <v>45008575</v>
      </c>
      <c r="AR1037" s="1">
        <v>11231782</v>
      </c>
      <c r="AS1037" s="1">
        <v>1684767</v>
      </c>
      <c r="AT1037" s="1">
        <f t="shared" si="111"/>
        <v>69075456</v>
      </c>
    </row>
    <row r="1038" spans="1:46" x14ac:dyDescent="0.2">
      <c r="A1038" s="1" t="str">
        <f>"01326"</f>
        <v>01326</v>
      </c>
      <c r="B1038" s="1" t="str">
        <f>"مسعود"</f>
        <v>مسعود</v>
      </c>
      <c r="C1038" s="1" t="str">
        <f>"قرباني"</f>
        <v>قرباني</v>
      </c>
      <c r="D1038" s="1" t="str">
        <f t="shared" si="112"/>
        <v>قراردادي بهره بردار</v>
      </c>
      <c r="E1038" s="1" t="str">
        <f t="shared" si="110"/>
        <v>پروژه تعميرات نيروگاه بوشهر</v>
      </c>
      <c r="F1038" s="1">
        <v>15305460</v>
      </c>
      <c r="G1038" s="1">
        <v>5829070</v>
      </c>
      <c r="H1038" s="1">
        <v>0</v>
      </c>
      <c r="I1038" s="1">
        <v>8765450</v>
      </c>
      <c r="J1038" s="1">
        <v>0</v>
      </c>
      <c r="K1038" s="1">
        <v>3465000</v>
      </c>
      <c r="L1038" s="1">
        <v>0</v>
      </c>
      <c r="M1038" s="1">
        <v>1000000</v>
      </c>
      <c r="N1038" s="1">
        <v>3447742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2583621</v>
      </c>
      <c r="W1038" s="1">
        <v>1900000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2462676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-4145105</v>
      </c>
      <c r="AM1038" s="1">
        <v>0</v>
      </c>
      <c r="AN1038" s="1">
        <v>0</v>
      </c>
      <c r="AO1038" s="1">
        <v>40613914</v>
      </c>
      <c r="AP1038" s="1">
        <v>4955263</v>
      </c>
      <c r="AQ1038" s="1">
        <v>35658651</v>
      </c>
      <c r="AR1038" s="1">
        <v>8122784</v>
      </c>
      <c r="AS1038" s="1">
        <v>1218418</v>
      </c>
      <c r="AT1038" s="1">
        <f t="shared" si="111"/>
        <v>49955116</v>
      </c>
    </row>
    <row r="1039" spans="1:46" x14ac:dyDescent="0.2">
      <c r="A1039" s="1" t="str">
        <f>"01327"</f>
        <v>01327</v>
      </c>
      <c r="B1039" s="1" t="str">
        <f>"سجاد"</f>
        <v>سجاد</v>
      </c>
      <c r="C1039" s="1" t="str">
        <f>"قنبري"</f>
        <v>قنبري</v>
      </c>
      <c r="D1039" s="1" t="str">
        <f t="shared" si="112"/>
        <v>قراردادي بهره بردار</v>
      </c>
      <c r="E1039" s="1" t="str">
        <f t="shared" si="110"/>
        <v>پروژه تعميرات نيروگاه بوشهر</v>
      </c>
      <c r="F1039" s="1">
        <v>20736851</v>
      </c>
      <c r="G1039" s="1">
        <v>1968806</v>
      </c>
      <c r="H1039" s="1">
        <v>0</v>
      </c>
      <c r="I1039" s="1">
        <v>11259501</v>
      </c>
      <c r="J1039" s="1">
        <v>0</v>
      </c>
      <c r="K1039" s="1">
        <v>4125000</v>
      </c>
      <c r="L1039" s="1">
        <v>0</v>
      </c>
      <c r="M1039" s="1">
        <v>1000000</v>
      </c>
      <c r="N1039" s="1">
        <v>4256137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4514888</v>
      </c>
      <c r="W1039" s="1">
        <v>1900000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3040098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5856309</v>
      </c>
      <c r="AM1039" s="1">
        <v>0</v>
      </c>
      <c r="AN1039" s="1">
        <v>0</v>
      </c>
      <c r="AO1039" s="1">
        <v>58657590</v>
      </c>
      <c r="AP1039" s="1">
        <v>8768951</v>
      </c>
      <c r="AQ1039" s="1">
        <v>49888639</v>
      </c>
      <c r="AR1039" s="1">
        <v>11731517</v>
      </c>
      <c r="AS1039" s="1">
        <v>1759727</v>
      </c>
      <c r="AT1039" s="1">
        <f t="shared" si="111"/>
        <v>72148834</v>
      </c>
    </row>
    <row r="1040" spans="1:46" x14ac:dyDescent="0.2">
      <c r="A1040" s="1" t="str">
        <f>"01328"</f>
        <v>01328</v>
      </c>
      <c r="B1040" s="1" t="str">
        <f>"رامين"</f>
        <v>رامين</v>
      </c>
      <c r="C1040" s="1" t="str">
        <f>"كاوسي"</f>
        <v>كاوسي</v>
      </c>
      <c r="D1040" s="1" t="str">
        <f t="shared" si="112"/>
        <v>قراردادي بهره بردار</v>
      </c>
      <c r="E1040" s="1" t="str">
        <f t="shared" si="110"/>
        <v>پروژه تعميرات نيروگاه بوشهر</v>
      </c>
      <c r="F1040" s="1">
        <v>13214101</v>
      </c>
      <c r="G1040" s="1">
        <v>889861</v>
      </c>
      <c r="H1040" s="1">
        <v>0</v>
      </c>
      <c r="I1040" s="1">
        <v>7316080</v>
      </c>
      <c r="J1040" s="1">
        <v>0</v>
      </c>
      <c r="K1040" s="1">
        <v>3465000</v>
      </c>
      <c r="L1040" s="1">
        <v>0</v>
      </c>
      <c r="M1040" s="1">
        <v>1000000</v>
      </c>
      <c r="N1040" s="1">
        <v>2715769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3097291</v>
      </c>
      <c r="W1040" s="1">
        <v>1900000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1939835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5787084</v>
      </c>
      <c r="AM1040" s="1">
        <v>0</v>
      </c>
      <c r="AN1040" s="1">
        <v>0</v>
      </c>
      <c r="AO1040" s="1">
        <v>41325021</v>
      </c>
      <c r="AP1040" s="1">
        <v>16951339</v>
      </c>
      <c r="AQ1040" s="1">
        <v>24373682</v>
      </c>
      <c r="AR1040" s="1">
        <v>8265005</v>
      </c>
      <c r="AS1040" s="1">
        <v>1239751</v>
      </c>
      <c r="AT1040" s="1">
        <f t="shared" si="111"/>
        <v>50829777</v>
      </c>
    </row>
    <row r="1041" spans="1:46" x14ac:dyDescent="0.2">
      <c r="A1041" s="1" t="str">
        <f>"01329"</f>
        <v>01329</v>
      </c>
      <c r="B1041" s="1" t="str">
        <f>"مجتبي"</f>
        <v>مجتبي</v>
      </c>
      <c r="C1041" s="1" t="str">
        <f>"كيايي"</f>
        <v>كيايي</v>
      </c>
      <c r="D1041" s="1" t="str">
        <f t="shared" si="112"/>
        <v>قراردادي بهره بردار</v>
      </c>
      <c r="E1041" s="1" t="str">
        <f t="shared" si="110"/>
        <v>پروژه تعميرات نيروگاه بوشهر</v>
      </c>
      <c r="F1041" s="1">
        <v>14871708</v>
      </c>
      <c r="G1041" s="1">
        <v>395080</v>
      </c>
      <c r="H1041" s="1">
        <v>0</v>
      </c>
      <c r="I1041" s="1">
        <v>8464850</v>
      </c>
      <c r="J1041" s="1">
        <v>0</v>
      </c>
      <c r="K1041" s="1">
        <v>3465000</v>
      </c>
      <c r="L1041" s="1">
        <v>0</v>
      </c>
      <c r="M1041" s="1">
        <v>1000000</v>
      </c>
      <c r="N1041" s="1">
        <v>3295932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2562360</v>
      </c>
      <c r="W1041" s="1">
        <v>1900000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2354238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-3363127</v>
      </c>
      <c r="AM1041" s="1">
        <v>0</v>
      </c>
      <c r="AN1041" s="1">
        <v>0</v>
      </c>
      <c r="AO1041" s="1">
        <v>34946041</v>
      </c>
      <c r="AP1041" s="1">
        <v>5080891</v>
      </c>
      <c r="AQ1041" s="1">
        <v>29865150</v>
      </c>
      <c r="AR1041" s="1">
        <v>6989210</v>
      </c>
      <c r="AS1041" s="1">
        <v>1048382</v>
      </c>
      <c r="AT1041" s="1">
        <f t="shared" si="111"/>
        <v>42983633</v>
      </c>
    </row>
    <row r="1042" spans="1:46" x14ac:dyDescent="0.2">
      <c r="A1042" s="1" t="str">
        <f>"01330"</f>
        <v>01330</v>
      </c>
      <c r="B1042" s="1" t="str">
        <f>"حسن"</f>
        <v>حسن</v>
      </c>
      <c r="C1042" s="1" t="str">
        <f>"محقق نژاد"</f>
        <v>محقق نژاد</v>
      </c>
      <c r="D1042" s="1" t="str">
        <f t="shared" si="112"/>
        <v>قراردادي بهره بردار</v>
      </c>
      <c r="E1042" s="1" t="str">
        <f t="shared" si="110"/>
        <v>پروژه تعميرات نيروگاه بوشهر</v>
      </c>
      <c r="F1042" s="1">
        <v>18763060</v>
      </c>
      <c r="G1042" s="1">
        <v>3598565</v>
      </c>
      <c r="H1042" s="1">
        <v>0</v>
      </c>
      <c r="I1042" s="1">
        <v>9323345</v>
      </c>
      <c r="J1042" s="1">
        <v>0</v>
      </c>
      <c r="K1042" s="1">
        <v>4125000</v>
      </c>
      <c r="L1042" s="1">
        <v>0</v>
      </c>
      <c r="M1042" s="1">
        <v>1000000</v>
      </c>
      <c r="N1042" s="1">
        <v>3565307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4728537</v>
      </c>
      <c r="W1042" s="1">
        <v>1900000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2546650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13087044</v>
      </c>
      <c r="AM1042" s="1">
        <v>0</v>
      </c>
      <c r="AN1042" s="1">
        <v>0</v>
      </c>
      <c r="AO1042" s="1">
        <v>62637508</v>
      </c>
      <c r="AP1042" s="1">
        <v>9417676</v>
      </c>
      <c r="AQ1042" s="1">
        <v>53219832</v>
      </c>
      <c r="AR1042" s="1">
        <v>12527502</v>
      </c>
      <c r="AS1042" s="1">
        <v>1879123</v>
      </c>
      <c r="AT1042" s="1">
        <f t="shared" si="111"/>
        <v>77044133</v>
      </c>
    </row>
    <row r="1043" spans="1:46" x14ac:dyDescent="0.2">
      <c r="A1043" s="1" t="str">
        <f>"01331"</f>
        <v>01331</v>
      </c>
      <c r="B1043" s="1" t="str">
        <f>"آرمين"</f>
        <v>آرمين</v>
      </c>
      <c r="C1043" s="1" t="str">
        <f>"محمودي"</f>
        <v>محمودي</v>
      </c>
      <c r="D1043" s="1" t="str">
        <f t="shared" si="112"/>
        <v>قراردادي بهره بردار</v>
      </c>
      <c r="E1043" s="1" t="str">
        <f t="shared" si="110"/>
        <v>پروژه تعميرات نيروگاه بوشهر</v>
      </c>
      <c r="F1043" s="1">
        <v>20677701</v>
      </c>
      <c r="G1043" s="1">
        <v>3822351</v>
      </c>
      <c r="H1043" s="1">
        <v>0</v>
      </c>
      <c r="I1043" s="1">
        <v>11222713</v>
      </c>
      <c r="J1043" s="1">
        <v>0</v>
      </c>
      <c r="K1043" s="1">
        <v>4125000</v>
      </c>
      <c r="L1043" s="1">
        <v>0</v>
      </c>
      <c r="M1043" s="1">
        <v>1000000</v>
      </c>
      <c r="N1043" s="1">
        <v>4235434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4495588</v>
      </c>
      <c r="W1043" s="1">
        <v>1900000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3025309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5794751</v>
      </c>
      <c r="AM1043" s="1">
        <v>0</v>
      </c>
      <c r="AN1043" s="1">
        <v>0</v>
      </c>
      <c r="AO1043" s="1">
        <v>60298847</v>
      </c>
      <c r="AP1043" s="1">
        <v>10935041</v>
      </c>
      <c r="AQ1043" s="1">
        <v>49363806</v>
      </c>
      <c r="AR1043" s="1">
        <v>12059770</v>
      </c>
      <c r="AS1043" s="1">
        <v>1808965</v>
      </c>
      <c r="AT1043" s="1">
        <f t="shared" si="111"/>
        <v>74167582</v>
      </c>
    </row>
    <row r="1044" spans="1:46" x14ac:dyDescent="0.2">
      <c r="A1044" s="1" t="str">
        <f>"01332"</f>
        <v>01332</v>
      </c>
      <c r="B1044" s="1" t="str">
        <f>"فرامرز"</f>
        <v>فرامرز</v>
      </c>
      <c r="C1044" s="1" t="str">
        <f>"مقتدربهاري"</f>
        <v>مقتدربهاري</v>
      </c>
      <c r="D1044" s="1" t="str">
        <f t="shared" si="112"/>
        <v>قراردادي بهره بردار</v>
      </c>
      <c r="E1044" s="1" t="str">
        <f t="shared" si="110"/>
        <v>پروژه تعميرات نيروگاه بوشهر</v>
      </c>
      <c r="F1044" s="1">
        <v>20215472</v>
      </c>
      <c r="G1044" s="1">
        <v>1338427</v>
      </c>
      <c r="H1044" s="1">
        <v>0</v>
      </c>
      <c r="I1044" s="1">
        <v>10907436</v>
      </c>
      <c r="J1044" s="1">
        <v>0</v>
      </c>
      <c r="K1044" s="1">
        <v>5500000</v>
      </c>
      <c r="L1044" s="1">
        <v>0</v>
      </c>
      <c r="M1044" s="1">
        <v>1000000</v>
      </c>
      <c r="N1044" s="1">
        <v>4073654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4380403</v>
      </c>
      <c r="W1044" s="1">
        <v>1900000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2909753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5697705</v>
      </c>
      <c r="AM1044" s="1">
        <v>0</v>
      </c>
      <c r="AN1044" s="1">
        <v>0</v>
      </c>
      <c r="AO1044" s="1">
        <v>57922850</v>
      </c>
      <c r="AP1044" s="1">
        <v>11071576</v>
      </c>
      <c r="AQ1044" s="1">
        <v>46851274</v>
      </c>
      <c r="AR1044" s="1">
        <v>11584570</v>
      </c>
      <c r="AS1044" s="1">
        <v>1737685</v>
      </c>
      <c r="AT1044" s="1">
        <f t="shared" si="111"/>
        <v>71245105</v>
      </c>
    </row>
    <row r="1045" spans="1:46" x14ac:dyDescent="0.2">
      <c r="A1045" s="1" t="str">
        <f>"01333"</f>
        <v>01333</v>
      </c>
      <c r="B1045" s="1" t="str">
        <f>"حسين"</f>
        <v>حسين</v>
      </c>
      <c r="C1045" s="1" t="str">
        <f>"منصوري"</f>
        <v>منصوري</v>
      </c>
      <c r="D1045" s="1" t="str">
        <f t="shared" si="112"/>
        <v>قراردادي بهره بردار</v>
      </c>
      <c r="E1045" s="1" t="str">
        <f t="shared" si="110"/>
        <v>پروژه تعميرات نيروگاه بوشهر</v>
      </c>
      <c r="F1045" s="1">
        <v>12584649</v>
      </c>
      <c r="G1045" s="1">
        <v>337094</v>
      </c>
      <c r="H1045" s="1">
        <v>0</v>
      </c>
      <c r="I1045" s="1">
        <v>6881784</v>
      </c>
      <c r="J1045" s="1">
        <v>0</v>
      </c>
      <c r="K1045" s="1">
        <v>3465000</v>
      </c>
      <c r="L1045" s="1">
        <v>0</v>
      </c>
      <c r="M1045" s="1">
        <v>1000000</v>
      </c>
      <c r="N1045" s="1">
        <v>2495462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2934400</v>
      </c>
      <c r="W1045" s="1">
        <v>1900000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1782471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5599637</v>
      </c>
      <c r="AM1045" s="1">
        <v>0</v>
      </c>
      <c r="AN1045" s="1">
        <v>0</v>
      </c>
      <c r="AO1045" s="1">
        <v>38980497</v>
      </c>
      <c r="AP1045" s="1">
        <v>7417200</v>
      </c>
      <c r="AQ1045" s="1">
        <v>31563297</v>
      </c>
      <c r="AR1045" s="1">
        <v>7796099</v>
      </c>
      <c r="AS1045" s="1">
        <v>1169414</v>
      </c>
      <c r="AT1045" s="1">
        <f t="shared" si="111"/>
        <v>47946010</v>
      </c>
    </row>
    <row r="1046" spans="1:46" x14ac:dyDescent="0.2">
      <c r="A1046" s="1" t="str">
        <f>"01334"</f>
        <v>01334</v>
      </c>
      <c r="B1046" s="1" t="str">
        <f>"حسين"</f>
        <v>حسين</v>
      </c>
      <c r="C1046" s="1" t="str">
        <f>"منفرد"</f>
        <v>منفرد</v>
      </c>
      <c r="D1046" s="1" t="str">
        <f t="shared" si="112"/>
        <v>قراردادي بهره بردار</v>
      </c>
      <c r="E1046" s="1" t="str">
        <f t="shared" si="110"/>
        <v>پروژه تعميرات نيروگاه بوشهر</v>
      </c>
      <c r="F1046" s="1">
        <v>14034142</v>
      </c>
      <c r="G1046" s="1">
        <v>2275681</v>
      </c>
      <c r="H1046" s="1">
        <v>0</v>
      </c>
      <c r="I1046" s="1">
        <v>7884392</v>
      </c>
      <c r="J1046" s="1">
        <v>0</v>
      </c>
      <c r="K1046" s="1">
        <v>3465000</v>
      </c>
      <c r="L1046" s="1">
        <v>0</v>
      </c>
      <c r="M1046" s="1">
        <v>1000000</v>
      </c>
      <c r="N1046" s="1">
        <v>3002785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2340735</v>
      </c>
      <c r="W1046" s="1">
        <v>1900000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2144846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-3658836</v>
      </c>
      <c r="AM1046" s="1">
        <v>0</v>
      </c>
      <c r="AN1046" s="1">
        <v>0</v>
      </c>
      <c r="AO1046" s="1">
        <v>34388745</v>
      </c>
      <c r="AP1046" s="1">
        <v>4066102</v>
      </c>
      <c r="AQ1046" s="1">
        <v>30322643</v>
      </c>
      <c r="AR1046" s="1">
        <v>6877750</v>
      </c>
      <c r="AS1046" s="1">
        <v>1031661</v>
      </c>
      <c r="AT1046" s="1">
        <f t="shared" si="111"/>
        <v>42298156</v>
      </c>
    </row>
    <row r="1047" spans="1:46" x14ac:dyDescent="0.2">
      <c r="A1047" s="1" t="str">
        <f>"01336"</f>
        <v>01336</v>
      </c>
      <c r="B1047" s="1" t="str">
        <f>"علي"</f>
        <v>علي</v>
      </c>
      <c r="C1047" s="1" t="str">
        <f>"نعمتي"</f>
        <v>نعمتي</v>
      </c>
      <c r="D1047" s="1" t="str">
        <f t="shared" si="112"/>
        <v>قراردادي بهره بردار</v>
      </c>
      <c r="E1047" s="1" t="str">
        <f t="shared" si="110"/>
        <v>پروژه تعميرات نيروگاه بوشهر</v>
      </c>
      <c r="F1047" s="1">
        <v>19997135</v>
      </c>
      <c r="G1047" s="1">
        <v>3830734</v>
      </c>
      <c r="H1047" s="1">
        <v>0</v>
      </c>
      <c r="I1047" s="1">
        <v>10759998</v>
      </c>
      <c r="J1047" s="1">
        <v>0</v>
      </c>
      <c r="K1047" s="1">
        <v>4125000</v>
      </c>
      <c r="L1047" s="1">
        <v>0</v>
      </c>
      <c r="M1047" s="1">
        <v>1000000</v>
      </c>
      <c r="N1047" s="1">
        <v>3997237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4327022</v>
      </c>
      <c r="W1047" s="1">
        <v>1900000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2855168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5660683</v>
      </c>
      <c r="AM1047" s="1">
        <v>0</v>
      </c>
      <c r="AN1047" s="1">
        <v>0</v>
      </c>
      <c r="AO1047" s="1">
        <v>58452977</v>
      </c>
      <c r="AP1047" s="1">
        <v>13150264</v>
      </c>
      <c r="AQ1047" s="1">
        <v>45302713</v>
      </c>
      <c r="AR1047" s="1">
        <v>11690597</v>
      </c>
      <c r="AS1047" s="1">
        <v>1753589</v>
      </c>
      <c r="AT1047" s="1">
        <f t="shared" si="111"/>
        <v>71897163</v>
      </c>
    </row>
    <row r="1048" spans="1:46" x14ac:dyDescent="0.2">
      <c r="A1048" s="1" t="str">
        <f>"01337"</f>
        <v>01337</v>
      </c>
      <c r="B1048" s="1" t="str">
        <f>"محمد"</f>
        <v>محمد</v>
      </c>
      <c r="C1048" s="1" t="str">
        <f>"نوروزي"</f>
        <v>نوروزي</v>
      </c>
      <c r="D1048" s="1" t="str">
        <f t="shared" si="112"/>
        <v>قراردادي بهره بردار</v>
      </c>
      <c r="E1048" s="1" t="str">
        <f t="shared" si="110"/>
        <v>پروژه تعميرات نيروگاه بوشهر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980564</v>
      </c>
      <c r="S1048" s="1">
        <v>0</v>
      </c>
      <c r="T1048" s="1">
        <v>0</v>
      </c>
      <c r="U1048" s="1">
        <v>0</v>
      </c>
      <c r="V1048" s="1">
        <v>0</v>
      </c>
      <c r="W1048" s="1">
        <v>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1">
        <v>0</v>
      </c>
      <c r="AO1048" s="1">
        <v>980564</v>
      </c>
      <c r="AP1048" s="1">
        <v>980564</v>
      </c>
      <c r="AQ1048" s="1">
        <v>0</v>
      </c>
      <c r="AR1048" s="1">
        <v>0</v>
      </c>
      <c r="AS1048" s="1">
        <v>0</v>
      </c>
      <c r="AT1048" s="1">
        <f t="shared" si="111"/>
        <v>980564</v>
      </c>
    </row>
    <row r="1049" spans="1:46" x14ac:dyDescent="0.2">
      <c r="A1049" s="1" t="str">
        <f>"01338"</f>
        <v>01338</v>
      </c>
      <c r="B1049" s="1" t="str">
        <f>"عباس"</f>
        <v>عباس</v>
      </c>
      <c r="C1049" s="1" t="str">
        <f>"نياکان"</f>
        <v>نياکان</v>
      </c>
      <c r="D1049" s="1" t="str">
        <f t="shared" si="112"/>
        <v>قراردادي بهره بردار</v>
      </c>
      <c r="E1049" s="1" t="str">
        <f t="shared" si="110"/>
        <v>پروژه تعميرات نيروگاه بوشهر</v>
      </c>
      <c r="F1049" s="1">
        <v>20717135</v>
      </c>
      <c r="G1049" s="1">
        <v>3555660</v>
      </c>
      <c r="H1049" s="1">
        <v>0</v>
      </c>
      <c r="I1049" s="1">
        <v>11246185</v>
      </c>
      <c r="J1049" s="1">
        <v>0</v>
      </c>
      <c r="K1049" s="1">
        <v>4125000</v>
      </c>
      <c r="L1049" s="1">
        <v>0</v>
      </c>
      <c r="M1049" s="1">
        <v>1000000</v>
      </c>
      <c r="N1049" s="1">
        <v>4249236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4490534</v>
      </c>
      <c r="W1049" s="1">
        <v>1900000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3035169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5657616</v>
      </c>
      <c r="AM1049" s="1">
        <v>0</v>
      </c>
      <c r="AN1049" s="1">
        <v>0</v>
      </c>
      <c r="AO1049" s="1">
        <v>59976535</v>
      </c>
      <c r="AP1049" s="1">
        <v>11870330</v>
      </c>
      <c r="AQ1049" s="1">
        <v>48106205</v>
      </c>
      <c r="AR1049" s="1">
        <v>11995307</v>
      </c>
      <c r="AS1049" s="1">
        <v>1799297</v>
      </c>
      <c r="AT1049" s="1">
        <f t="shared" si="111"/>
        <v>73771139</v>
      </c>
    </row>
    <row r="1050" spans="1:46" x14ac:dyDescent="0.2">
      <c r="A1050" s="1" t="str">
        <f>"01339"</f>
        <v>01339</v>
      </c>
      <c r="B1050" s="1" t="str">
        <f>"جواد"</f>
        <v>جواد</v>
      </c>
      <c r="C1050" s="1" t="str">
        <f>"نيک پي"</f>
        <v>نيک پي</v>
      </c>
      <c r="D1050" s="1" t="str">
        <f t="shared" si="112"/>
        <v>قراردادي بهره بردار</v>
      </c>
      <c r="E1050" s="1" t="str">
        <f t="shared" si="110"/>
        <v>پروژه تعميرات نيروگاه بوشهر</v>
      </c>
      <c r="F1050" s="1">
        <v>13444851</v>
      </c>
      <c r="G1050" s="1">
        <v>1258484</v>
      </c>
      <c r="H1050" s="1">
        <v>0</v>
      </c>
      <c r="I1050" s="1">
        <v>7478098</v>
      </c>
      <c r="J1050" s="1">
        <v>0</v>
      </c>
      <c r="K1050" s="1">
        <v>4620000</v>
      </c>
      <c r="L1050" s="1">
        <v>0</v>
      </c>
      <c r="M1050" s="1">
        <v>1000000</v>
      </c>
      <c r="N1050" s="1">
        <v>2796533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3160457</v>
      </c>
      <c r="W1050" s="1">
        <v>1900000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1997522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5887561</v>
      </c>
      <c r="AM1050" s="1">
        <v>0</v>
      </c>
      <c r="AN1050" s="1">
        <v>0</v>
      </c>
      <c r="AO1050" s="1">
        <v>43543506</v>
      </c>
      <c r="AP1050" s="1">
        <v>13022604</v>
      </c>
      <c r="AQ1050" s="1">
        <v>30520902</v>
      </c>
      <c r="AR1050" s="1">
        <v>8708701</v>
      </c>
      <c r="AS1050" s="1">
        <v>1306306</v>
      </c>
      <c r="AT1050" s="1">
        <f t="shared" si="111"/>
        <v>53558513</v>
      </c>
    </row>
    <row r="1051" spans="1:46" x14ac:dyDescent="0.2">
      <c r="A1051" s="1" t="str">
        <f>"01340"</f>
        <v>01340</v>
      </c>
      <c r="B1051" s="1" t="str">
        <f>"فريبرز"</f>
        <v>فريبرز</v>
      </c>
      <c r="C1051" s="1" t="str">
        <f>"اشکني پور جفره"</f>
        <v>اشکني پور جفره</v>
      </c>
      <c r="D1051" s="1" t="str">
        <f>"قراردادي کارگري"</f>
        <v>قراردادي کارگري</v>
      </c>
      <c r="E1051" s="1" t="str">
        <f t="shared" si="110"/>
        <v>پروژه تعميرات نيروگاه بوشهر</v>
      </c>
      <c r="F1051" s="1">
        <v>6169476</v>
      </c>
      <c r="G1051" s="1">
        <v>0</v>
      </c>
      <c r="H1051" s="1">
        <v>0</v>
      </c>
      <c r="I1051" s="1">
        <v>3701685</v>
      </c>
      <c r="J1051" s="1">
        <v>0</v>
      </c>
      <c r="K1051" s="1">
        <v>0</v>
      </c>
      <c r="L1051" s="1">
        <v>7628143</v>
      </c>
      <c r="M1051" s="1">
        <v>1000000</v>
      </c>
      <c r="N1051" s="1">
        <v>3290388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4519408</v>
      </c>
      <c r="W1051" s="1">
        <v>1900000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0</v>
      </c>
      <c r="AM1051" s="1">
        <v>0</v>
      </c>
      <c r="AN1051" s="1">
        <v>0</v>
      </c>
      <c r="AO1051" s="1">
        <v>28209100</v>
      </c>
      <c r="AP1051" s="1">
        <v>5898637</v>
      </c>
      <c r="AQ1051" s="1">
        <v>22310463</v>
      </c>
      <c r="AR1051" s="1">
        <v>5641820</v>
      </c>
      <c r="AS1051" s="1">
        <v>846273</v>
      </c>
      <c r="AT1051" s="1">
        <f t="shared" si="111"/>
        <v>34697193</v>
      </c>
    </row>
    <row r="1052" spans="1:46" x14ac:dyDescent="0.2">
      <c r="A1052" s="1" t="str">
        <f>"01341"</f>
        <v>01341</v>
      </c>
      <c r="B1052" s="1" t="str">
        <f>"محسن"</f>
        <v>محسن</v>
      </c>
      <c r="C1052" s="1" t="str">
        <f>"ابراهيمي"</f>
        <v>ابراهيمي</v>
      </c>
      <c r="D1052" s="1" t="str">
        <f t="shared" ref="D1052:D1092" si="113">"قراردادي بهره بردار"</f>
        <v>قراردادي بهره بردار</v>
      </c>
      <c r="E1052" s="1" t="str">
        <f t="shared" ref="E1052:E1058" si="114">"پروژه بهره برداري نيروگاه بوشهر"</f>
        <v>پروژه بهره برداري نيروگاه بوشهر</v>
      </c>
      <c r="F1052" s="1">
        <v>15575640</v>
      </c>
      <c r="G1052" s="1">
        <v>15837834</v>
      </c>
      <c r="H1052" s="1">
        <v>0</v>
      </c>
      <c r="I1052" s="1">
        <v>10239176</v>
      </c>
      <c r="J1052" s="1">
        <v>0</v>
      </c>
      <c r="K1052" s="1">
        <v>4125000</v>
      </c>
      <c r="L1052" s="1">
        <v>0</v>
      </c>
      <c r="M1052" s="1">
        <v>1000000</v>
      </c>
      <c r="N1052" s="1">
        <v>2093182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3344929</v>
      </c>
      <c r="W1052" s="1">
        <v>1900000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1495130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4046161</v>
      </c>
      <c r="AM1052" s="1">
        <v>0</v>
      </c>
      <c r="AN1052" s="1">
        <v>0</v>
      </c>
      <c r="AO1052" s="1">
        <v>59657052</v>
      </c>
      <c r="AP1052" s="1">
        <v>19293704</v>
      </c>
      <c r="AQ1052" s="1">
        <v>40363348</v>
      </c>
      <c r="AR1052" s="1">
        <v>11931410</v>
      </c>
      <c r="AS1052" s="1">
        <v>1789712</v>
      </c>
      <c r="AT1052" s="1">
        <f t="shared" si="111"/>
        <v>73378174</v>
      </c>
    </row>
    <row r="1053" spans="1:46" x14ac:dyDescent="0.2">
      <c r="A1053" s="1" t="str">
        <f>"01342"</f>
        <v>01342</v>
      </c>
      <c r="B1053" s="1" t="str">
        <f>"صادق"</f>
        <v>صادق</v>
      </c>
      <c r="C1053" s="1" t="str">
        <f>"احمدي حبيب آباد"</f>
        <v>احمدي حبيب آباد</v>
      </c>
      <c r="D1053" s="1" t="str">
        <f t="shared" si="113"/>
        <v>قراردادي بهره بردار</v>
      </c>
      <c r="E1053" s="1" t="str">
        <f t="shared" si="114"/>
        <v>پروژه بهره برداري نيروگاه بوشهر</v>
      </c>
      <c r="F1053" s="1">
        <v>8434067</v>
      </c>
      <c r="G1053" s="1">
        <v>5817488</v>
      </c>
      <c r="H1053" s="1">
        <v>0</v>
      </c>
      <c r="I1053" s="1">
        <v>4444935</v>
      </c>
      <c r="J1053" s="1">
        <v>0</v>
      </c>
      <c r="K1053" s="1">
        <v>3465000</v>
      </c>
      <c r="L1053" s="1">
        <v>0</v>
      </c>
      <c r="M1053" s="1">
        <v>1000000</v>
      </c>
      <c r="N1053" s="1">
        <v>1042757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1873684</v>
      </c>
      <c r="W1053" s="1">
        <v>1900000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744827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4070259</v>
      </c>
      <c r="AM1053" s="1">
        <v>0</v>
      </c>
      <c r="AN1053" s="1">
        <v>0</v>
      </c>
      <c r="AO1053" s="1">
        <v>32793017</v>
      </c>
      <c r="AP1053" s="1">
        <v>10795505</v>
      </c>
      <c r="AQ1053" s="1">
        <v>21997512</v>
      </c>
      <c r="AR1053" s="1">
        <v>6558603</v>
      </c>
      <c r="AS1053" s="1">
        <v>983791</v>
      </c>
      <c r="AT1053" s="1">
        <f t="shared" si="111"/>
        <v>40335411</v>
      </c>
    </row>
    <row r="1054" spans="1:46" x14ac:dyDescent="0.2">
      <c r="A1054" s="1" t="str">
        <f>"01343"</f>
        <v>01343</v>
      </c>
      <c r="B1054" s="1" t="str">
        <f>"مهدي"</f>
        <v>مهدي</v>
      </c>
      <c r="C1054" s="1" t="str">
        <f>"بنافي"</f>
        <v>بنافي</v>
      </c>
      <c r="D1054" s="1" t="str">
        <f t="shared" si="113"/>
        <v>قراردادي بهره بردار</v>
      </c>
      <c r="E1054" s="1" t="str">
        <f t="shared" si="114"/>
        <v>پروژه بهره برداري نيروگاه بوشهر</v>
      </c>
      <c r="F1054" s="1">
        <v>22079731</v>
      </c>
      <c r="G1054" s="1">
        <v>7451375</v>
      </c>
      <c r="H1054" s="1">
        <v>0</v>
      </c>
      <c r="I1054" s="1">
        <v>11971115</v>
      </c>
      <c r="J1054" s="1">
        <v>0</v>
      </c>
      <c r="K1054" s="1">
        <v>4125000</v>
      </c>
      <c r="L1054" s="1">
        <v>0</v>
      </c>
      <c r="M1054" s="1">
        <v>1000000</v>
      </c>
      <c r="N1054" s="1">
        <v>4542127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4740648</v>
      </c>
      <c r="W1054" s="1">
        <v>1900000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3244379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5569113</v>
      </c>
      <c r="AM1054" s="1">
        <v>0</v>
      </c>
      <c r="AN1054" s="1">
        <v>0</v>
      </c>
      <c r="AO1054" s="1">
        <v>66623488</v>
      </c>
      <c r="AP1054" s="1">
        <v>11999660</v>
      </c>
      <c r="AQ1054" s="1">
        <v>54623828</v>
      </c>
      <c r="AR1054" s="1">
        <v>13324698</v>
      </c>
      <c r="AS1054" s="1">
        <v>1998704</v>
      </c>
      <c r="AT1054" s="1">
        <f t="shared" si="111"/>
        <v>81946890</v>
      </c>
    </row>
    <row r="1055" spans="1:46" x14ac:dyDescent="0.2">
      <c r="A1055" s="1" t="str">
        <f>"01344"</f>
        <v>01344</v>
      </c>
      <c r="B1055" s="1" t="str">
        <f>"جمشيد"</f>
        <v>جمشيد</v>
      </c>
      <c r="C1055" s="1" t="str">
        <f>"حيدري"</f>
        <v>حيدري</v>
      </c>
      <c r="D1055" s="1" t="str">
        <f t="shared" si="113"/>
        <v>قراردادي بهره بردار</v>
      </c>
      <c r="E1055" s="1" t="str">
        <f t="shared" si="114"/>
        <v>پروژه بهره برداري نيروگاه بوشهر</v>
      </c>
      <c r="F1055" s="1">
        <v>14684039</v>
      </c>
      <c r="G1055" s="1">
        <v>13773026</v>
      </c>
      <c r="H1055" s="1">
        <v>0</v>
      </c>
      <c r="I1055" s="1">
        <v>9540746</v>
      </c>
      <c r="J1055" s="1">
        <v>0</v>
      </c>
      <c r="K1055" s="1">
        <v>5500000</v>
      </c>
      <c r="L1055" s="1">
        <v>0</v>
      </c>
      <c r="M1055" s="1">
        <v>1000000</v>
      </c>
      <c r="N1055" s="1">
        <v>1953637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3226173</v>
      </c>
      <c r="W1055" s="1">
        <v>1900000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1395455</v>
      </c>
      <c r="AF1055" s="1">
        <v>1516881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4687851</v>
      </c>
      <c r="AM1055" s="1">
        <v>0</v>
      </c>
      <c r="AN1055" s="1">
        <v>0</v>
      </c>
      <c r="AO1055" s="1">
        <v>59177808</v>
      </c>
      <c r="AP1055" s="1">
        <v>23056277</v>
      </c>
      <c r="AQ1055" s="1">
        <v>36121531</v>
      </c>
      <c r="AR1055" s="1">
        <v>11532185</v>
      </c>
      <c r="AS1055" s="1">
        <v>1729828</v>
      </c>
      <c r="AT1055" s="1">
        <f t="shared" si="111"/>
        <v>72439821</v>
      </c>
    </row>
    <row r="1056" spans="1:46" x14ac:dyDescent="0.2">
      <c r="A1056" s="1" t="str">
        <f>"01345"</f>
        <v>01345</v>
      </c>
      <c r="B1056" s="1" t="str">
        <f>"وحيد"</f>
        <v>وحيد</v>
      </c>
      <c r="C1056" s="1" t="str">
        <f>"حياتي جعفر بيگي"</f>
        <v>حياتي جعفر بيگي</v>
      </c>
      <c r="D1056" s="1" t="str">
        <f t="shared" si="113"/>
        <v>قراردادي بهره بردار</v>
      </c>
      <c r="E1056" s="1" t="str">
        <f t="shared" si="114"/>
        <v>پروژه بهره برداري نيروگاه بوشهر</v>
      </c>
      <c r="F1056" s="1">
        <v>14370773</v>
      </c>
      <c r="G1056" s="1">
        <v>8981369</v>
      </c>
      <c r="H1056" s="1">
        <v>0</v>
      </c>
      <c r="I1056" s="1">
        <v>10175303</v>
      </c>
      <c r="J1056" s="1">
        <v>0</v>
      </c>
      <c r="K1056" s="1">
        <v>4125000</v>
      </c>
      <c r="L1056" s="1">
        <v>0</v>
      </c>
      <c r="M1056" s="1">
        <v>1000000</v>
      </c>
      <c r="N1056" s="1">
        <v>2028010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3214112</v>
      </c>
      <c r="W1056" s="1">
        <v>1900000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1448578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4118453</v>
      </c>
      <c r="AM1056" s="1">
        <v>0</v>
      </c>
      <c r="AN1056" s="1">
        <v>0</v>
      </c>
      <c r="AO1056" s="1">
        <v>51361598</v>
      </c>
      <c r="AP1056" s="1">
        <v>25660313</v>
      </c>
      <c r="AQ1056" s="1">
        <v>25701285</v>
      </c>
      <c r="AR1056" s="1">
        <v>10272320</v>
      </c>
      <c r="AS1056" s="1">
        <v>1540848</v>
      </c>
      <c r="AT1056" s="1">
        <f t="shared" si="111"/>
        <v>63174766</v>
      </c>
    </row>
    <row r="1057" spans="1:46" x14ac:dyDescent="0.2">
      <c r="A1057" s="1" t="str">
        <f>"01346"</f>
        <v>01346</v>
      </c>
      <c r="B1057" s="1" t="str">
        <f>"عيسي"</f>
        <v>عيسي</v>
      </c>
      <c r="C1057" s="1" t="str">
        <f>"قاسمي"</f>
        <v>قاسمي</v>
      </c>
      <c r="D1057" s="1" t="str">
        <f t="shared" si="113"/>
        <v>قراردادي بهره بردار</v>
      </c>
      <c r="E1057" s="1" t="str">
        <f t="shared" si="114"/>
        <v>پروژه بهره برداري نيروگاه بوشهر</v>
      </c>
      <c r="F1057" s="1">
        <v>10745225</v>
      </c>
      <c r="G1057" s="1">
        <v>16076306</v>
      </c>
      <c r="H1057" s="1">
        <v>0</v>
      </c>
      <c r="I1057" s="1">
        <v>6776413</v>
      </c>
      <c r="J1057" s="1">
        <v>0</v>
      </c>
      <c r="K1057" s="1">
        <v>4620000</v>
      </c>
      <c r="L1057" s="1">
        <v>0</v>
      </c>
      <c r="M1057" s="1">
        <v>1000000</v>
      </c>
      <c r="N1057" s="1">
        <v>1312471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22932555</v>
      </c>
      <c r="W1057" s="1">
        <v>1900000</v>
      </c>
      <c r="X1057" s="1">
        <v>1571021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937483</v>
      </c>
      <c r="AF1057" s="1">
        <v>3033762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7792391</v>
      </c>
      <c r="AM1057" s="1">
        <v>0</v>
      </c>
      <c r="AN1057" s="1">
        <v>0</v>
      </c>
      <c r="AO1057" s="1">
        <v>78697627</v>
      </c>
      <c r="AP1057" s="1">
        <v>14036545</v>
      </c>
      <c r="AQ1057" s="1">
        <v>64661082</v>
      </c>
      <c r="AR1057" s="1">
        <v>15132774</v>
      </c>
      <c r="AS1057" s="1">
        <v>2269914</v>
      </c>
      <c r="AT1057" s="1">
        <f t="shared" si="111"/>
        <v>96100315</v>
      </c>
    </row>
    <row r="1058" spans="1:46" x14ac:dyDescent="0.2">
      <c r="A1058" s="1" t="str">
        <f>"01347"</f>
        <v>01347</v>
      </c>
      <c r="B1058" s="1" t="str">
        <f>"مسعود"</f>
        <v>مسعود</v>
      </c>
      <c r="C1058" s="1" t="str">
        <f>"گلرخ"</f>
        <v>گلرخ</v>
      </c>
      <c r="D1058" s="1" t="str">
        <f t="shared" si="113"/>
        <v>قراردادي بهره بردار</v>
      </c>
      <c r="E1058" s="1" t="str">
        <f t="shared" si="114"/>
        <v>پروژه بهره برداري نيروگاه بوشهر</v>
      </c>
      <c r="F1058" s="1">
        <v>10697189</v>
      </c>
      <c r="G1058" s="1">
        <v>19390843</v>
      </c>
      <c r="H1058" s="1">
        <v>0</v>
      </c>
      <c r="I1058" s="1">
        <v>7630882</v>
      </c>
      <c r="J1058" s="1">
        <v>0</v>
      </c>
      <c r="K1058" s="1">
        <v>4620000</v>
      </c>
      <c r="L1058" s="1">
        <v>0</v>
      </c>
      <c r="M1058" s="1">
        <v>1000000</v>
      </c>
      <c r="N1058" s="1">
        <v>1768276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27939234</v>
      </c>
      <c r="W1058" s="1">
        <v>1900000</v>
      </c>
      <c r="X1058" s="1">
        <v>1562694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1263050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8675740</v>
      </c>
      <c r="AM1058" s="1">
        <v>0</v>
      </c>
      <c r="AN1058" s="1">
        <v>0</v>
      </c>
      <c r="AO1058" s="1">
        <v>86447908</v>
      </c>
      <c r="AP1058" s="1">
        <v>17005951</v>
      </c>
      <c r="AQ1058" s="1">
        <v>69441957</v>
      </c>
      <c r="AR1058" s="1">
        <v>17289582</v>
      </c>
      <c r="AS1058" s="1">
        <v>2593435</v>
      </c>
      <c r="AT1058" s="1">
        <f t="shared" si="111"/>
        <v>106330925</v>
      </c>
    </row>
    <row r="1059" spans="1:46" x14ac:dyDescent="0.2">
      <c r="A1059" s="1" t="str">
        <f>"01349"</f>
        <v>01349</v>
      </c>
      <c r="B1059" s="1" t="str">
        <f>"روزبه"</f>
        <v>روزبه</v>
      </c>
      <c r="C1059" s="1" t="str">
        <f>"محمدي"</f>
        <v>محمدي</v>
      </c>
      <c r="D1059" s="1" t="str">
        <f t="shared" si="113"/>
        <v>قراردادي بهره بردار</v>
      </c>
      <c r="E1059" s="1" t="str">
        <f>"پروژه تعميرات نيروگاه بوشهر"</f>
        <v>پروژه تعميرات نيروگاه بوشهر</v>
      </c>
      <c r="F1059" s="1">
        <v>18817097</v>
      </c>
      <c r="G1059" s="1">
        <v>5485225</v>
      </c>
      <c r="H1059" s="1">
        <v>0</v>
      </c>
      <c r="I1059" s="1">
        <v>9940737</v>
      </c>
      <c r="J1059" s="1">
        <v>0</v>
      </c>
      <c r="K1059" s="1">
        <v>4125000</v>
      </c>
      <c r="L1059" s="1">
        <v>0</v>
      </c>
      <c r="M1059" s="1">
        <v>1000000</v>
      </c>
      <c r="N1059" s="1">
        <v>3584222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4021985</v>
      </c>
      <c r="W1059" s="1">
        <v>1900000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2560160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5317624</v>
      </c>
      <c r="AM1059" s="1">
        <v>0</v>
      </c>
      <c r="AN1059" s="1">
        <v>0</v>
      </c>
      <c r="AO1059" s="1">
        <v>56752050</v>
      </c>
      <c r="AP1059" s="1">
        <v>20488812</v>
      </c>
      <c r="AQ1059" s="1">
        <v>36263238</v>
      </c>
      <c r="AR1059" s="1">
        <v>11350409</v>
      </c>
      <c r="AS1059" s="1">
        <v>1702561</v>
      </c>
      <c r="AT1059" s="1">
        <f t="shared" si="111"/>
        <v>69805020</v>
      </c>
    </row>
    <row r="1060" spans="1:46" x14ac:dyDescent="0.2">
      <c r="A1060" s="1" t="str">
        <f>"01350"</f>
        <v>01350</v>
      </c>
      <c r="B1060" s="1" t="str">
        <f>"صياد"</f>
        <v>صياد</v>
      </c>
      <c r="C1060" s="1" t="str">
        <f>"شريفي"</f>
        <v>شريفي</v>
      </c>
      <c r="D1060" s="1" t="str">
        <f t="shared" si="113"/>
        <v>قراردادي بهره بردار</v>
      </c>
      <c r="E1060" s="1" t="str">
        <f t="shared" ref="E1060:E1092" si="115">"پروژه بهره برداري نيروگاه بوشهر"</f>
        <v>پروژه بهره برداري نيروگاه بوشهر</v>
      </c>
      <c r="F1060" s="1">
        <v>20097173</v>
      </c>
      <c r="G1060" s="1">
        <v>6941425</v>
      </c>
      <c r="H1060" s="1">
        <v>0</v>
      </c>
      <c r="I1060" s="1">
        <v>11184000</v>
      </c>
      <c r="J1060" s="1">
        <v>0</v>
      </c>
      <c r="K1060" s="1">
        <v>5500000</v>
      </c>
      <c r="L1060" s="1">
        <v>0</v>
      </c>
      <c r="M1060" s="1">
        <v>1000000</v>
      </c>
      <c r="N1060" s="1">
        <v>4032249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4371779</v>
      </c>
      <c r="W1060" s="1">
        <v>1900000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2880176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5524204</v>
      </c>
      <c r="AM1060" s="1">
        <v>0</v>
      </c>
      <c r="AN1060" s="1">
        <v>0</v>
      </c>
      <c r="AO1060" s="1">
        <v>63431006</v>
      </c>
      <c r="AP1060" s="1">
        <v>16832883</v>
      </c>
      <c r="AQ1060" s="1">
        <v>46598123</v>
      </c>
      <c r="AR1060" s="1">
        <v>12686200</v>
      </c>
      <c r="AS1060" s="1">
        <v>1902930</v>
      </c>
      <c r="AT1060" s="1">
        <f t="shared" si="111"/>
        <v>78020136</v>
      </c>
    </row>
    <row r="1061" spans="1:46" x14ac:dyDescent="0.2">
      <c r="A1061" s="1" t="str">
        <f>"01351"</f>
        <v>01351</v>
      </c>
      <c r="B1061" s="1" t="str">
        <f>"رضا"</f>
        <v>رضا</v>
      </c>
      <c r="C1061" s="1" t="str">
        <f>"ثابت سروستاني"</f>
        <v>ثابت سروستاني</v>
      </c>
      <c r="D1061" s="1" t="str">
        <f t="shared" si="113"/>
        <v>قراردادي بهره بردار</v>
      </c>
      <c r="E1061" s="1" t="str">
        <f t="shared" si="115"/>
        <v>پروژه بهره برداري نيروگاه بوشهر</v>
      </c>
      <c r="F1061" s="1">
        <v>14902378</v>
      </c>
      <c r="G1061" s="1">
        <v>3823497</v>
      </c>
      <c r="H1061" s="1">
        <v>0</v>
      </c>
      <c r="I1061" s="1">
        <v>8467002</v>
      </c>
      <c r="J1061" s="1">
        <v>0</v>
      </c>
      <c r="K1061" s="1">
        <v>3465000</v>
      </c>
      <c r="L1061" s="1">
        <v>0</v>
      </c>
      <c r="M1061" s="1">
        <v>1000000</v>
      </c>
      <c r="N1061" s="1">
        <v>3306667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4443315</v>
      </c>
      <c r="W1061" s="1">
        <v>1900000</v>
      </c>
      <c r="X1061" s="1">
        <v>1420740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2361906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15395202</v>
      </c>
      <c r="AM1061" s="1">
        <v>0</v>
      </c>
      <c r="AN1061" s="1">
        <v>0</v>
      </c>
      <c r="AO1061" s="1">
        <v>60485707</v>
      </c>
      <c r="AP1061" s="1">
        <v>17313696</v>
      </c>
      <c r="AQ1061" s="1">
        <v>43172011</v>
      </c>
      <c r="AR1061" s="1">
        <v>12097142</v>
      </c>
      <c r="AS1061" s="1">
        <v>1814572</v>
      </c>
      <c r="AT1061" s="1">
        <f t="shared" si="111"/>
        <v>74397421</v>
      </c>
    </row>
    <row r="1062" spans="1:46" x14ac:dyDescent="0.2">
      <c r="A1062" s="1" t="str">
        <f>"01352"</f>
        <v>01352</v>
      </c>
      <c r="B1062" s="1" t="str">
        <f>"امير"</f>
        <v>امير</v>
      </c>
      <c r="C1062" s="1" t="str">
        <f>"حسينلو"</f>
        <v>حسينلو</v>
      </c>
      <c r="D1062" s="1" t="str">
        <f t="shared" si="113"/>
        <v>قراردادي بهره بردار</v>
      </c>
      <c r="E1062" s="1" t="str">
        <f t="shared" si="115"/>
        <v>پروژه بهره برداري نيروگاه بوشهر</v>
      </c>
      <c r="F1062" s="1">
        <v>15194463</v>
      </c>
      <c r="G1062" s="1">
        <v>4573598</v>
      </c>
      <c r="H1062" s="1">
        <v>0</v>
      </c>
      <c r="I1062" s="1">
        <v>8739869</v>
      </c>
      <c r="J1062" s="1">
        <v>0</v>
      </c>
      <c r="K1062" s="1">
        <v>3465000</v>
      </c>
      <c r="L1062" s="1">
        <v>0</v>
      </c>
      <c r="M1062" s="1">
        <v>1000000</v>
      </c>
      <c r="N1062" s="1">
        <v>3408898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4883580</v>
      </c>
      <c r="W1062" s="1">
        <v>1900000</v>
      </c>
      <c r="X1062" s="1">
        <v>2218501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2434925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19057663</v>
      </c>
      <c r="AM1062" s="1">
        <v>0</v>
      </c>
      <c r="AN1062" s="1">
        <v>0</v>
      </c>
      <c r="AO1062" s="1">
        <v>66876497</v>
      </c>
      <c r="AP1062" s="1">
        <v>7867696</v>
      </c>
      <c r="AQ1062" s="1">
        <v>59008801</v>
      </c>
      <c r="AR1062" s="1">
        <v>13375301</v>
      </c>
      <c r="AS1062" s="1">
        <v>2006295</v>
      </c>
      <c r="AT1062" s="1">
        <f t="shared" si="111"/>
        <v>82258093</v>
      </c>
    </row>
    <row r="1063" spans="1:46" x14ac:dyDescent="0.2">
      <c r="A1063" s="1" t="str">
        <f>"01353"</f>
        <v>01353</v>
      </c>
      <c r="B1063" s="1" t="str">
        <f>"مجتبي"</f>
        <v>مجتبي</v>
      </c>
      <c r="C1063" s="1" t="str">
        <f>"چکي"</f>
        <v>چکي</v>
      </c>
      <c r="D1063" s="1" t="str">
        <f t="shared" si="113"/>
        <v>قراردادي بهره بردار</v>
      </c>
      <c r="E1063" s="1" t="str">
        <f t="shared" si="115"/>
        <v>پروژه بهره برداري نيروگاه بوشهر</v>
      </c>
      <c r="F1063" s="1">
        <v>12607287</v>
      </c>
      <c r="G1063" s="1">
        <v>751784</v>
      </c>
      <c r="H1063" s="1">
        <v>0</v>
      </c>
      <c r="I1063" s="1">
        <v>5756942</v>
      </c>
      <c r="J1063" s="1">
        <v>0</v>
      </c>
      <c r="K1063" s="1">
        <v>5500000</v>
      </c>
      <c r="L1063" s="1">
        <v>0</v>
      </c>
      <c r="M1063" s="1">
        <v>1000000</v>
      </c>
      <c r="N1063" s="1">
        <v>1410789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2421330</v>
      </c>
      <c r="W1063" s="1">
        <v>1900000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1007707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3430584</v>
      </c>
      <c r="AM1063" s="1">
        <v>0</v>
      </c>
      <c r="AN1063" s="1">
        <v>0</v>
      </c>
      <c r="AO1063" s="1">
        <v>35786423</v>
      </c>
      <c r="AP1063" s="1">
        <v>19966080</v>
      </c>
      <c r="AQ1063" s="1">
        <v>15820343</v>
      </c>
      <c r="AR1063" s="1">
        <v>7157285</v>
      </c>
      <c r="AS1063" s="1">
        <v>1073593</v>
      </c>
      <c r="AT1063" s="1">
        <f t="shared" si="111"/>
        <v>44017301</v>
      </c>
    </row>
    <row r="1064" spans="1:46" x14ac:dyDescent="0.2">
      <c r="A1064" s="1" t="str">
        <f>"01354"</f>
        <v>01354</v>
      </c>
      <c r="B1064" s="1" t="str">
        <f>"ايمان"</f>
        <v>ايمان</v>
      </c>
      <c r="C1064" s="1" t="str">
        <f>"زردپور"</f>
        <v>زردپور</v>
      </c>
      <c r="D1064" s="1" t="str">
        <f t="shared" si="113"/>
        <v>قراردادي بهره بردار</v>
      </c>
      <c r="E1064" s="1" t="str">
        <f t="shared" si="115"/>
        <v>پروژه بهره برداري نيروگاه بوشهر</v>
      </c>
      <c r="F1064" s="1">
        <v>13731099</v>
      </c>
      <c r="G1064" s="1">
        <v>1348519</v>
      </c>
      <c r="H1064" s="1">
        <v>0</v>
      </c>
      <c r="I1064" s="1">
        <v>8526873</v>
      </c>
      <c r="J1064" s="1">
        <v>0</v>
      </c>
      <c r="K1064" s="1">
        <v>5500000</v>
      </c>
      <c r="L1064" s="1">
        <v>0</v>
      </c>
      <c r="M1064" s="1">
        <v>1000000</v>
      </c>
      <c r="N1064" s="1">
        <v>1804124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2895522</v>
      </c>
      <c r="W1064" s="1">
        <v>1900000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1288660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3604468</v>
      </c>
      <c r="AM1064" s="1">
        <v>0</v>
      </c>
      <c r="AN1064" s="1">
        <v>0</v>
      </c>
      <c r="AO1064" s="1">
        <v>41599265</v>
      </c>
      <c r="AP1064" s="1">
        <v>13505981</v>
      </c>
      <c r="AQ1064" s="1">
        <v>28093284</v>
      </c>
      <c r="AR1064" s="1">
        <v>8319853</v>
      </c>
      <c r="AS1064" s="1">
        <v>1247978</v>
      </c>
      <c r="AT1064" s="1">
        <f t="shared" si="111"/>
        <v>51167096</v>
      </c>
    </row>
    <row r="1065" spans="1:46" x14ac:dyDescent="0.2">
      <c r="A1065" s="1" t="str">
        <f>"01355"</f>
        <v>01355</v>
      </c>
      <c r="B1065" s="1" t="str">
        <f>"حسن"</f>
        <v>حسن</v>
      </c>
      <c r="C1065" s="1" t="str">
        <f>"مشتاقي"</f>
        <v>مشتاقي</v>
      </c>
      <c r="D1065" s="1" t="str">
        <f t="shared" si="113"/>
        <v>قراردادي بهره بردار</v>
      </c>
      <c r="E1065" s="1" t="str">
        <f t="shared" si="115"/>
        <v>پروژه بهره برداري نيروگاه بوشهر</v>
      </c>
      <c r="F1065" s="1">
        <v>15369716</v>
      </c>
      <c r="G1065" s="1">
        <v>704641</v>
      </c>
      <c r="H1065" s="1">
        <v>0</v>
      </c>
      <c r="I1065" s="1">
        <v>8790151</v>
      </c>
      <c r="J1065" s="1">
        <v>0</v>
      </c>
      <c r="K1065" s="1">
        <v>3465000</v>
      </c>
      <c r="L1065" s="1">
        <v>0</v>
      </c>
      <c r="M1065" s="1">
        <v>1000000</v>
      </c>
      <c r="N1065" s="1">
        <v>3470236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3671170</v>
      </c>
      <c r="W1065" s="1">
        <v>1900000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2478738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6602886</v>
      </c>
      <c r="AM1065" s="1">
        <v>0</v>
      </c>
      <c r="AN1065" s="1">
        <v>0</v>
      </c>
      <c r="AO1065" s="1">
        <v>47452538</v>
      </c>
      <c r="AP1065" s="1">
        <v>6005517</v>
      </c>
      <c r="AQ1065" s="1">
        <v>41447021</v>
      </c>
      <c r="AR1065" s="1">
        <v>9490508</v>
      </c>
      <c r="AS1065" s="1">
        <v>1423577</v>
      </c>
      <c r="AT1065" s="1">
        <f t="shared" si="111"/>
        <v>58366623</v>
      </c>
    </row>
    <row r="1066" spans="1:46" x14ac:dyDescent="0.2">
      <c r="A1066" s="1" t="str">
        <f>"01356"</f>
        <v>01356</v>
      </c>
      <c r="B1066" s="1" t="str">
        <f>"يداله"</f>
        <v>يداله</v>
      </c>
      <c r="C1066" s="1" t="str">
        <f>"ابوعلي نژاد"</f>
        <v>ابوعلي نژاد</v>
      </c>
      <c r="D1066" s="1" t="str">
        <f t="shared" si="113"/>
        <v>قراردادي بهره بردار</v>
      </c>
      <c r="E1066" s="1" t="str">
        <f t="shared" si="115"/>
        <v>پروژه بهره برداري نيروگاه بوشهر</v>
      </c>
      <c r="F1066" s="1">
        <v>15066678</v>
      </c>
      <c r="G1066" s="1">
        <v>753392</v>
      </c>
      <c r="H1066" s="1">
        <v>0</v>
      </c>
      <c r="I1066" s="1">
        <v>8580611</v>
      </c>
      <c r="J1066" s="1">
        <v>0</v>
      </c>
      <c r="K1066" s="1">
        <v>3465000</v>
      </c>
      <c r="L1066" s="1">
        <v>0</v>
      </c>
      <c r="M1066" s="1">
        <v>1000000</v>
      </c>
      <c r="N1066" s="1">
        <v>3364172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3582801</v>
      </c>
      <c r="W1066" s="1">
        <v>1900000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2402981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6413580</v>
      </c>
      <c r="AM1066" s="1">
        <v>0</v>
      </c>
      <c r="AN1066" s="1">
        <v>0</v>
      </c>
      <c r="AO1066" s="1">
        <v>46529215</v>
      </c>
      <c r="AP1066" s="1">
        <v>4455990</v>
      </c>
      <c r="AQ1066" s="1">
        <v>42073225</v>
      </c>
      <c r="AR1066" s="1">
        <v>9305844</v>
      </c>
      <c r="AS1066" s="1">
        <v>1395876</v>
      </c>
      <c r="AT1066" s="1">
        <f t="shared" si="111"/>
        <v>57230935</v>
      </c>
    </row>
    <row r="1067" spans="1:46" x14ac:dyDescent="0.2">
      <c r="A1067" s="1" t="str">
        <f>"01357"</f>
        <v>01357</v>
      </c>
      <c r="B1067" s="1" t="str">
        <f>"پيمان"</f>
        <v>پيمان</v>
      </c>
      <c r="C1067" s="1" t="str">
        <f>"سلحشوري"</f>
        <v>سلحشوري</v>
      </c>
      <c r="D1067" s="1" t="str">
        <f t="shared" si="113"/>
        <v>قراردادي بهره بردار</v>
      </c>
      <c r="E1067" s="1" t="str">
        <f t="shared" si="115"/>
        <v>پروژه بهره برداري نيروگاه بوشهر</v>
      </c>
      <c r="F1067" s="1">
        <v>20721513</v>
      </c>
      <c r="G1067" s="1">
        <v>6768531</v>
      </c>
      <c r="H1067" s="1">
        <v>0</v>
      </c>
      <c r="I1067" s="1">
        <v>11486536</v>
      </c>
      <c r="J1067" s="1">
        <v>0</v>
      </c>
      <c r="K1067" s="1">
        <v>4620000</v>
      </c>
      <c r="L1067" s="1">
        <v>0</v>
      </c>
      <c r="M1067" s="1">
        <v>1000000</v>
      </c>
      <c r="N1067" s="1">
        <v>4250768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4498968</v>
      </c>
      <c r="W1067" s="1">
        <v>1900000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3036261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5494630</v>
      </c>
      <c r="AM1067" s="1">
        <v>0</v>
      </c>
      <c r="AN1067" s="1">
        <v>0</v>
      </c>
      <c r="AO1067" s="1">
        <v>63777207</v>
      </c>
      <c r="AP1067" s="1">
        <v>29146556</v>
      </c>
      <c r="AQ1067" s="1">
        <v>34630651</v>
      </c>
      <c r="AR1067" s="1">
        <v>12755441</v>
      </c>
      <c r="AS1067" s="1">
        <v>1913318</v>
      </c>
      <c r="AT1067" s="1">
        <f t="shared" si="111"/>
        <v>78445966</v>
      </c>
    </row>
    <row r="1068" spans="1:46" x14ac:dyDescent="0.2">
      <c r="A1068" s="1" t="str">
        <f>"01358"</f>
        <v>01358</v>
      </c>
      <c r="B1068" s="1" t="str">
        <f>"محمود"</f>
        <v>محمود</v>
      </c>
      <c r="C1068" s="1" t="str">
        <f>"دشتي"</f>
        <v>دشتي</v>
      </c>
      <c r="D1068" s="1" t="str">
        <f t="shared" si="113"/>
        <v>قراردادي بهره بردار</v>
      </c>
      <c r="E1068" s="1" t="str">
        <f t="shared" si="115"/>
        <v>پروژه بهره برداري نيروگاه بوشهر</v>
      </c>
      <c r="F1068" s="1">
        <v>8199665</v>
      </c>
      <c r="G1068" s="1">
        <v>276274</v>
      </c>
      <c r="H1068" s="1">
        <v>0</v>
      </c>
      <c r="I1068" s="1">
        <v>3832278</v>
      </c>
      <c r="J1068" s="1">
        <v>0</v>
      </c>
      <c r="K1068" s="1">
        <v>4620000</v>
      </c>
      <c r="L1068" s="1">
        <v>0</v>
      </c>
      <c r="M1068" s="1">
        <v>1000000</v>
      </c>
      <c r="N1068" s="1">
        <v>960717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1779636</v>
      </c>
      <c r="W1068" s="1">
        <v>1900000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686226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4117468</v>
      </c>
      <c r="AM1068" s="1">
        <v>0</v>
      </c>
      <c r="AN1068" s="1">
        <v>0</v>
      </c>
      <c r="AO1068" s="1">
        <v>27372264</v>
      </c>
      <c r="AP1068" s="1">
        <v>14890683</v>
      </c>
      <c r="AQ1068" s="1">
        <v>12481581</v>
      </c>
      <c r="AR1068" s="1">
        <v>5474453</v>
      </c>
      <c r="AS1068" s="1">
        <v>821168</v>
      </c>
      <c r="AT1068" s="1">
        <f t="shared" si="111"/>
        <v>33667885</v>
      </c>
    </row>
    <row r="1069" spans="1:46" x14ac:dyDescent="0.2">
      <c r="A1069" s="1" t="str">
        <f>"01359"</f>
        <v>01359</v>
      </c>
      <c r="B1069" s="1" t="str">
        <f>"مسعود"</f>
        <v>مسعود</v>
      </c>
      <c r="C1069" s="1" t="str">
        <f>"محسني بناري"</f>
        <v>محسني بناري</v>
      </c>
      <c r="D1069" s="1" t="str">
        <f t="shared" si="113"/>
        <v>قراردادي بهره بردار</v>
      </c>
      <c r="E1069" s="1" t="str">
        <f t="shared" si="115"/>
        <v>پروژه بهره برداري نيروگاه بوشهر</v>
      </c>
      <c r="F1069" s="1">
        <v>14654828</v>
      </c>
      <c r="G1069" s="1">
        <v>9830453</v>
      </c>
      <c r="H1069" s="1">
        <v>0</v>
      </c>
      <c r="I1069" s="1">
        <v>8295829</v>
      </c>
      <c r="J1069" s="1">
        <v>0</v>
      </c>
      <c r="K1069" s="1">
        <v>3465000</v>
      </c>
      <c r="L1069" s="1">
        <v>0</v>
      </c>
      <c r="M1069" s="1">
        <v>1000000</v>
      </c>
      <c r="N1069" s="1">
        <v>3220026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3487377</v>
      </c>
      <c r="W1069" s="1">
        <v>1900000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2300016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6403060</v>
      </c>
      <c r="AM1069" s="1">
        <v>0</v>
      </c>
      <c r="AN1069" s="1">
        <v>0</v>
      </c>
      <c r="AO1069" s="1">
        <v>54556589</v>
      </c>
      <c r="AP1069" s="1">
        <v>4889426</v>
      </c>
      <c r="AQ1069" s="1">
        <v>49667163</v>
      </c>
      <c r="AR1069" s="1">
        <v>10911318</v>
      </c>
      <c r="AS1069" s="1">
        <v>1636697</v>
      </c>
      <c r="AT1069" s="1">
        <f t="shared" si="111"/>
        <v>67104604</v>
      </c>
    </row>
    <row r="1070" spans="1:46" x14ac:dyDescent="0.2">
      <c r="A1070" s="1" t="str">
        <f>"01361"</f>
        <v>01361</v>
      </c>
      <c r="B1070" s="1" t="str">
        <f>"عباس"</f>
        <v>عباس</v>
      </c>
      <c r="C1070" s="1" t="str">
        <f>"فولادي"</f>
        <v>فولادي</v>
      </c>
      <c r="D1070" s="1" t="str">
        <f t="shared" si="113"/>
        <v>قراردادي بهره بردار</v>
      </c>
      <c r="E1070" s="1" t="str">
        <f t="shared" si="115"/>
        <v>پروژه بهره برداري نيروگاه بوشهر</v>
      </c>
      <c r="F1070" s="1">
        <v>8707900</v>
      </c>
      <c r="G1070" s="1">
        <v>294530</v>
      </c>
      <c r="H1070" s="1">
        <v>0</v>
      </c>
      <c r="I1070" s="1">
        <v>4183706</v>
      </c>
      <c r="J1070" s="1">
        <v>0</v>
      </c>
      <c r="K1070" s="1">
        <v>4620000</v>
      </c>
      <c r="L1070" s="1">
        <v>0</v>
      </c>
      <c r="M1070" s="1">
        <v>1000000</v>
      </c>
      <c r="N1070" s="1">
        <v>1138599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1897235</v>
      </c>
      <c r="W1070" s="1">
        <v>1900000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813285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4128859</v>
      </c>
      <c r="AM1070" s="1">
        <v>0</v>
      </c>
      <c r="AN1070" s="1">
        <v>0</v>
      </c>
      <c r="AO1070" s="1">
        <v>28684114</v>
      </c>
      <c r="AP1070" s="1">
        <v>7370109</v>
      </c>
      <c r="AQ1070" s="1">
        <v>21314005</v>
      </c>
      <c r="AR1070" s="1">
        <v>5736823</v>
      </c>
      <c r="AS1070" s="1">
        <v>860523</v>
      </c>
      <c r="AT1070" s="1">
        <f t="shared" si="111"/>
        <v>35281460</v>
      </c>
    </row>
    <row r="1071" spans="1:46" x14ac:dyDescent="0.2">
      <c r="A1071" s="1" t="str">
        <f>"01362"</f>
        <v>01362</v>
      </c>
      <c r="B1071" s="1" t="str">
        <f>"حسين"</f>
        <v>حسين</v>
      </c>
      <c r="C1071" s="1" t="str">
        <f>"زارعي"</f>
        <v>زارعي</v>
      </c>
      <c r="D1071" s="1" t="str">
        <f t="shared" si="113"/>
        <v>قراردادي بهره بردار</v>
      </c>
      <c r="E1071" s="1" t="str">
        <f t="shared" si="115"/>
        <v>پروژه بهره برداري نيروگاه بوشهر</v>
      </c>
      <c r="F1071" s="1">
        <v>13084852</v>
      </c>
      <c r="G1071" s="1">
        <v>10944645</v>
      </c>
      <c r="H1071" s="1">
        <v>0</v>
      </c>
      <c r="I1071" s="1">
        <v>7320038</v>
      </c>
      <c r="J1071" s="1">
        <v>0</v>
      </c>
      <c r="K1071" s="1">
        <v>3465000</v>
      </c>
      <c r="L1071" s="1">
        <v>0</v>
      </c>
      <c r="M1071" s="1">
        <v>1000000</v>
      </c>
      <c r="N1071" s="1">
        <v>2670532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3076860</v>
      </c>
      <c r="W1071" s="1">
        <v>1900000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1907523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5785660</v>
      </c>
      <c r="AM1071" s="1">
        <v>0</v>
      </c>
      <c r="AN1071" s="1">
        <v>0</v>
      </c>
      <c r="AO1071" s="1">
        <v>51155110</v>
      </c>
      <c r="AP1071" s="1">
        <v>8302106</v>
      </c>
      <c r="AQ1071" s="1">
        <v>42853004</v>
      </c>
      <c r="AR1071" s="1">
        <v>10231023</v>
      </c>
      <c r="AS1071" s="1">
        <v>1534653</v>
      </c>
      <c r="AT1071" s="1">
        <f t="shared" si="111"/>
        <v>62920786</v>
      </c>
    </row>
    <row r="1072" spans="1:46" x14ac:dyDescent="0.2">
      <c r="A1072" s="1" t="str">
        <f>"01363"</f>
        <v>01363</v>
      </c>
      <c r="B1072" s="1" t="str">
        <f>"مازيار"</f>
        <v>مازيار</v>
      </c>
      <c r="C1072" s="1" t="str">
        <f>"پرواز"</f>
        <v>پرواز</v>
      </c>
      <c r="D1072" s="1" t="str">
        <f t="shared" si="113"/>
        <v>قراردادي بهره بردار</v>
      </c>
      <c r="E1072" s="1" t="str">
        <f t="shared" si="115"/>
        <v>پروژه بهره برداري نيروگاه بوشهر</v>
      </c>
      <c r="F1072" s="1">
        <v>15113407</v>
      </c>
      <c r="G1072" s="1">
        <v>1819835</v>
      </c>
      <c r="H1072" s="1">
        <v>0</v>
      </c>
      <c r="I1072" s="1">
        <v>8612924</v>
      </c>
      <c r="J1072" s="1">
        <v>0</v>
      </c>
      <c r="K1072" s="1">
        <v>4620000</v>
      </c>
      <c r="L1072" s="1">
        <v>0</v>
      </c>
      <c r="M1072" s="1">
        <v>1000000</v>
      </c>
      <c r="N1072" s="1">
        <v>3380526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3595363</v>
      </c>
      <c r="W1072" s="1">
        <v>1900000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2414660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6432125</v>
      </c>
      <c r="AM1072" s="1">
        <v>0</v>
      </c>
      <c r="AN1072" s="1">
        <v>0</v>
      </c>
      <c r="AO1072" s="1">
        <v>48888840</v>
      </c>
      <c r="AP1072" s="1">
        <v>9836514</v>
      </c>
      <c r="AQ1072" s="1">
        <v>39052326</v>
      </c>
      <c r="AR1072" s="1">
        <v>9777768</v>
      </c>
      <c r="AS1072" s="1">
        <v>1466665</v>
      </c>
      <c r="AT1072" s="1">
        <f t="shared" si="111"/>
        <v>60133273</v>
      </c>
    </row>
    <row r="1073" spans="1:46" x14ac:dyDescent="0.2">
      <c r="A1073" s="1" t="str">
        <f>"01364"</f>
        <v>01364</v>
      </c>
      <c r="B1073" s="1" t="str">
        <f>"ميثم"</f>
        <v>ميثم</v>
      </c>
      <c r="C1073" s="1" t="str">
        <f>"باغباني"</f>
        <v>باغباني</v>
      </c>
      <c r="D1073" s="1" t="str">
        <f t="shared" si="113"/>
        <v>قراردادي بهره بردار</v>
      </c>
      <c r="E1073" s="1" t="str">
        <f t="shared" si="115"/>
        <v>پروژه بهره برداري نيروگاه بوشهر</v>
      </c>
      <c r="F1073" s="1">
        <v>15733371</v>
      </c>
      <c r="G1073" s="1">
        <v>13703191</v>
      </c>
      <c r="H1073" s="1">
        <v>0</v>
      </c>
      <c r="I1073" s="1">
        <v>9051803</v>
      </c>
      <c r="J1073" s="1">
        <v>0</v>
      </c>
      <c r="K1073" s="1">
        <v>4620000</v>
      </c>
      <c r="L1073" s="1">
        <v>0</v>
      </c>
      <c r="M1073" s="1">
        <v>1000000</v>
      </c>
      <c r="N1073" s="1">
        <v>3597514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3756639</v>
      </c>
      <c r="W1073" s="1">
        <v>1900000</v>
      </c>
      <c r="X1073" s="1">
        <v>1954428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2569655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6614062</v>
      </c>
      <c r="AM1073" s="1">
        <v>0</v>
      </c>
      <c r="AN1073" s="1">
        <v>0</v>
      </c>
      <c r="AO1073" s="1">
        <v>64500663</v>
      </c>
      <c r="AP1073" s="1">
        <v>10853878</v>
      </c>
      <c r="AQ1073" s="1">
        <v>53646785</v>
      </c>
      <c r="AR1073" s="1">
        <v>12900134</v>
      </c>
      <c r="AS1073" s="1">
        <v>1935019</v>
      </c>
      <c r="AT1073" s="1">
        <f t="shared" si="111"/>
        <v>79335816</v>
      </c>
    </row>
    <row r="1074" spans="1:46" x14ac:dyDescent="0.2">
      <c r="A1074" s="1" t="str">
        <f>"01365"</f>
        <v>01365</v>
      </c>
      <c r="B1074" s="1" t="str">
        <f>"سيد حسين"</f>
        <v>سيد حسين</v>
      </c>
      <c r="C1074" s="1" t="str">
        <f>"حسيني"</f>
        <v>حسيني</v>
      </c>
      <c r="D1074" s="1" t="str">
        <f t="shared" si="113"/>
        <v>قراردادي بهره بردار</v>
      </c>
      <c r="E1074" s="1" t="str">
        <f t="shared" si="115"/>
        <v>پروژه بهره برداري نيروگاه بوشهر</v>
      </c>
      <c r="F1074" s="1">
        <v>15566876</v>
      </c>
      <c r="G1074" s="1">
        <v>14528453</v>
      </c>
      <c r="H1074" s="1">
        <v>0</v>
      </c>
      <c r="I1074" s="1">
        <v>8926486</v>
      </c>
      <c r="J1074" s="1">
        <v>0</v>
      </c>
      <c r="K1074" s="1">
        <v>4620000</v>
      </c>
      <c r="L1074" s="1">
        <v>0</v>
      </c>
      <c r="M1074" s="1">
        <v>1000000</v>
      </c>
      <c r="N1074" s="1">
        <v>3539242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5203948</v>
      </c>
      <c r="W1074" s="1">
        <v>1900000</v>
      </c>
      <c r="X1074" s="1">
        <v>1930260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2528028</v>
      </c>
      <c r="AF1074" s="1">
        <v>6876527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21478831</v>
      </c>
      <c r="AM1074" s="1">
        <v>0</v>
      </c>
      <c r="AN1074" s="1">
        <v>0</v>
      </c>
      <c r="AO1074" s="1">
        <v>88098651</v>
      </c>
      <c r="AP1074" s="1">
        <v>11844961</v>
      </c>
      <c r="AQ1074" s="1">
        <v>76253690</v>
      </c>
      <c r="AR1074" s="1">
        <v>16244425</v>
      </c>
      <c r="AS1074" s="1">
        <v>2436663</v>
      </c>
      <c r="AT1074" s="1">
        <f t="shared" si="111"/>
        <v>106779739</v>
      </c>
    </row>
    <row r="1075" spans="1:46" x14ac:dyDescent="0.2">
      <c r="A1075" s="1" t="str">
        <f>"01366"</f>
        <v>01366</v>
      </c>
      <c r="B1075" s="1" t="str">
        <f>"محسن"</f>
        <v>محسن</v>
      </c>
      <c r="C1075" s="1" t="str">
        <f>"حسيني"</f>
        <v>حسيني</v>
      </c>
      <c r="D1075" s="1" t="str">
        <f t="shared" si="113"/>
        <v>قراردادي بهره بردار</v>
      </c>
      <c r="E1075" s="1" t="str">
        <f t="shared" si="115"/>
        <v>پروژه بهره برداري نيروگاه بوشهر</v>
      </c>
      <c r="F1075" s="1">
        <v>16482579</v>
      </c>
      <c r="G1075" s="1">
        <v>2071120</v>
      </c>
      <c r="H1075" s="1">
        <v>0</v>
      </c>
      <c r="I1075" s="1">
        <v>9446308</v>
      </c>
      <c r="J1075" s="1">
        <v>0</v>
      </c>
      <c r="K1075" s="1">
        <v>4620000</v>
      </c>
      <c r="L1075" s="1">
        <v>0</v>
      </c>
      <c r="M1075" s="1">
        <v>1000000</v>
      </c>
      <c r="N1075" s="1">
        <v>3744727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3897823</v>
      </c>
      <c r="W1075" s="1">
        <v>1900000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2674807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6629835</v>
      </c>
      <c r="AM1075" s="1">
        <v>0</v>
      </c>
      <c r="AN1075" s="1">
        <v>0</v>
      </c>
      <c r="AO1075" s="1">
        <v>52467199</v>
      </c>
      <c r="AP1075" s="1">
        <v>7173924</v>
      </c>
      <c r="AQ1075" s="1">
        <v>45293275</v>
      </c>
      <c r="AR1075" s="1">
        <v>10493441</v>
      </c>
      <c r="AS1075" s="1">
        <v>1574015</v>
      </c>
      <c r="AT1075" s="1">
        <f t="shared" si="111"/>
        <v>64534655</v>
      </c>
    </row>
    <row r="1076" spans="1:46" x14ac:dyDescent="0.2">
      <c r="A1076" s="1" t="str">
        <f>"01367"</f>
        <v>01367</v>
      </c>
      <c r="B1076" s="1" t="str">
        <f>"محمد مهدي"</f>
        <v>محمد مهدي</v>
      </c>
      <c r="C1076" s="1" t="str">
        <f>"ملک نصب اردکاني"</f>
        <v>ملک نصب اردکاني</v>
      </c>
      <c r="D1076" s="1" t="str">
        <f t="shared" si="113"/>
        <v>قراردادي بهره بردار</v>
      </c>
      <c r="E1076" s="1" t="str">
        <f t="shared" si="115"/>
        <v>پروژه بهره برداري نيروگاه بوشهر</v>
      </c>
      <c r="F1076" s="1">
        <v>14663591</v>
      </c>
      <c r="G1076" s="1">
        <v>1093462</v>
      </c>
      <c r="H1076" s="1">
        <v>0</v>
      </c>
      <c r="I1076" s="1">
        <v>8301888</v>
      </c>
      <c r="J1076" s="1">
        <v>0</v>
      </c>
      <c r="K1076" s="1">
        <v>3465000</v>
      </c>
      <c r="L1076" s="1">
        <v>0</v>
      </c>
      <c r="M1076" s="1">
        <v>1000000</v>
      </c>
      <c r="N1076" s="1">
        <v>3223093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3489472</v>
      </c>
      <c r="W1076" s="1">
        <v>1900000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2302207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6403941</v>
      </c>
      <c r="AM1076" s="1">
        <v>0</v>
      </c>
      <c r="AN1076" s="1">
        <v>0</v>
      </c>
      <c r="AO1076" s="1">
        <v>45842654</v>
      </c>
      <c r="AP1076" s="1">
        <v>4233551</v>
      </c>
      <c r="AQ1076" s="1">
        <v>41609103</v>
      </c>
      <c r="AR1076" s="1">
        <v>9168529</v>
      </c>
      <c r="AS1076" s="1">
        <v>1375281</v>
      </c>
      <c r="AT1076" s="1">
        <f t="shared" si="111"/>
        <v>56386464</v>
      </c>
    </row>
    <row r="1077" spans="1:46" x14ac:dyDescent="0.2">
      <c r="A1077" s="1" t="str">
        <f>"01368"</f>
        <v>01368</v>
      </c>
      <c r="B1077" s="1" t="str">
        <f>"سامان"</f>
        <v>سامان</v>
      </c>
      <c r="C1077" s="1" t="str">
        <f>"حيدري"</f>
        <v>حيدري</v>
      </c>
      <c r="D1077" s="1" t="str">
        <f t="shared" si="113"/>
        <v>قراردادي بهره بردار</v>
      </c>
      <c r="E1077" s="1" t="str">
        <f t="shared" si="115"/>
        <v>پروژه بهره برداري نيروگاه بوشهر</v>
      </c>
      <c r="F1077" s="1">
        <v>14659214</v>
      </c>
      <c r="G1077" s="1">
        <v>686916</v>
      </c>
      <c r="H1077" s="1">
        <v>0</v>
      </c>
      <c r="I1077" s="1">
        <v>8298858</v>
      </c>
      <c r="J1077" s="1">
        <v>0</v>
      </c>
      <c r="K1077" s="1">
        <v>4620000</v>
      </c>
      <c r="L1077" s="1">
        <v>0</v>
      </c>
      <c r="M1077" s="1">
        <v>1000000</v>
      </c>
      <c r="N1077" s="1">
        <v>3221559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3488538</v>
      </c>
      <c r="W1077" s="1">
        <v>1900000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2301115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6404598</v>
      </c>
      <c r="AM1077" s="1">
        <v>0</v>
      </c>
      <c r="AN1077" s="1">
        <v>0</v>
      </c>
      <c r="AO1077" s="1">
        <v>46580798</v>
      </c>
      <c r="AP1077" s="1">
        <v>17221961</v>
      </c>
      <c r="AQ1077" s="1">
        <v>29358837</v>
      </c>
      <c r="AR1077" s="1">
        <v>9316160</v>
      </c>
      <c r="AS1077" s="1">
        <v>1397423</v>
      </c>
      <c r="AT1077" s="1">
        <f t="shared" si="111"/>
        <v>57294381</v>
      </c>
    </row>
    <row r="1078" spans="1:46" x14ac:dyDescent="0.2">
      <c r="A1078" s="1" t="str">
        <f>"01370"</f>
        <v>01370</v>
      </c>
      <c r="B1078" s="1" t="str">
        <f>"علي"</f>
        <v>علي</v>
      </c>
      <c r="C1078" s="1" t="str">
        <f>"عباس زاده"</f>
        <v>عباس زاده</v>
      </c>
      <c r="D1078" s="1" t="str">
        <f t="shared" si="113"/>
        <v>قراردادي بهره بردار</v>
      </c>
      <c r="E1078" s="1" t="str">
        <f t="shared" si="115"/>
        <v>پروژه بهره برداري نيروگاه بوشهر</v>
      </c>
      <c r="F1078" s="1">
        <v>15860426</v>
      </c>
      <c r="G1078" s="1">
        <v>5302160</v>
      </c>
      <c r="H1078" s="1">
        <v>0</v>
      </c>
      <c r="I1078" s="1">
        <v>10492237</v>
      </c>
      <c r="J1078" s="1">
        <v>0</v>
      </c>
      <c r="K1078" s="1">
        <v>3465000</v>
      </c>
      <c r="L1078" s="1">
        <v>0</v>
      </c>
      <c r="M1078" s="1">
        <v>1000000</v>
      </c>
      <c r="N1078" s="1">
        <v>2563189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3687205</v>
      </c>
      <c r="W1078" s="1">
        <v>1900000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1830850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6125312</v>
      </c>
      <c r="AM1078" s="1">
        <v>0</v>
      </c>
      <c r="AN1078" s="1">
        <v>0</v>
      </c>
      <c r="AO1078" s="1">
        <v>52226379</v>
      </c>
      <c r="AP1078" s="1">
        <v>10864856</v>
      </c>
      <c r="AQ1078" s="1">
        <v>41361523</v>
      </c>
      <c r="AR1078" s="1">
        <v>10445276</v>
      </c>
      <c r="AS1078" s="1">
        <v>1566790</v>
      </c>
      <c r="AT1078" s="1">
        <f t="shared" si="111"/>
        <v>64238445</v>
      </c>
    </row>
    <row r="1079" spans="1:46" x14ac:dyDescent="0.2">
      <c r="A1079" s="1" t="str">
        <f>"01371"</f>
        <v>01371</v>
      </c>
      <c r="B1079" s="1" t="str">
        <f>"محمد"</f>
        <v>محمد</v>
      </c>
      <c r="C1079" s="1" t="str">
        <f>"روشني روز"</f>
        <v>روشني روز</v>
      </c>
      <c r="D1079" s="1" t="str">
        <f t="shared" si="113"/>
        <v>قراردادي بهره بردار</v>
      </c>
      <c r="E1079" s="1" t="str">
        <f t="shared" si="115"/>
        <v>پروژه بهره برداري نيروگاه بوشهر</v>
      </c>
      <c r="F1079" s="1">
        <v>15039948</v>
      </c>
      <c r="G1079" s="1">
        <v>3934205</v>
      </c>
      <c r="H1079" s="1">
        <v>0</v>
      </c>
      <c r="I1079" s="1">
        <v>8543048</v>
      </c>
      <c r="J1079" s="1">
        <v>0</v>
      </c>
      <c r="K1079" s="1">
        <v>4620000</v>
      </c>
      <c r="L1079" s="1">
        <v>0</v>
      </c>
      <c r="M1079" s="1">
        <v>1000000</v>
      </c>
      <c r="N1079" s="1">
        <v>3354814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4420894</v>
      </c>
      <c r="W1079" s="1">
        <v>1900000</v>
      </c>
      <c r="X1079" s="1">
        <v>1768791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2396296</v>
      </c>
      <c r="AF1079" s="1">
        <v>1516881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14874874</v>
      </c>
      <c r="AM1079" s="1">
        <v>0</v>
      </c>
      <c r="AN1079" s="1">
        <v>0</v>
      </c>
      <c r="AO1079" s="1">
        <v>63369751</v>
      </c>
      <c r="AP1079" s="1">
        <v>18419019</v>
      </c>
      <c r="AQ1079" s="1">
        <v>44950732</v>
      </c>
      <c r="AR1079" s="1">
        <v>12370575</v>
      </c>
      <c r="AS1079" s="1">
        <v>1855586</v>
      </c>
      <c r="AT1079" s="1">
        <f t="shared" si="111"/>
        <v>77595912</v>
      </c>
    </row>
    <row r="1080" spans="1:46" x14ac:dyDescent="0.2">
      <c r="A1080" s="1" t="str">
        <f>"01372"</f>
        <v>01372</v>
      </c>
      <c r="B1080" s="1" t="str">
        <f>"رضا"</f>
        <v>رضا</v>
      </c>
      <c r="C1080" s="1" t="str">
        <f>"محمدي"</f>
        <v>محمدي</v>
      </c>
      <c r="D1080" s="1" t="str">
        <f t="shared" si="113"/>
        <v>قراردادي بهره بردار</v>
      </c>
      <c r="E1080" s="1" t="str">
        <f t="shared" si="115"/>
        <v>پروژه بهره برداري نيروگاه بوشهر</v>
      </c>
      <c r="F1080" s="1">
        <v>15406957</v>
      </c>
      <c r="G1080" s="1">
        <v>14206554</v>
      </c>
      <c r="H1080" s="1">
        <v>0</v>
      </c>
      <c r="I1080" s="1">
        <v>8863517</v>
      </c>
      <c r="J1080" s="1">
        <v>0</v>
      </c>
      <c r="K1080" s="1">
        <v>3465000</v>
      </c>
      <c r="L1080" s="1">
        <v>0</v>
      </c>
      <c r="M1080" s="1">
        <v>1000000</v>
      </c>
      <c r="N1080" s="1">
        <v>3483267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4774243</v>
      </c>
      <c r="W1080" s="1">
        <v>1900000</v>
      </c>
      <c r="X1080" s="1">
        <v>1671726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2488048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17500688</v>
      </c>
      <c r="AM1080" s="1">
        <v>0</v>
      </c>
      <c r="AN1080" s="1">
        <v>0</v>
      </c>
      <c r="AO1080" s="1">
        <v>74760000</v>
      </c>
      <c r="AP1080" s="1">
        <v>9690151</v>
      </c>
      <c r="AQ1080" s="1">
        <v>65069849</v>
      </c>
      <c r="AR1080" s="1">
        <v>14952000</v>
      </c>
      <c r="AS1080" s="1">
        <v>2242801</v>
      </c>
      <c r="AT1080" s="1">
        <f t="shared" si="111"/>
        <v>91954801</v>
      </c>
    </row>
    <row r="1081" spans="1:46" x14ac:dyDescent="0.2">
      <c r="A1081" s="1" t="str">
        <f>"01373"</f>
        <v>01373</v>
      </c>
      <c r="B1081" s="1" t="str">
        <f>"محسن"</f>
        <v>محسن</v>
      </c>
      <c r="C1081" s="1" t="str">
        <f>"موحدنيا"</f>
        <v>موحدنيا</v>
      </c>
      <c r="D1081" s="1" t="str">
        <f t="shared" si="113"/>
        <v>قراردادي بهره بردار</v>
      </c>
      <c r="E1081" s="1" t="str">
        <f t="shared" si="115"/>
        <v>پروژه بهره برداري نيروگاه بوشهر</v>
      </c>
      <c r="F1081" s="1">
        <v>20655793</v>
      </c>
      <c r="G1081" s="1">
        <v>7164212</v>
      </c>
      <c r="H1081" s="1">
        <v>0</v>
      </c>
      <c r="I1081" s="1">
        <v>11375013</v>
      </c>
      <c r="J1081" s="1">
        <v>0</v>
      </c>
      <c r="K1081" s="1">
        <v>4125000</v>
      </c>
      <c r="L1081" s="1">
        <v>0</v>
      </c>
      <c r="M1081" s="1">
        <v>1000000</v>
      </c>
      <c r="N1081" s="1">
        <v>4227766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4495929</v>
      </c>
      <c r="W1081" s="1">
        <v>1900000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3019831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5680837</v>
      </c>
      <c r="AM1081" s="1">
        <v>0</v>
      </c>
      <c r="AN1081" s="1">
        <v>0</v>
      </c>
      <c r="AO1081" s="1">
        <v>63644381</v>
      </c>
      <c r="AP1081" s="1">
        <v>25816128</v>
      </c>
      <c r="AQ1081" s="1">
        <v>37828253</v>
      </c>
      <c r="AR1081" s="1">
        <v>12728877</v>
      </c>
      <c r="AS1081" s="1">
        <v>1909332</v>
      </c>
      <c r="AT1081" s="1">
        <f t="shared" si="111"/>
        <v>78282590</v>
      </c>
    </row>
    <row r="1082" spans="1:46" x14ac:dyDescent="0.2">
      <c r="A1082" s="1" t="str">
        <f>"01374"</f>
        <v>01374</v>
      </c>
      <c r="B1082" s="1" t="str">
        <f>"علي"</f>
        <v>علي</v>
      </c>
      <c r="C1082" s="1" t="str">
        <f>"اسماعيلي نسب"</f>
        <v>اسماعيلي نسب</v>
      </c>
      <c r="D1082" s="1" t="str">
        <f t="shared" si="113"/>
        <v>قراردادي بهره بردار</v>
      </c>
      <c r="E1082" s="1" t="str">
        <f t="shared" si="115"/>
        <v>پروژه بهره برداري نيروگاه بوشهر</v>
      </c>
      <c r="F1082" s="1">
        <v>20263668</v>
      </c>
      <c r="G1082" s="1">
        <v>6423899</v>
      </c>
      <c r="H1082" s="1">
        <v>0</v>
      </c>
      <c r="I1082" s="1">
        <v>10915356</v>
      </c>
      <c r="J1082" s="1">
        <v>0</v>
      </c>
      <c r="K1082" s="1">
        <v>5500000</v>
      </c>
      <c r="L1082" s="1">
        <v>0</v>
      </c>
      <c r="M1082" s="1">
        <v>1000000</v>
      </c>
      <c r="N1082" s="1">
        <v>4090521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4374795</v>
      </c>
      <c r="W1082" s="1">
        <v>1900000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2921803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5556626</v>
      </c>
      <c r="AM1082" s="1">
        <v>0</v>
      </c>
      <c r="AN1082" s="1">
        <v>0</v>
      </c>
      <c r="AO1082" s="1">
        <v>62946668</v>
      </c>
      <c r="AP1082" s="1">
        <v>18726738</v>
      </c>
      <c r="AQ1082" s="1">
        <v>44219930</v>
      </c>
      <c r="AR1082" s="1">
        <v>12589333</v>
      </c>
      <c r="AS1082" s="1">
        <v>1888398</v>
      </c>
      <c r="AT1082" s="1">
        <f t="shared" si="111"/>
        <v>77424399</v>
      </c>
    </row>
    <row r="1083" spans="1:46" x14ac:dyDescent="0.2">
      <c r="A1083" s="1" t="str">
        <f>"01375"</f>
        <v>01375</v>
      </c>
      <c r="B1083" s="1" t="str">
        <f>"نصراله"</f>
        <v>نصراله</v>
      </c>
      <c r="C1083" s="1" t="str">
        <f>"کرم پور"</f>
        <v>کرم پور</v>
      </c>
      <c r="D1083" s="1" t="str">
        <f t="shared" si="113"/>
        <v>قراردادي بهره بردار</v>
      </c>
      <c r="E1083" s="1" t="str">
        <f t="shared" si="115"/>
        <v>پروژه بهره برداري نيروگاه بوشهر</v>
      </c>
      <c r="F1083" s="1">
        <v>19332634</v>
      </c>
      <c r="G1083" s="1">
        <v>732265</v>
      </c>
      <c r="H1083" s="1">
        <v>0</v>
      </c>
      <c r="I1083" s="1">
        <v>10288079</v>
      </c>
      <c r="J1083" s="1">
        <v>0</v>
      </c>
      <c r="K1083" s="1">
        <v>4125000</v>
      </c>
      <c r="L1083" s="1">
        <v>0</v>
      </c>
      <c r="M1083" s="1">
        <v>1000000</v>
      </c>
      <c r="N1083" s="1">
        <v>3764660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4154672</v>
      </c>
      <c r="W1083" s="1">
        <v>1900000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2689044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5472285</v>
      </c>
      <c r="AM1083" s="1">
        <v>0</v>
      </c>
      <c r="AN1083" s="1">
        <v>0</v>
      </c>
      <c r="AO1083" s="1">
        <v>53458639</v>
      </c>
      <c r="AP1083" s="1">
        <v>17104592</v>
      </c>
      <c r="AQ1083" s="1">
        <v>36354047</v>
      </c>
      <c r="AR1083" s="1">
        <v>10691728</v>
      </c>
      <c r="AS1083" s="1">
        <v>1603760</v>
      </c>
      <c r="AT1083" s="1">
        <f t="shared" si="111"/>
        <v>65754127</v>
      </c>
    </row>
    <row r="1084" spans="1:46" x14ac:dyDescent="0.2">
      <c r="A1084" s="1" t="str">
        <f>"01376"</f>
        <v>01376</v>
      </c>
      <c r="B1084" s="1" t="str">
        <f>"مهدي"</f>
        <v>مهدي</v>
      </c>
      <c r="C1084" s="1" t="str">
        <f>"افشين"</f>
        <v>افشين</v>
      </c>
      <c r="D1084" s="1" t="str">
        <f t="shared" si="113"/>
        <v>قراردادي بهره بردار</v>
      </c>
      <c r="E1084" s="1" t="str">
        <f t="shared" si="115"/>
        <v>پروژه بهره برداري نيروگاه بوشهر</v>
      </c>
      <c r="F1084" s="1">
        <v>20881435</v>
      </c>
      <c r="G1084" s="1">
        <v>237042</v>
      </c>
      <c r="H1084" s="1">
        <v>0</v>
      </c>
      <c r="I1084" s="1">
        <v>11462583</v>
      </c>
      <c r="J1084" s="1">
        <v>0</v>
      </c>
      <c r="K1084" s="1">
        <v>4125000</v>
      </c>
      <c r="L1084" s="1">
        <v>0</v>
      </c>
      <c r="M1084" s="1">
        <v>1000000</v>
      </c>
      <c r="N1084" s="1">
        <v>4306741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4570554</v>
      </c>
      <c r="W1084" s="1">
        <v>1900000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3076244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5978548</v>
      </c>
      <c r="AM1084" s="1">
        <v>0</v>
      </c>
      <c r="AN1084" s="1">
        <v>0</v>
      </c>
      <c r="AO1084" s="1">
        <v>57538147</v>
      </c>
      <c r="AP1084" s="1">
        <v>12834188</v>
      </c>
      <c r="AQ1084" s="1">
        <v>44703959</v>
      </c>
      <c r="AR1084" s="1">
        <v>11507628</v>
      </c>
      <c r="AS1084" s="1">
        <v>1726143</v>
      </c>
      <c r="AT1084" s="1">
        <f t="shared" si="111"/>
        <v>70771918</v>
      </c>
    </row>
    <row r="1085" spans="1:46" x14ac:dyDescent="0.2">
      <c r="A1085" s="1" t="str">
        <f>"01377"</f>
        <v>01377</v>
      </c>
      <c r="B1085" s="1" t="str">
        <f>"عليرضا"</f>
        <v>عليرضا</v>
      </c>
      <c r="C1085" s="1" t="str">
        <f>"گچ کاران"</f>
        <v>گچ کاران</v>
      </c>
      <c r="D1085" s="1" t="str">
        <f t="shared" si="113"/>
        <v>قراردادي بهره بردار</v>
      </c>
      <c r="E1085" s="1" t="str">
        <f t="shared" si="115"/>
        <v>پروژه بهره برداري نيروگاه بوشهر</v>
      </c>
      <c r="F1085" s="1">
        <v>14597871</v>
      </c>
      <c r="G1085" s="1">
        <v>9801646</v>
      </c>
      <c r="H1085" s="1">
        <v>0</v>
      </c>
      <c r="I1085" s="1">
        <v>8247132</v>
      </c>
      <c r="J1085" s="1">
        <v>0</v>
      </c>
      <c r="K1085" s="1">
        <v>3465000</v>
      </c>
      <c r="L1085" s="1">
        <v>0</v>
      </c>
      <c r="M1085" s="1">
        <v>1000000</v>
      </c>
      <c r="N1085" s="1">
        <v>3200091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3472501</v>
      </c>
      <c r="W1085" s="1">
        <v>1900000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2285777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6394083</v>
      </c>
      <c r="AM1085" s="1">
        <v>0</v>
      </c>
      <c r="AN1085" s="1">
        <v>0</v>
      </c>
      <c r="AO1085" s="1">
        <v>54364101</v>
      </c>
      <c r="AP1085" s="1">
        <v>11138411</v>
      </c>
      <c r="AQ1085" s="1">
        <v>43225690</v>
      </c>
      <c r="AR1085" s="1">
        <v>10872820</v>
      </c>
      <c r="AS1085" s="1">
        <v>1630923</v>
      </c>
      <c r="AT1085" s="1">
        <f t="shared" si="111"/>
        <v>66867844</v>
      </c>
    </row>
    <row r="1086" spans="1:46" x14ac:dyDescent="0.2">
      <c r="A1086" s="1" t="str">
        <f>"01379"</f>
        <v>01379</v>
      </c>
      <c r="B1086" s="1" t="str">
        <f>"احمد"</f>
        <v>احمد</v>
      </c>
      <c r="C1086" s="1" t="str">
        <f>"ناطوري"</f>
        <v>ناطوري</v>
      </c>
      <c r="D1086" s="1" t="str">
        <f t="shared" si="113"/>
        <v>قراردادي بهره بردار</v>
      </c>
      <c r="E1086" s="1" t="str">
        <f t="shared" si="115"/>
        <v>پروژه بهره برداري نيروگاه بوشهر</v>
      </c>
      <c r="F1086" s="1">
        <v>19431215</v>
      </c>
      <c r="G1086" s="1">
        <v>6537838</v>
      </c>
      <c r="H1086" s="1">
        <v>0</v>
      </c>
      <c r="I1086" s="1">
        <v>10354495</v>
      </c>
      <c r="J1086" s="1">
        <v>0</v>
      </c>
      <c r="K1086" s="1">
        <v>4125000</v>
      </c>
      <c r="L1086" s="1">
        <v>0</v>
      </c>
      <c r="M1086" s="1">
        <v>1000000</v>
      </c>
      <c r="N1086" s="1">
        <v>3799162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4191651</v>
      </c>
      <c r="W1086" s="1">
        <v>1900000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2713690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5617965</v>
      </c>
      <c r="AM1086" s="1">
        <v>0</v>
      </c>
      <c r="AN1086" s="1">
        <v>0</v>
      </c>
      <c r="AO1086" s="1">
        <v>59671016</v>
      </c>
      <c r="AP1086" s="1">
        <v>18217210</v>
      </c>
      <c r="AQ1086" s="1">
        <v>41453806</v>
      </c>
      <c r="AR1086" s="1">
        <v>11934204</v>
      </c>
      <c r="AS1086" s="1">
        <v>1790129</v>
      </c>
      <c r="AT1086" s="1">
        <f t="shared" si="111"/>
        <v>73395349</v>
      </c>
    </row>
    <row r="1087" spans="1:46" x14ac:dyDescent="0.2">
      <c r="A1087" s="1" t="str">
        <f>"01380"</f>
        <v>01380</v>
      </c>
      <c r="B1087" s="1" t="str">
        <f>"ابوطالب"</f>
        <v>ابوطالب</v>
      </c>
      <c r="C1087" s="1" t="str">
        <f>"نوروزي"</f>
        <v>نوروزي</v>
      </c>
      <c r="D1087" s="1" t="str">
        <f t="shared" si="113"/>
        <v>قراردادي بهره بردار</v>
      </c>
      <c r="E1087" s="1" t="str">
        <f t="shared" si="115"/>
        <v>پروژه بهره برداري نيروگاه بوشهر</v>
      </c>
      <c r="F1087" s="1">
        <v>19472833</v>
      </c>
      <c r="G1087" s="1">
        <v>6766531</v>
      </c>
      <c r="H1087" s="1">
        <v>0</v>
      </c>
      <c r="I1087" s="1">
        <v>10382534</v>
      </c>
      <c r="J1087" s="1">
        <v>0</v>
      </c>
      <c r="K1087" s="1">
        <v>5500000</v>
      </c>
      <c r="L1087" s="1">
        <v>0</v>
      </c>
      <c r="M1087" s="1">
        <v>1000000</v>
      </c>
      <c r="N1087" s="1">
        <v>3813730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4200830</v>
      </c>
      <c r="W1087" s="1">
        <v>1900000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2724091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5615117</v>
      </c>
      <c r="AM1087" s="1">
        <v>0</v>
      </c>
      <c r="AN1087" s="1">
        <v>0</v>
      </c>
      <c r="AO1087" s="1">
        <v>61375666</v>
      </c>
      <c r="AP1087" s="1">
        <v>21289666</v>
      </c>
      <c r="AQ1087" s="1">
        <v>40086000</v>
      </c>
      <c r="AR1087" s="1">
        <v>12275132</v>
      </c>
      <c r="AS1087" s="1">
        <v>1841272</v>
      </c>
      <c r="AT1087" s="1">
        <f t="shared" si="111"/>
        <v>75492070</v>
      </c>
    </row>
    <row r="1088" spans="1:46" x14ac:dyDescent="0.2">
      <c r="A1088" s="1" t="str">
        <f>"01381"</f>
        <v>01381</v>
      </c>
      <c r="B1088" s="1" t="str">
        <f>"احسان"</f>
        <v>احسان</v>
      </c>
      <c r="C1088" s="1" t="str">
        <f>"شاهي غفاربي"</f>
        <v>شاهي غفاربي</v>
      </c>
      <c r="D1088" s="1" t="str">
        <f t="shared" si="113"/>
        <v>قراردادي بهره بردار</v>
      </c>
      <c r="E1088" s="1" t="str">
        <f t="shared" si="115"/>
        <v>پروژه بهره برداري نيروگاه بوشهر</v>
      </c>
      <c r="F1088" s="1">
        <v>19332634</v>
      </c>
      <c r="G1088" s="1">
        <v>1252218</v>
      </c>
      <c r="H1088" s="1">
        <v>0</v>
      </c>
      <c r="I1088" s="1">
        <v>10288079</v>
      </c>
      <c r="J1088" s="1">
        <v>0</v>
      </c>
      <c r="K1088" s="1">
        <v>4125000</v>
      </c>
      <c r="L1088" s="1">
        <v>0</v>
      </c>
      <c r="M1088" s="1">
        <v>1000000</v>
      </c>
      <c r="N1088" s="1">
        <v>3764660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4154672</v>
      </c>
      <c r="W1088" s="1">
        <v>1900000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2689044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5472285</v>
      </c>
      <c r="AM1088" s="1">
        <v>0</v>
      </c>
      <c r="AN1088" s="1">
        <v>0</v>
      </c>
      <c r="AO1088" s="1">
        <v>53978592</v>
      </c>
      <c r="AP1088" s="1">
        <v>14260220</v>
      </c>
      <c r="AQ1088" s="1">
        <v>39718372</v>
      </c>
      <c r="AR1088" s="1">
        <v>10795719</v>
      </c>
      <c r="AS1088" s="1">
        <v>1619358</v>
      </c>
      <c r="AT1088" s="1">
        <f t="shared" si="111"/>
        <v>66393669</v>
      </c>
    </row>
    <row r="1089" spans="1:46" x14ac:dyDescent="0.2">
      <c r="A1089" s="1" t="str">
        <f>"01382"</f>
        <v>01382</v>
      </c>
      <c r="B1089" s="1" t="str">
        <f>"امين"</f>
        <v>امين</v>
      </c>
      <c r="C1089" s="1" t="str">
        <f>"پرهيزکار"</f>
        <v>پرهيزکار</v>
      </c>
      <c r="D1089" s="1" t="str">
        <f t="shared" si="113"/>
        <v>قراردادي بهره بردار</v>
      </c>
      <c r="E1089" s="1" t="str">
        <f t="shared" si="115"/>
        <v>پروژه بهره برداري نيروگاه بوشهر</v>
      </c>
      <c r="F1089" s="1">
        <v>20526548</v>
      </c>
      <c r="G1089" s="1">
        <v>7120393</v>
      </c>
      <c r="H1089" s="1">
        <v>0</v>
      </c>
      <c r="I1089" s="1">
        <v>11261384</v>
      </c>
      <c r="J1089" s="1">
        <v>0</v>
      </c>
      <c r="K1089" s="1">
        <v>5500000</v>
      </c>
      <c r="L1089" s="1">
        <v>0</v>
      </c>
      <c r="M1089" s="1">
        <v>1000000</v>
      </c>
      <c r="N1089" s="1">
        <v>4182529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4447957</v>
      </c>
      <c r="W1089" s="1">
        <v>1900000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2987523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5521575</v>
      </c>
      <c r="AM1089" s="1">
        <v>0</v>
      </c>
      <c r="AN1089" s="1">
        <v>0</v>
      </c>
      <c r="AO1089" s="1">
        <v>64447909</v>
      </c>
      <c r="AP1089" s="1">
        <v>19501644</v>
      </c>
      <c r="AQ1089" s="1">
        <v>44946265</v>
      </c>
      <c r="AR1089" s="1">
        <v>12889582</v>
      </c>
      <c r="AS1089" s="1">
        <v>1933437</v>
      </c>
      <c r="AT1089" s="1">
        <f t="shared" si="111"/>
        <v>79270928</v>
      </c>
    </row>
    <row r="1090" spans="1:46" x14ac:dyDescent="0.2">
      <c r="A1090" s="1" t="str">
        <f>"01383"</f>
        <v>01383</v>
      </c>
      <c r="B1090" s="1" t="str">
        <f>"صادق"</f>
        <v>صادق</v>
      </c>
      <c r="C1090" s="1" t="str">
        <f>"مختاري"</f>
        <v>مختاري</v>
      </c>
      <c r="D1090" s="1" t="str">
        <f t="shared" si="113"/>
        <v>قراردادي بهره بردار</v>
      </c>
      <c r="E1090" s="1" t="str">
        <f t="shared" si="115"/>
        <v>پروژه بهره برداري نيروگاه بوشهر</v>
      </c>
      <c r="F1090" s="1">
        <v>15870648</v>
      </c>
      <c r="G1090" s="1">
        <v>1826075</v>
      </c>
      <c r="H1090" s="1">
        <v>0</v>
      </c>
      <c r="I1090" s="1">
        <v>9126229</v>
      </c>
      <c r="J1090" s="1">
        <v>0</v>
      </c>
      <c r="K1090" s="1">
        <v>3465000</v>
      </c>
      <c r="L1090" s="1">
        <v>0</v>
      </c>
      <c r="M1090" s="1">
        <v>1000000</v>
      </c>
      <c r="N1090" s="1">
        <v>3645561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3807501</v>
      </c>
      <c r="W1090" s="1">
        <v>1900000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2603971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6828598</v>
      </c>
      <c r="AM1090" s="1">
        <v>0</v>
      </c>
      <c r="AN1090" s="1">
        <v>0</v>
      </c>
      <c r="AO1090" s="1">
        <v>50073583</v>
      </c>
      <c r="AP1090" s="1">
        <v>11868550</v>
      </c>
      <c r="AQ1090" s="1">
        <v>38205033</v>
      </c>
      <c r="AR1090" s="1">
        <v>10014716</v>
      </c>
      <c r="AS1090" s="1">
        <v>1502207</v>
      </c>
      <c r="AT1090" s="1">
        <f t="shared" si="111"/>
        <v>61590506</v>
      </c>
    </row>
    <row r="1091" spans="1:46" x14ac:dyDescent="0.2">
      <c r="A1091" s="1" t="str">
        <f>"01386"</f>
        <v>01386</v>
      </c>
      <c r="B1091" s="1" t="str">
        <f>"محمد"</f>
        <v>محمد</v>
      </c>
      <c r="C1091" s="1" t="str">
        <f>"شاهسوني"</f>
        <v>شاهسوني</v>
      </c>
      <c r="D1091" s="1" t="str">
        <f t="shared" si="113"/>
        <v>قراردادي بهره بردار</v>
      </c>
      <c r="E1091" s="1" t="str">
        <f t="shared" si="115"/>
        <v>پروژه بهره برداري نيروگاه بوشهر</v>
      </c>
      <c r="F1091" s="1">
        <v>22049057</v>
      </c>
      <c r="G1091" s="1">
        <v>7314499</v>
      </c>
      <c r="H1091" s="1">
        <v>0</v>
      </c>
      <c r="I1091" s="1">
        <v>11936973</v>
      </c>
      <c r="J1091" s="1">
        <v>0</v>
      </c>
      <c r="K1091" s="1">
        <v>0</v>
      </c>
      <c r="L1091" s="1">
        <v>0</v>
      </c>
      <c r="M1091" s="1">
        <v>1000000</v>
      </c>
      <c r="N1091" s="1">
        <v>4531397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4731405</v>
      </c>
      <c r="W1091" s="1">
        <v>1900000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3236707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5559912</v>
      </c>
      <c r="AM1091" s="1">
        <v>0</v>
      </c>
      <c r="AN1091" s="1">
        <v>0</v>
      </c>
      <c r="AO1091" s="1">
        <v>62259950</v>
      </c>
      <c r="AP1091" s="1">
        <v>17936403</v>
      </c>
      <c r="AQ1091" s="1">
        <v>44323547</v>
      </c>
      <c r="AR1091" s="1">
        <v>12451990</v>
      </c>
      <c r="AS1091" s="1">
        <v>1867798</v>
      </c>
      <c r="AT1091" s="1">
        <f t="shared" ref="AT1091:AT1142" si="116">AO1091+AR1091+AS1091</f>
        <v>76579738</v>
      </c>
    </row>
    <row r="1092" spans="1:46" x14ac:dyDescent="0.2">
      <c r="A1092" s="1" t="str">
        <f>"01387"</f>
        <v>01387</v>
      </c>
      <c r="B1092" s="1" t="str">
        <f>"علي"</f>
        <v>علي</v>
      </c>
      <c r="C1092" s="1" t="str">
        <f>"صفي ياري خفري"</f>
        <v>صفي ياري خفري</v>
      </c>
      <c r="D1092" s="1" t="str">
        <f t="shared" si="113"/>
        <v>قراردادي بهره بردار</v>
      </c>
      <c r="E1092" s="1" t="str">
        <f t="shared" si="115"/>
        <v>پروژه بهره برداري نيروگاه بوشهر</v>
      </c>
      <c r="F1092" s="1">
        <v>12962175</v>
      </c>
      <c r="G1092" s="1">
        <v>775308</v>
      </c>
      <c r="H1092" s="1">
        <v>0</v>
      </c>
      <c r="I1092" s="1">
        <v>5989281</v>
      </c>
      <c r="J1092" s="1">
        <v>0</v>
      </c>
      <c r="K1092" s="1">
        <v>4125000</v>
      </c>
      <c r="L1092" s="1">
        <v>0</v>
      </c>
      <c r="M1092" s="1">
        <v>1000000</v>
      </c>
      <c r="N1092" s="1">
        <v>1535000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2497097</v>
      </c>
      <c r="W1092" s="1">
        <v>1900000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1096429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3388085</v>
      </c>
      <c r="AM1092" s="1">
        <v>0</v>
      </c>
      <c r="AN1092" s="1">
        <v>0</v>
      </c>
      <c r="AO1092" s="1">
        <v>35268375</v>
      </c>
      <c r="AP1092" s="1">
        <v>21751118</v>
      </c>
      <c r="AQ1092" s="1">
        <v>13517257</v>
      </c>
      <c r="AR1092" s="1">
        <v>7053675</v>
      </c>
      <c r="AS1092" s="1">
        <v>1058051</v>
      </c>
      <c r="AT1092" s="1">
        <f t="shared" si="116"/>
        <v>43380101</v>
      </c>
    </row>
    <row r="1093" spans="1:46" x14ac:dyDescent="0.2">
      <c r="A1093" s="1" t="str">
        <f>"01388"</f>
        <v>01388</v>
      </c>
      <c r="B1093" s="1" t="str">
        <f>"پوريا"</f>
        <v>پوريا</v>
      </c>
      <c r="C1093" s="1" t="str">
        <f>"ميرسنجري"</f>
        <v>ميرسنجري</v>
      </c>
      <c r="D1093" s="1" t="str">
        <f>"قراردادي کارگري"</f>
        <v>قراردادي کارگري</v>
      </c>
      <c r="E1093" s="1" t="str">
        <f>"پروژه تعميرات نيروگاه بوشهر"</f>
        <v>پروژه تعميرات نيروگاه بوشهر</v>
      </c>
      <c r="F1093" s="1">
        <v>5852154</v>
      </c>
      <c r="G1093" s="1">
        <v>0</v>
      </c>
      <c r="H1093" s="1">
        <v>0</v>
      </c>
      <c r="I1093" s="1">
        <v>3511293</v>
      </c>
      <c r="J1093" s="1">
        <v>0</v>
      </c>
      <c r="K1093" s="1">
        <v>0</v>
      </c>
      <c r="L1093" s="1">
        <v>7462913</v>
      </c>
      <c r="M1093" s="1">
        <v>1000000</v>
      </c>
      <c r="N1093" s="1">
        <v>3121148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2294417</v>
      </c>
      <c r="W1093" s="1">
        <v>1900000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0</v>
      </c>
      <c r="AO1093" s="1">
        <v>25141925</v>
      </c>
      <c r="AP1093" s="1">
        <v>4270601</v>
      </c>
      <c r="AQ1093" s="1">
        <v>20871324</v>
      </c>
      <c r="AR1093" s="1">
        <v>5028385</v>
      </c>
      <c r="AS1093" s="1">
        <v>754258</v>
      </c>
      <c r="AT1093" s="1">
        <f t="shared" si="116"/>
        <v>30924568</v>
      </c>
    </row>
    <row r="1094" spans="1:46" x14ac:dyDescent="0.2">
      <c r="A1094" s="1" t="str">
        <f>"01389"</f>
        <v>01389</v>
      </c>
      <c r="B1094" s="1" t="str">
        <f>"عيسي"</f>
        <v>عيسي</v>
      </c>
      <c r="C1094" s="1" t="str">
        <f>"زنده بودي"</f>
        <v>زنده بودي</v>
      </c>
      <c r="D1094" s="1" t="str">
        <f>"قراردادي کارگري"</f>
        <v>قراردادي کارگري</v>
      </c>
      <c r="E1094" s="1" t="str">
        <f>"پروژه تعميرات نيروگاه بوشهر"</f>
        <v>پروژه تعميرات نيروگاه بوشهر</v>
      </c>
      <c r="F1094" s="1">
        <v>8738565</v>
      </c>
      <c r="G1094" s="1">
        <v>16742069</v>
      </c>
      <c r="H1094" s="1">
        <v>0</v>
      </c>
      <c r="I1094" s="1">
        <v>5243140</v>
      </c>
      <c r="J1094" s="1">
        <v>0</v>
      </c>
      <c r="K1094" s="1">
        <v>0</v>
      </c>
      <c r="L1094" s="1">
        <v>7462913</v>
      </c>
      <c r="M1094" s="1">
        <v>1000000</v>
      </c>
      <c r="N1094" s="1">
        <v>4660568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5529352</v>
      </c>
      <c r="W1094" s="1">
        <v>1900000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0</v>
      </c>
      <c r="AF1094" s="1">
        <v>3033762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0</v>
      </c>
      <c r="AM1094" s="1">
        <v>0</v>
      </c>
      <c r="AN1094" s="1">
        <v>0</v>
      </c>
      <c r="AO1094" s="1">
        <v>54310369</v>
      </c>
      <c r="AP1094" s="1">
        <v>9186292</v>
      </c>
      <c r="AQ1094" s="1">
        <v>45124077</v>
      </c>
      <c r="AR1094" s="1">
        <v>10255321</v>
      </c>
      <c r="AS1094" s="1">
        <v>1538298</v>
      </c>
      <c r="AT1094" s="1">
        <f t="shared" si="116"/>
        <v>66103988</v>
      </c>
    </row>
    <row r="1095" spans="1:46" x14ac:dyDescent="0.2">
      <c r="A1095" s="1" t="str">
        <f>"01390"</f>
        <v>01390</v>
      </c>
      <c r="B1095" s="1" t="str">
        <f>"محمد"</f>
        <v>محمد</v>
      </c>
      <c r="C1095" s="1" t="str">
        <f>"صبوريان"</f>
        <v>صبوريان</v>
      </c>
      <c r="D1095" s="1" t="str">
        <f>"قراردادي کارگري"</f>
        <v>قراردادي کارگري</v>
      </c>
      <c r="E1095" s="1" t="str">
        <f>"پروژه تعميرات نيروگاه بوشهر"</f>
        <v>پروژه تعميرات نيروگاه بوشهر</v>
      </c>
      <c r="F1095" s="1">
        <v>5479910</v>
      </c>
      <c r="G1095" s="1">
        <v>6483756</v>
      </c>
      <c r="H1095" s="1">
        <v>0</v>
      </c>
      <c r="I1095" s="1">
        <v>3287946</v>
      </c>
      <c r="J1095" s="1">
        <v>0</v>
      </c>
      <c r="K1095" s="1">
        <v>0</v>
      </c>
      <c r="L1095" s="1">
        <v>7462913</v>
      </c>
      <c r="M1095" s="1">
        <v>1000000</v>
      </c>
      <c r="N1095" s="1">
        <v>2922618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2215006</v>
      </c>
      <c r="W1095" s="1">
        <v>1900000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2873008</v>
      </c>
      <c r="AE1095" s="1">
        <v>0</v>
      </c>
      <c r="AF1095" s="1">
        <v>0</v>
      </c>
      <c r="AG1095" s="1">
        <v>0</v>
      </c>
      <c r="AH1095" s="1">
        <v>0</v>
      </c>
      <c r="AI1095" s="1">
        <v>0</v>
      </c>
      <c r="AJ1095" s="1">
        <v>1930048</v>
      </c>
      <c r="AK1095" s="1">
        <v>0</v>
      </c>
      <c r="AL1095" s="1">
        <v>0</v>
      </c>
      <c r="AM1095" s="1">
        <v>0</v>
      </c>
      <c r="AN1095" s="1">
        <v>0</v>
      </c>
      <c r="AO1095" s="1">
        <v>35555205</v>
      </c>
      <c r="AP1095" s="1">
        <v>5263597</v>
      </c>
      <c r="AQ1095" s="1">
        <v>30291608</v>
      </c>
      <c r="AR1095" s="1">
        <v>7111041</v>
      </c>
      <c r="AS1095" s="1">
        <v>1066656</v>
      </c>
      <c r="AT1095" s="1">
        <f t="shared" si="116"/>
        <v>43732902</v>
      </c>
    </row>
    <row r="1096" spans="1:46" x14ac:dyDescent="0.2">
      <c r="A1096" s="1" t="str">
        <f>"01391"</f>
        <v>01391</v>
      </c>
      <c r="B1096" s="1" t="str">
        <f>"اميد"</f>
        <v>اميد</v>
      </c>
      <c r="C1096" s="1" t="str">
        <f>"محمدپور"</f>
        <v>محمدپور</v>
      </c>
      <c r="D1096" s="1" t="str">
        <f>"قراردادي کارگري"</f>
        <v>قراردادي کارگري</v>
      </c>
      <c r="E1096" s="1" t="str">
        <f>"پروژه تعميرات نيروگاه بوشهر"</f>
        <v>پروژه تعميرات نيروگاه بوشهر</v>
      </c>
      <c r="F1096" s="1">
        <v>8280888</v>
      </c>
      <c r="G1096" s="1">
        <v>7095949</v>
      </c>
      <c r="H1096" s="1">
        <v>0</v>
      </c>
      <c r="I1096" s="1">
        <v>4968533</v>
      </c>
      <c r="J1096" s="1">
        <v>0</v>
      </c>
      <c r="K1096" s="1">
        <v>0</v>
      </c>
      <c r="L1096" s="1">
        <v>7462913</v>
      </c>
      <c r="M1096" s="1">
        <v>1000000</v>
      </c>
      <c r="N1096" s="1">
        <v>4416473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5343841</v>
      </c>
      <c r="W1096" s="1">
        <v>1900000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0</v>
      </c>
      <c r="AF1096" s="1">
        <v>1516881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0</v>
      </c>
      <c r="AM1096" s="1">
        <v>0</v>
      </c>
      <c r="AN1096" s="1">
        <v>0</v>
      </c>
      <c r="AO1096" s="1">
        <v>41985478</v>
      </c>
      <c r="AP1096" s="1">
        <v>7226233</v>
      </c>
      <c r="AQ1096" s="1">
        <v>34759245</v>
      </c>
      <c r="AR1096" s="1">
        <v>8093719</v>
      </c>
      <c r="AS1096" s="1">
        <v>1214058</v>
      </c>
      <c r="AT1096" s="1">
        <f t="shared" si="116"/>
        <v>51293255</v>
      </c>
    </row>
    <row r="1097" spans="1:46" x14ac:dyDescent="0.2">
      <c r="A1097" s="1" t="str">
        <f>"01392"</f>
        <v>01392</v>
      </c>
      <c r="B1097" s="1" t="str">
        <f>"سيد محمد"</f>
        <v>سيد محمد</v>
      </c>
      <c r="C1097" s="1" t="str">
        <f>"مير سليماني"</f>
        <v>مير سليماني</v>
      </c>
      <c r="D1097" s="1" t="str">
        <f t="shared" ref="D1097:D1127" si="117">"قراردادي بهره بردار"</f>
        <v>قراردادي بهره بردار</v>
      </c>
      <c r="E1097" s="1" t="str">
        <f t="shared" ref="E1097:E1127" si="118">"پروژه بهره برداري نيروگاه بوشهر"</f>
        <v>پروژه بهره برداري نيروگاه بوشهر</v>
      </c>
      <c r="F1097" s="1">
        <v>8593985</v>
      </c>
      <c r="G1097" s="1">
        <v>10338106</v>
      </c>
      <c r="H1097" s="1">
        <v>0</v>
      </c>
      <c r="I1097" s="1">
        <v>4605286</v>
      </c>
      <c r="J1097" s="1">
        <v>0</v>
      </c>
      <c r="K1097" s="1">
        <v>3465000</v>
      </c>
      <c r="L1097" s="1">
        <v>0</v>
      </c>
      <c r="M1097" s="1">
        <v>1000000</v>
      </c>
      <c r="N1097" s="1">
        <v>1098729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1606000</v>
      </c>
      <c r="U1097" s="1">
        <v>0</v>
      </c>
      <c r="V1097" s="1">
        <v>1930247</v>
      </c>
      <c r="W1097" s="1">
        <v>1900000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784806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4219662</v>
      </c>
      <c r="AM1097" s="1">
        <v>0</v>
      </c>
      <c r="AN1097" s="1">
        <v>0</v>
      </c>
      <c r="AO1097" s="1">
        <v>39541821</v>
      </c>
      <c r="AP1097" s="1">
        <v>5780940</v>
      </c>
      <c r="AQ1097" s="1">
        <v>33760881</v>
      </c>
      <c r="AR1097" s="1">
        <v>7587164</v>
      </c>
      <c r="AS1097" s="1">
        <v>1138075</v>
      </c>
      <c r="AT1097" s="1">
        <f t="shared" si="116"/>
        <v>48267060</v>
      </c>
    </row>
    <row r="1098" spans="1:46" x14ac:dyDescent="0.2">
      <c r="A1098" s="1" t="str">
        <f>"01393"</f>
        <v>01393</v>
      </c>
      <c r="B1098" s="1" t="str">
        <f>"پيمان"</f>
        <v>پيمان</v>
      </c>
      <c r="C1098" s="1" t="str">
        <f>"نجفي"</f>
        <v>نجفي</v>
      </c>
      <c r="D1098" s="1" t="str">
        <f t="shared" si="117"/>
        <v>قراردادي بهره بردار</v>
      </c>
      <c r="E1098" s="1" t="str">
        <f t="shared" si="118"/>
        <v>پروژه بهره برداري نيروگاه بوشهر</v>
      </c>
      <c r="F1098" s="1">
        <v>7991552</v>
      </c>
      <c r="G1098" s="1">
        <v>937570</v>
      </c>
      <c r="H1098" s="1">
        <v>0</v>
      </c>
      <c r="I1098" s="1">
        <v>3666530</v>
      </c>
      <c r="J1098" s="1">
        <v>0</v>
      </c>
      <c r="K1098" s="1">
        <v>3465000</v>
      </c>
      <c r="L1098" s="1">
        <v>0</v>
      </c>
      <c r="M1098" s="1">
        <v>1000000</v>
      </c>
      <c r="N1098" s="1">
        <v>887877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1725546</v>
      </c>
      <c r="W1098" s="1">
        <v>1900000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634198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4075297</v>
      </c>
      <c r="AM1098" s="1">
        <v>0</v>
      </c>
      <c r="AN1098" s="1">
        <v>0</v>
      </c>
      <c r="AO1098" s="1">
        <v>26283570</v>
      </c>
      <c r="AP1098" s="1">
        <v>5927080</v>
      </c>
      <c r="AQ1098" s="1">
        <v>20356490</v>
      </c>
      <c r="AR1098" s="1">
        <v>5256714</v>
      </c>
      <c r="AS1098" s="1">
        <v>788507</v>
      </c>
      <c r="AT1098" s="1">
        <f t="shared" si="116"/>
        <v>32328791</v>
      </c>
    </row>
    <row r="1099" spans="1:46" x14ac:dyDescent="0.2">
      <c r="A1099" s="1" t="str">
        <f>"01394"</f>
        <v>01394</v>
      </c>
      <c r="B1099" s="1" t="str">
        <f>"محمدرضا"</f>
        <v>محمدرضا</v>
      </c>
      <c r="C1099" s="1" t="str">
        <f>"احمدپري"</f>
        <v>احمدپري</v>
      </c>
      <c r="D1099" s="1" t="str">
        <f t="shared" si="117"/>
        <v>قراردادي بهره بردار</v>
      </c>
      <c r="E1099" s="1" t="str">
        <f t="shared" si="118"/>
        <v>پروژه بهره برداري نيروگاه بوشهر</v>
      </c>
      <c r="F1099" s="1">
        <v>12949031</v>
      </c>
      <c r="G1099" s="1">
        <v>2700357</v>
      </c>
      <c r="H1099" s="1">
        <v>0</v>
      </c>
      <c r="I1099" s="1">
        <v>5951731</v>
      </c>
      <c r="J1099" s="1">
        <v>0</v>
      </c>
      <c r="K1099" s="1">
        <v>5500000</v>
      </c>
      <c r="L1099" s="1">
        <v>0</v>
      </c>
      <c r="M1099" s="1">
        <v>1000000</v>
      </c>
      <c r="N1099" s="1">
        <v>1530400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2484930</v>
      </c>
      <c r="W1099" s="1">
        <v>1900000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1093143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3324994</v>
      </c>
      <c r="AM1099" s="1">
        <v>0</v>
      </c>
      <c r="AN1099" s="1">
        <v>0</v>
      </c>
      <c r="AO1099" s="1">
        <v>38434586</v>
      </c>
      <c r="AP1099" s="1">
        <v>6379126</v>
      </c>
      <c r="AQ1099" s="1">
        <v>32055460</v>
      </c>
      <c r="AR1099" s="1">
        <v>7686917</v>
      </c>
      <c r="AS1099" s="1">
        <v>1153038</v>
      </c>
      <c r="AT1099" s="1">
        <f t="shared" si="116"/>
        <v>47274541</v>
      </c>
    </row>
    <row r="1100" spans="1:46" x14ac:dyDescent="0.2">
      <c r="A1100" s="1" t="str">
        <f>"01395"</f>
        <v>01395</v>
      </c>
      <c r="B1100" s="1" t="str">
        <f>"وحيد"</f>
        <v>وحيد</v>
      </c>
      <c r="C1100" s="1" t="str">
        <f>"زندي"</f>
        <v>زندي</v>
      </c>
      <c r="D1100" s="1" t="str">
        <f t="shared" si="117"/>
        <v>قراردادي بهره بردار</v>
      </c>
      <c r="E1100" s="1" t="str">
        <f t="shared" si="118"/>
        <v>پروژه بهره برداري نيروگاه بوشهر</v>
      </c>
      <c r="F1100" s="1">
        <v>8011268</v>
      </c>
      <c r="G1100" s="1">
        <v>2014367</v>
      </c>
      <c r="H1100" s="1">
        <v>0</v>
      </c>
      <c r="I1100" s="1">
        <v>3680082</v>
      </c>
      <c r="J1100" s="1">
        <v>0</v>
      </c>
      <c r="K1100" s="1">
        <v>3465000</v>
      </c>
      <c r="L1100" s="1">
        <v>0</v>
      </c>
      <c r="M1100" s="1">
        <v>1000000</v>
      </c>
      <c r="N1100" s="1">
        <v>894778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1730088</v>
      </c>
      <c r="W1100" s="1">
        <v>1900000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639127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4075626</v>
      </c>
      <c r="AM1100" s="1">
        <v>0</v>
      </c>
      <c r="AN1100" s="1">
        <v>0</v>
      </c>
      <c r="AO1100" s="1">
        <v>27410336</v>
      </c>
      <c r="AP1100" s="1">
        <v>2943288</v>
      </c>
      <c r="AQ1100" s="1">
        <v>24467048</v>
      </c>
      <c r="AR1100" s="1">
        <v>5482067</v>
      </c>
      <c r="AS1100" s="1">
        <v>822310</v>
      </c>
      <c r="AT1100" s="1">
        <f t="shared" si="116"/>
        <v>33714713</v>
      </c>
    </row>
    <row r="1101" spans="1:46" x14ac:dyDescent="0.2">
      <c r="A1101" s="1" t="str">
        <f>"01396"</f>
        <v>01396</v>
      </c>
      <c r="B1101" s="1" t="str">
        <f>"مهدي"</f>
        <v>مهدي</v>
      </c>
      <c r="C1101" s="1" t="str">
        <f>"ترحمي سيل آباد"</f>
        <v>ترحمي سيل آباد</v>
      </c>
      <c r="D1101" s="1" t="str">
        <f t="shared" si="117"/>
        <v>قراردادي بهره بردار</v>
      </c>
      <c r="E1101" s="1" t="str">
        <f t="shared" si="118"/>
        <v>پروژه بهره برداري نيروگاه بوشهر</v>
      </c>
      <c r="F1101" s="1">
        <v>7969645</v>
      </c>
      <c r="G1101" s="1">
        <v>667705</v>
      </c>
      <c r="H1101" s="1">
        <v>0</v>
      </c>
      <c r="I1101" s="1">
        <v>3651472</v>
      </c>
      <c r="J1101" s="1">
        <v>0</v>
      </c>
      <c r="K1101" s="1">
        <v>3465000</v>
      </c>
      <c r="L1101" s="1">
        <v>0</v>
      </c>
      <c r="M1101" s="1">
        <v>1000000</v>
      </c>
      <c r="N1101" s="1">
        <v>880210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1720426</v>
      </c>
      <c r="W1101" s="1">
        <v>1900000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628721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4074202</v>
      </c>
      <c r="AM1101" s="1">
        <v>0</v>
      </c>
      <c r="AN1101" s="1">
        <v>0</v>
      </c>
      <c r="AO1101" s="1">
        <v>25957381</v>
      </c>
      <c r="AP1101" s="1">
        <v>10435542</v>
      </c>
      <c r="AQ1101" s="1">
        <v>15521839</v>
      </c>
      <c r="AR1101" s="1">
        <v>5191476</v>
      </c>
      <c r="AS1101" s="1">
        <v>778721</v>
      </c>
      <c r="AT1101" s="1">
        <f t="shared" si="116"/>
        <v>31927578</v>
      </c>
    </row>
    <row r="1102" spans="1:46" x14ac:dyDescent="0.2">
      <c r="A1102" s="1" t="str">
        <f>"01397"</f>
        <v>01397</v>
      </c>
      <c r="B1102" s="1" t="str">
        <f>"محمد"</f>
        <v>محمد</v>
      </c>
      <c r="C1102" s="1" t="str">
        <f>"پديسار"</f>
        <v>پديسار</v>
      </c>
      <c r="D1102" s="1" t="str">
        <f t="shared" si="117"/>
        <v>قراردادي بهره بردار</v>
      </c>
      <c r="E1102" s="1" t="str">
        <f t="shared" si="118"/>
        <v>پروژه بهره برداري نيروگاه بوشهر</v>
      </c>
      <c r="F1102" s="1">
        <v>12620431</v>
      </c>
      <c r="G1102" s="1">
        <v>2599728</v>
      </c>
      <c r="H1102" s="1">
        <v>0</v>
      </c>
      <c r="I1102" s="1">
        <v>7398302</v>
      </c>
      <c r="J1102" s="1">
        <v>0</v>
      </c>
      <c r="K1102" s="1">
        <v>5500000</v>
      </c>
      <c r="L1102" s="1">
        <v>0</v>
      </c>
      <c r="M1102" s="1">
        <v>1000000</v>
      </c>
      <c r="N1102" s="1">
        <v>1415390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1606000</v>
      </c>
      <c r="U1102" s="1">
        <v>0</v>
      </c>
      <c r="V1102" s="1">
        <v>2576354</v>
      </c>
      <c r="W1102" s="1">
        <v>1900000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1010993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3318422</v>
      </c>
      <c r="AM1102" s="1">
        <v>0</v>
      </c>
      <c r="AN1102" s="1">
        <v>0</v>
      </c>
      <c r="AO1102" s="1">
        <v>40945620</v>
      </c>
      <c r="AP1102" s="1">
        <v>12880253</v>
      </c>
      <c r="AQ1102" s="1">
        <v>28065367</v>
      </c>
      <c r="AR1102" s="1">
        <v>7867924</v>
      </c>
      <c r="AS1102" s="1">
        <v>1180189</v>
      </c>
      <c r="AT1102" s="1">
        <f t="shared" si="116"/>
        <v>49993733</v>
      </c>
    </row>
    <row r="1103" spans="1:46" x14ac:dyDescent="0.2">
      <c r="A1103" s="1" t="str">
        <f>"01398"</f>
        <v>01398</v>
      </c>
      <c r="B1103" s="1" t="str">
        <f>"پژمان"</f>
        <v>پژمان</v>
      </c>
      <c r="C1103" s="1" t="str">
        <f>"سروري"</f>
        <v>سروري</v>
      </c>
      <c r="D1103" s="1" t="str">
        <f t="shared" si="117"/>
        <v>قراردادي بهره بردار</v>
      </c>
      <c r="E1103" s="1" t="str">
        <f t="shared" si="118"/>
        <v>پروژه بهره برداري نيروگاه بوشهر</v>
      </c>
      <c r="F1103" s="1">
        <v>8011268</v>
      </c>
      <c r="G1103" s="1">
        <v>1342911</v>
      </c>
      <c r="H1103" s="1">
        <v>0</v>
      </c>
      <c r="I1103" s="1">
        <v>3680082</v>
      </c>
      <c r="J1103" s="1">
        <v>0</v>
      </c>
      <c r="K1103" s="1">
        <v>3465000</v>
      </c>
      <c r="L1103" s="1">
        <v>0</v>
      </c>
      <c r="M1103" s="1">
        <v>1000000</v>
      </c>
      <c r="N1103" s="1">
        <v>894778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1730088</v>
      </c>
      <c r="W1103" s="1">
        <v>1900000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639127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4075626</v>
      </c>
      <c r="AM1103" s="1">
        <v>0</v>
      </c>
      <c r="AN1103" s="1">
        <v>0</v>
      </c>
      <c r="AO1103" s="1">
        <v>26738880</v>
      </c>
      <c r="AP1103" s="1">
        <v>6640286</v>
      </c>
      <c r="AQ1103" s="1">
        <v>20098594</v>
      </c>
      <c r="AR1103" s="1">
        <v>5347776</v>
      </c>
      <c r="AS1103" s="1">
        <v>802166</v>
      </c>
      <c r="AT1103" s="1">
        <f t="shared" si="116"/>
        <v>32888822</v>
      </c>
    </row>
    <row r="1104" spans="1:46" x14ac:dyDescent="0.2">
      <c r="A1104" s="1" t="str">
        <f>"01400"</f>
        <v>01400</v>
      </c>
      <c r="B1104" s="1" t="str">
        <f>"اسماعيل"</f>
        <v>اسماعيل</v>
      </c>
      <c r="C1104" s="1" t="str">
        <f>"احمد حسيني"</f>
        <v>احمد حسيني</v>
      </c>
      <c r="D1104" s="1" t="str">
        <f t="shared" si="117"/>
        <v>قراردادي بهره بردار</v>
      </c>
      <c r="E1104" s="1" t="str">
        <f t="shared" si="118"/>
        <v>پروژه بهره برداري نيروگاه بوشهر</v>
      </c>
      <c r="F1104" s="1">
        <v>7856463</v>
      </c>
      <c r="G1104" s="1">
        <v>12073068</v>
      </c>
      <c r="H1104" s="1">
        <v>0</v>
      </c>
      <c r="I1104" s="1">
        <v>6958005</v>
      </c>
      <c r="J1104" s="1">
        <v>0</v>
      </c>
      <c r="K1104" s="1">
        <v>3465000</v>
      </c>
      <c r="L1104" s="1">
        <v>0</v>
      </c>
      <c r="M1104" s="1">
        <v>1000000</v>
      </c>
      <c r="N1104" s="1">
        <v>868016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13662798</v>
      </c>
      <c r="W1104" s="1">
        <v>1900000</v>
      </c>
      <c r="X1104" s="1">
        <v>1156884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620015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13387970</v>
      </c>
      <c r="AM1104" s="1">
        <v>0</v>
      </c>
      <c r="AN1104" s="1">
        <v>0</v>
      </c>
      <c r="AO1104" s="1">
        <v>62948219</v>
      </c>
      <c r="AP1104" s="1">
        <v>7952105</v>
      </c>
      <c r="AQ1104" s="1">
        <v>54996114</v>
      </c>
      <c r="AR1104" s="1">
        <v>12589643</v>
      </c>
      <c r="AS1104" s="1">
        <v>1888446</v>
      </c>
      <c r="AT1104" s="1">
        <f t="shared" si="116"/>
        <v>77426308</v>
      </c>
    </row>
    <row r="1105" spans="1:46" x14ac:dyDescent="0.2">
      <c r="A1105" s="1" t="str">
        <f>"01401"</f>
        <v>01401</v>
      </c>
      <c r="B1105" s="1" t="str">
        <f>"علي"</f>
        <v>علي</v>
      </c>
      <c r="C1105" s="1" t="str">
        <f>"دشتي زاده"</f>
        <v>دشتي زاده</v>
      </c>
      <c r="D1105" s="1" t="str">
        <f t="shared" si="117"/>
        <v>قراردادي بهره بردار</v>
      </c>
      <c r="E1105" s="1" t="str">
        <f t="shared" si="118"/>
        <v>پروژه بهره برداري نيروگاه بوشهر</v>
      </c>
      <c r="F1105" s="1">
        <v>7998124</v>
      </c>
      <c r="G1105" s="1">
        <v>1206504</v>
      </c>
      <c r="H1105" s="1">
        <v>0</v>
      </c>
      <c r="I1105" s="1">
        <v>3671048</v>
      </c>
      <c r="J1105" s="1">
        <v>0</v>
      </c>
      <c r="K1105" s="1">
        <v>3465000</v>
      </c>
      <c r="L1105" s="1">
        <v>0</v>
      </c>
      <c r="M1105" s="1">
        <v>1000000</v>
      </c>
      <c r="N1105" s="1">
        <v>890177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1727060</v>
      </c>
      <c r="W1105" s="1">
        <v>1900000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635841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4075407</v>
      </c>
      <c r="AM1105" s="1">
        <v>0</v>
      </c>
      <c r="AN1105" s="1">
        <v>0</v>
      </c>
      <c r="AO1105" s="1">
        <v>26569161</v>
      </c>
      <c r="AP1105" s="1">
        <v>3134405</v>
      </c>
      <c r="AQ1105" s="1">
        <v>23434756</v>
      </c>
      <c r="AR1105" s="1">
        <v>5313832</v>
      </c>
      <c r="AS1105" s="1">
        <v>797075</v>
      </c>
      <c r="AT1105" s="1">
        <f t="shared" si="116"/>
        <v>32680068</v>
      </c>
    </row>
    <row r="1106" spans="1:46" x14ac:dyDescent="0.2">
      <c r="A1106" s="1" t="str">
        <f>"01402"</f>
        <v>01402</v>
      </c>
      <c r="B1106" s="1" t="str">
        <f>"روح اله"</f>
        <v>روح اله</v>
      </c>
      <c r="C1106" s="1" t="str">
        <f>"دهقاني"</f>
        <v>دهقاني</v>
      </c>
      <c r="D1106" s="1" t="str">
        <f t="shared" si="117"/>
        <v>قراردادي بهره بردار</v>
      </c>
      <c r="E1106" s="1" t="str">
        <f t="shared" si="118"/>
        <v>پروژه بهره برداري نيروگاه بوشهر</v>
      </c>
      <c r="F1106" s="1">
        <v>12046476</v>
      </c>
      <c r="G1106" s="1">
        <v>2308584</v>
      </c>
      <c r="H1106" s="1">
        <v>0</v>
      </c>
      <c r="I1106" s="1">
        <v>5347246</v>
      </c>
      <c r="J1106" s="1">
        <v>0</v>
      </c>
      <c r="K1106" s="1">
        <v>5500000</v>
      </c>
      <c r="L1106" s="1">
        <v>0</v>
      </c>
      <c r="M1106" s="1">
        <v>1000000</v>
      </c>
      <c r="N1106" s="1">
        <v>1214506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2287828</v>
      </c>
      <c r="W1106" s="1">
        <v>1900000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867504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3402543</v>
      </c>
      <c r="AM1106" s="1">
        <v>0</v>
      </c>
      <c r="AN1106" s="1">
        <v>0</v>
      </c>
      <c r="AO1106" s="1">
        <v>35874687</v>
      </c>
      <c r="AP1106" s="1">
        <v>8262004</v>
      </c>
      <c r="AQ1106" s="1">
        <v>27612683</v>
      </c>
      <c r="AR1106" s="1">
        <v>7174937</v>
      </c>
      <c r="AS1106" s="1">
        <v>1076241</v>
      </c>
      <c r="AT1106" s="1">
        <f t="shared" si="116"/>
        <v>44125865</v>
      </c>
    </row>
    <row r="1107" spans="1:46" x14ac:dyDescent="0.2">
      <c r="A1107" s="1" t="str">
        <f>"01403"</f>
        <v>01403</v>
      </c>
      <c r="B1107" s="1" t="str">
        <f>"محمد مجتبي"</f>
        <v>محمد مجتبي</v>
      </c>
      <c r="C1107" s="1" t="str">
        <f>"کشت کار"</f>
        <v>کشت کار</v>
      </c>
      <c r="D1107" s="1" t="str">
        <f t="shared" si="117"/>
        <v>قراردادي بهره بردار</v>
      </c>
      <c r="E1107" s="1" t="str">
        <f t="shared" si="118"/>
        <v>پروژه بهره برداري نيروگاه بوشهر</v>
      </c>
      <c r="F1107" s="1">
        <v>8006887</v>
      </c>
      <c r="G1107" s="1">
        <v>1073747</v>
      </c>
      <c r="H1107" s="1">
        <v>0</v>
      </c>
      <c r="I1107" s="1">
        <v>3677071</v>
      </c>
      <c r="J1107" s="1">
        <v>0</v>
      </c>
      <c r="K1107" s="1">
        <v>3465000</v>
      </c>
      <c r="L1107" s="1">
        <v>0</v>
      </c>
      <c r="M1107" s="1">
        <v>1000000</v>
      </c>
      <c r="N1107" s="1">
        <v>893244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1729152</v>
      </c>
      <c r="W1107" s="1">
        <v>1900000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638032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4076283</v>
      </c>
      <c r="AM1107" s="1">
        <v>0</v>
      </c>
      <c r="AN1107" s="1">
        <v>0</v>
      </c>
      <c r="AO1107" s="1">
        <v>26459416</v>
      </c>
      <c r="AP1107" s="1">
        <v>11777922</v>
      </c>
      <c r="AQ1107" s="1">
        <v>14681494</v>
      </c>
      <c r="AR1107" s="1">
        <v>5291883</v>
      </c>
      <c r="AS1107" s="1">
        <v>793782</v>
      </c>
      <c r="AT1107" s="1">
        <f t="shared" si="116"/>
        <v>32545081</v>
      </c>
    </row>
    <row r="1108" spans="1:46" x14ac:dyDescent="0.2">
      <c r="A1108" s="1" t="str">
        <f>"01404"</f>
        <v>01404</v>
      </c>
      <c r="B1108" s="1" t="str">
        <f>"مصطفي"</f>
        <v>مصطفي</v>
      </c>
      <c r="C1108" s="1" t="str">
        <f>"آذرخش"</f>
        <v>آذرخش</v>
      </c>
      <c r="D1108" s="1" t="str">
        <f t="shared" si="117"/>
        <v>قراردادي بهره بردار</v>
      </c>
      <c r="E1108" s="1" t="str">
        <f t="shared" si="118"/>
        <v>پروژه بهره برداري نيروگاه بوشهر</v>
      </c>
      <c r="F1108" s="1">
        <v>8210619</v>
      </c>
      <c r="G1108" s="1">
        <v>1244687</v>
      </c>
      <c r="H1108" s="1">
        <v>0</v>
      </c>
      <c r="I1108" s="1">
        <v>3879918</v>
      </c>
      <c r="J1108" s="1">
        <v>0</v>
      </c>
      <c r="K1108" s="1">
        <v>4620000</v>
      </c>
      <c r="L1108" s="1">
        <v>0</v>
      </c>
      <c r="M1108" s="1">
        <v>1000000</v>
      </c>
      <c r="N1108" s="1">
        <v>964551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1781716</v>
      </c>
      <c r="W1108" s="1">
        <v>1900000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688965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4073107</v>
      </c>
      <c r="AM1108" s="1">
        <v>0</v>
      </c>
      <c r="AN1108" s="1">
        <v>0</v>
      </c>
      <c r="AO1108" s="1">
        <v>28363563</v>
      </c>
      <c r="AP1108" s="1">
        <v>13128337</v>
      </c>
      <c r="AQ1108" s="1">
        <v>15235226</v>
      </c>
      <c r="AR1108" s="1">
        <v>5672713</v>
      </c>
      <c r="AS1108" s="1">
        <v>850907</v>
      </c>
      <c r="AT1108" s="1">
        <f t="shared" si="116"/>
        <v>34887183</v>
      </c>
    </row>
    <row r="1109" spans="1:46" x14ac:dyDescent="0.2">
      <c r="A1109" s="1" t="str">
        <f>"01405"</f>
        <v>01405</v>
      </c>
      <c r="B1109" s="1" t="str">
        <f>"يوسف"</f>
        <v>يوسف</v>
      </c>
      <c r="C1109" s="1" t="str">
        <f>"زنده بودي"</f>
        <v>زنده بودي</v>
      </c>
      <c r="D1109" s="1" t="str">
        <f t="shared" si="117"/>
        <v>قراردادي بهره بردار</v>
      </c>
      <c r="E1109" s="1" t="str">
        <f t="shared" si="118"/>
        <v>پروژه بهره برداري نيروگاه بوشهر</v>
      </c>
      <c r="F1109" s="1">
        <v>8015649</v>
      </c>
      <c r="G1109" s="1">
        <v>940547</v>
      </c>
      <c r="H1109" s="1">
        <v>0</v>
      </c>
      <c r="I1109" s="1">
        <v>3683095</v>
      </c>
      <c r="J1109" s="1">
        <v>0</v>
      </c>
      <c r="K1109" s="1">
        <v>3465000</v>
      </c>
      <c r="L1109" s="1">
        <v>0</v>
      </c>
      <c r="M1109" s="1">
        <v>1000000</v>
      </c>
      <c r="N1109" s="1">
        <v>896311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1731025</v>
      </c>
      <c r="W1109" s="1">
        <v>1900000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640222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4074969</v>
      </c>
      <c r="AM1109" s="1">
        <v>0</v>
      </c>
      <c r="AN1109" s="1">
        <v>0</v>
      </c>
      <c r="AO1109" s="1">
        <v>26346818</v>
      </c>
      <c r="AP1109" s="1">
        <v>5132841</v>
      </c>
      <c r="AQ1109" s="1">
        <v>21213977</v>
      </c>
      <c r="AR1109" s="1">
        <v>5269364</v>
      </c>
      <c r="AS1109" s="1">
        <v>790405</v>
      </c>
      <c r="AT1109" s="1">
        <f t="shared" si="116"/>
        <v>32406587</v>
      </c>
    </row>
    <row r="1110" spans="1:46" x14ac:dyDescent="0.2">
      <c r="A1110" s="1" t="str">
        <f>"01406"</f>
        <v>01406</v>
      </c>
      <c r="B1110" s="1" t="str">
        <f>"مصطفي"</f>
        <v>مصطفي</v>
      </c>
      <c r="C1110" s="1" t="str">
        <f>"محمدي گلوردي"</f>
        <v>محمدي گلوردي</v>
      </c>
      <c r="D1110" s="1" t="str">
        <f t="shared" si="117"/>
        <v>قراردادي بهره بردار</v>
      </c>
      <c r="E1110" s="1" t="str">
        <f t="shared" si="118"/>
        <v>پروژه بهره برداري نيروگاه بوشهر</v>
      </c>
      <c r="F1110" s="1">
        <v>8854675</v>
      </c>
      <c r="G1110" s="1">
        <v>2338122</v>
      </c>
      <c r="H1110" s="1">
        <v>0</v>
      </c>
      <c r="I1110" s="1">
        <v>4259820</v>
      </c>
      <c r="J1110" s="1">
        <v>0</v>
      </c>
      <c r="K1110" s="1">
        <v>4620000</v>
      </c>
      <c r="L1110" s="1">
        <v>0</v>
      </c>
      <c r="M1110" s="1">
        <v>1000000</v>
      </c>
      <c r="N1110" s="1">
        <v>1189970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1882643</v>
      </c>
      <c r="W1110" s="1">
        <v>1900000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849979</v>
      </c>
      <c r="AF1110" s="1">
        <v>1516881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3671995</v>
      </c>
      <c r="AM1110" s="1">
        <v>0</v>
      </c>
      <c r="AN1110" s="1">
        <v>0</v>
      </c>
      <c r="AO1110" s="1">
        <v>32084085</v>
      </c>
      <c r="AP1110" s="1">
        <v>5692268</v>
      </c>
      <c r="AQ1110" s="1">
        <v>26391817</v>
      </c>
      <c r="AR1110" s="1">
        <v>6113441</v>
      </c>
      <c r="AS1110" s="1">
        <v>917016</v>
      </c>
      <c r="AT1110" s="1">
        <f t="shared" si="116"/>
        <v>39114542</v>
      </c>
    </row>
    <row r="1111" spans="1:46" x14ac:dyDescent="0.2">
      <c r="A1111" s="1" t="str">
        <f>"01407"</f>
        <v>01407</v>
      </c>
      <c r="B1111" s="1" t="str">
        <f>"سجاد"</f>
        <v>سجاد</v>
      </c>
      <c r="C1111" s="1" t="str">
        <f>"رستمي"</f>
        <v>رستمي</v>
      </c>
      <c r="D1111" s="1" t="str">
        <f t="shared" si="117"/>
        <v>قراردادي بهره بردار</v>
      </c>
      <c r="E1111" s="1" t="str">
        <f t="shared" si="118"/>
        <v>پروژه بهره برداري نيروگاه بوشهر</v>
      </c>
      <c r="F1111" s="1">
        <v>7969645</v>
      </c>
      <c r="G1111" s="1">
        <v>2136657</v>
      </c>
      <c r="H1111" s="1">
        <v>0</v>
      </c>
      <c r="I1111" s="1">
        <v>3651472</v>
      </c>
      <c r="J1111" s="1">
        <v>0</v>
      </c>
      <c r="K1111" s="1">
        <v>3465000</v>
      </c>
      <c r="L1111" s="1">
        <v>0</v>
      </c>
      <c r="M1111" s="1">
        <v>1000000</v>
      </c>
      <c r="N1111" s="1">
        <v>880210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1720426</v>
      </c>
      <c r="W1111" s="1">
        <v>1900000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628721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4074202</v>
      </c>
      <c r="AM1111" s="1">
        <v>0</v>
      </c>
      <c r="AN1111" s="1">
        <v>0</v>
      </c>
      <c r="AO1111" s="1">
        <v>27426333</v>
      </c>
      <c r="AP1111" s="1">
        <v>4308407</v>
      </c>
      <c r="AQ1111" s="1">
        <v>23117926</v>
      </c>
      <c r="AR1111" s="1">
        <v>5485267</v>
      </c>
      <c r="AS1111" s="1">
        <v>822790</v>
      </c>
      <c r="AT1111" s="1">
        <f t="shared" si="116"/>
        <v>33734390</v>
      </c>
    </row>
    <row r="1112" spans="1:46" x14ac:dyDescent="0.2">
      <c r="A1112" s="1" t="str">
        <f>"01408"</f>
        <v>01408</v>
      </c>
      <c r="B1112" s="1" t="str">
        <f>"مصطفي"</f>
        <v>مصطفي</v>
      </c>
      <c r="C1112" s="1" t="str">
        <f>"محمدي"</f>
        <v>محمدي</v>
      </c>
      <c r="D1112" s="1" t="str">
        <f t="shared" si="117"/>
        <v>قراردادي بهره بردار</v>
      </c>
      <c r="E1112" s="1" t="str">
        <f t="shared" si="118"/>
        <v>پروژه بهره برداري نيروگاه بوشهر</v>
      </c>
      <c r="F1112" s="1">
        <v>7969645</v>
      </c>
      <c r="G1112" s="1">
        <v>1869575</v>
      </c>
      <c r="H1112" s="1">
        <v>0</v>
      </c>
      <c r="I1112" s="1">
        <v>3651472</v>
      </c>
      <c r="J1112" s="1">
        <v>0</v>
      </c>
      <c r="K1112" s="1">
        <v>3465000</v>
      </c>
      <c r="L1112" s="1">
        <v>0</v>
      </c>
      <c r="M1112" s="1">
        <v>1000000</v>
      </c>
      <c r="N1112" s="1">
        <v>880210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1720426</v>
      </c>
      <c r="W1112" s="1">
        <v>1900000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628721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4074202</v>
      </c>
      <c r="AM1112" s="1">
        <v>0</v>
      </c>
      <c r="AN1112" s="1">
        <v>0</v>
      </c>
      <c r="AO1112" s="1">
        <v>27159251</v>
      </c>
      <c r="AP1112" s="1">
        <v>2925712</v>
      </c>
      <c r="AQ1112" s="1">
        <v>24233539</v>
      </c>
      <c r="AR1112" s="1">
        <v>5431850</v>
      </c>
      <c r="AS1112" s="1">
        <v>814778</v>
      </c>
      <c r="AT1112" s="1">
        <f t="shared" si="116"/>
        <v>33405879</v>
      </c>
    </row>
    <row r="1113" spans="1:46" x14ac:dyDescent="0.2">
      <c r="A1113" s="1" t="str">
        <f>"01409"</f>
        <v>01409</v>
      </c>
      <c r="B1113" s="1" t="str">
        <f>"عبدالرحيم"</f>
        <v>عبدالرحيم</v>
      </c>
      <c r="C1113" s="1" t="str">
        <f>"نيکنام"</f>
        <v>نيکنام</v>
      </c>
      <c r="D1113" s="1" t="str">
        <f t="shared" si="117"/>
        <v>قراردادي بهره بردار</v>
      </c>
      <c r="E1113" s="1" t="str">
        <f t="shared" si="118"/>
        <v>پروژه بهره برداري نيروگاه بوشهر</v>
      </c>
      <c r="F1113" s="1">
        <v>9196419</v>
      </c>
      <c r="G1113" s="1">
        <v>3568311</v>
      </c>
      <c r="H1113" s="1">
        <v>0</v>
      </c>
      <c r="I1113" s="1">
        <v>5478027</v>
      </c>
      <c r="J1113" s="1">
        <v>0</v>
      </c>
      <c r="K1113" s="1">
        <v>3465000</v>
      </c>
      <c r="L1113" s="1">
        <v>0</v>
      </c>
      <c r="M1113" s="1">
        <v>1000000</v>
      </c>
      <c r="N1113" s="1">
        <v>1309581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1606000</v>
      </c>
      <c r="U1113" s="1">
        <v>0</v>
      </c>
      <c r="V1113" s="1">
        <v>2189094</v>
      </c>
      <c r="W1113" s="1">
        <v>1900000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935415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4971499</v>
      </c>
      <c r="AM1113" s="1">
        <v>0</v>
      </c>
      <c r="AN1113" s="1">
        <v>0</v>
      </c>
      <c r="AO1113" s="1">
        <v>35619346</v>
      </c>
      <c r="AP1113" s="1">
        <v>3651775</v>
      </c>
      <c r="AQ1113" s="1">
        <v>31967571</v>
      </c>
      <c r="AR1113" s="1">
        <v>6802669</v>
      </c>
      <c r="AS1113" s="1">
        <v>1020400</v>
      </c>
      <c r="AT1113" s="1">
        <f t="shared" si="116"/>
        <v>43442415</v>
      </c>
    </row>
    <row r="1114" spans="1:46" x14ac:dyDescent="0.2">
      <c r="A1114" s="1" t="str">
        <f>"01410"</f>
        <v>01410</v>
      </c>
      <c r="B1114" s="1" t="str">
        <f>"حسين"</f>
        <v>حسين</v>
      </c>
      <c r="C1114" s="1" t="str">
        <f>"اندرياي"</f>
        <v>اندرياي</v>
      </c>
      <c r="D1114" s="1" t="str">
        <f t="shared" si="117"/>
        <v>قراردادي بهره بردار</v>
      </c>
      <c r="E1114" s="1" t="str">
        <f t="shared" si="118"/>
        <v>پروژه بهره برداري نيروگاه بوشهر</v>
      </c>
      <c r="F1114" s="1">
        <v>8129564</v>
      </c>
      <c r="G1114" s="1">
        <v>1091254</v>
      </c>
      <c r="H1114" s="1">
        <v>0</v>
      </c>
      <c r="I1114" s="1">
        <v>3761396</v>
      </c>
      <c r="J1114" s="1">
        <v>0</v>
      </c>
      <c r="K1114" s="1">
        <v>3465000</v>
      </c>
      <c r="L1114" s="1">
        <v>0</v>
      </c>
      <c r="M1114" s="1">
        <v>1000000</v>
      </c>
      <c r="N1114" s="1">
        <v>936181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1757345</v>
      </c>
      <c r="W1114" s="1">
        <v>1900000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668701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4077597</v>
      </c>
      <c r="AM1114" s="1">
        <v>0</v>
      </c>
      <c r="AN1114" s="1">
        <v>0</v>
      </c>
      <c r="AO1114" s="1">
        <v>26787038</v>
      </c>
      <c r="AP1114" s="1">
        <v>4742056</v>
      </c>
      <c r="AQ1114" s="1">
        <v>22044982</v>
      </c>
      <c r="AR1114" s="1">
        <v>5357408</v>
      </c>
      <c r="AS1114" s="1">
        <v>803611</v>
      </c>
      <c r="AT1114" s="1">
        <f t="shared" si="116"/>
        <v>32948057</v>
      </c>
    </row>
    <row r="1115" spans="1:46" x14ac:dyDescent="0.2">
      <c r="A1115" s="1" t="str">
        <f>"01411"</f>
        <v>01411</v>
      </c>
      <c r="B1115" s="1" t="str">
        <f>"هادي"</f>
        <v>هادي</v>
      </c>
      <c r="C1115" s="1" t="str">
        <f>"تجويدي"</f>
        <v>تجويدي</v>
      </c>
      <c r="D1115" s="1" t="str">
        <f t="shared" si="117"/>
        <v>قراردادي بهره بردار</v>
      </c>
      <c r="E1115" s="1" t="str">
        <f t="shared" si="118"/>
        <v>پروژه بهره برداري نيروگاه بوشهر</v>
      </c>
      <c r="F1115" s="1">
        <v>8142708</v>
      </c>
      <c r="G1115" s="1">
        <v>1506522</v>
      </c>
      <c r="H1115" s="1">
        <v>0</v>
      </c>
      <c r="I1115" s="1">
        <v>3815355</v>
      </c>
      <c r="J1115" s="1">
        <v>0</v>
      </c>
      <c r="K1115" s="1">
        <v>3465000</v>
      </c>
      <c r="L1115" s="1">
        <v>0</v>
      </c>
      <c r="M1115" s="1">
        <v>1000000</v>
      </c>
      <c r="N1115" s="1">
        <v>940782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1764427</v>
      </c>
      <c r="W1115" s="1">
        <v>1900000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671987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4073435</v>
      </c>
      <c r="AM1115" s="1">
        <v>0</v>
      </c>
      <c r="AN1115" s="1">
        <v>0</v>
      </c>
      <c r="AO1115" s="1">
        <v>27280216</v>
      </c>
      <c r="AP1115" s="1">
        <v>6778179</v>
      </c>
      <c r="AQ1115" s="1">
        <v>20502037</v>
      </c>
      <c r="AR1115" s="1">
        <v>5456043</v>
      </c>
      <c r="AS1115" s="1">
        <v>818406</v>
      </c>
      <c r="AT1115" s="1">
        <f t="shared" si="116"/>
        <v>33554665</v>
      </c>
    </row>
    <row r="1116" spans="1:46" x14ac:dyDescent="0.2">
      <c r="A1116" s="1" t="str">
        <f>"01412"</f>
        <v>01412</v>
      </c>
      <c r="B1116" s="1" t="str">
        <f>"مهرداد"</f>
        <v>مهرداد</v>
      </c>
      <c r="C1116" s="1" t="str">
        <f>"نظري"</f>
        <v>نظري</v>
      </c>
      <c r="D1116" s="1" t="str">
        <f t="shared" si="117"/>
        <v>قراردادي بهره بردار</v>
      </c>
      <c r="E1116" s="1" t="str">
        <f t="shared" si="118"/>
        <v>پروژه بهره برداري نيروگاه بوشهر</v>
      </c>
      <c r="F1116" s="1">
        <v>7998124</v>
      </c>
      <c r="G1116" s="1">
        <v>1742065</v>
      </c>
      <c r="H1116" s="1">
        <v>0</v>
      </c>
      <c r="I1116" s="1">
        <v>3671048</v>
      </c>
      <c r="J1116" s="1">
        <v>0</v>
      </c>
      <c r="K1116" s="1">
        <v>3465000</v>
      </c>
      <c r="L1116" s="1">
        <v>0</v>
      </c>
      <c r="M1116" s="1">
        <v>1000000</v>
      </c>
      <c r="N1116" s="1">
        <v>890177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1726402</v>
      </c>
      <c r="W1116" s="1">
        <v>1900000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635841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4068835</v>
      </c>
      <c r="AM1116" s="1">
        <v>0</v>
      </c>
      <c r="AN1116" s="1">
        <v>0</v>
      </c>
      <c r="AO1116" s="1">
        <v>27097492</v>
      </c>
      <c r="AP1116" s="1">
        <v>2921388</v>
      </c>
      <c r="AQ1116" s="1">
        <v>24176104</v>
      </c>
      <c r="AR1116" s="1">
        <v>5419498</v>
      </c>
      <c r="AS1116" s="1">
        <v>812925</v>
      </c>
      <c r="AT1116" s="1">
        <f t="shared" si="116"/>
        <v>33329915</v>
      </c>
    </row>
    <row r="1117" spans="1:46" x14ac:dyDescent="0.2">
      <c r="A1117" s="1" t="str">
        <f>"01413"</f>
        <v>01413</v>
      </c>
      <c r="B1117" s="1" t="str">
        <f>"سجاد"</f>
        <v>سجاد</v>
      </c>
      <c r="C1117" s="1" t="str">
        <f>"مرادزاده"</f>
        <v>مرادزاده</v>
      </c>
      <c r="D1117" s="1" t="str">
        <f t="shared" si="117"/>
        <v>قراردادي بهره بردار</v>
      </c>
      <c r="E1117" s="1" t="str">
        <f t="shared" si="118"/>
        <v>پروژه بهره برداري نيروگاه بوشهر</v>
      </c>
      <c r="F1117" s="1">
        <v>7969645</v>
      </c>
      <c r="G1117" s="1">
        <v>1068329</v>
      </c>
      <c r="H1117" s="1">
        <v>0</v>
      </c>
      <c r="I1117" s="1">
        <v>3651472</v>
      </c>
      <c r="J1117" s="1">
        <v>0</v>
      </c>
      <c r="K1117" s="1">
        <v>3465000</v>
      </c>
      <c r="L1117" s="1">
        <v>0</v>
      </c>
      <c r="M1117" s="1">
        <v>1000000</v>
      </c>
      <c r="N1117" s="1">
        <v>880210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1720426</v>
      </c>
      <c r="W1117" s="1">
        <v>1900000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628721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4074202</v>
      </c>
      <c r="AM1117" s="1">
        <v>0</v>
      </c>
      <c r="AN1117" s="1">
        <v>0</v>
      </c>
      <c r="AO1117" s="1">
        <v>26358005</v>
      </c>
      <c r="AP1117" s="1">
        <v>4433624</v>
      </c>
      <c r="AQ1117" s="1">
        <v>21924381</v>
      </c>
      <c r="AR1117" s="1">
        <v>5271601</v>
      </c>
      <c r="AS1117" s="1">
        <v>790740</v>
      </c>
      <c r="AT1117" s="1">
        <f t="shared" si="116"/>
        <v>32420346</v>
      </c>
    </row>
    <row r="1118" spans="1:46" x14ac:dyDescent="0.2">
      <c r="A1118" s="1" t="str">
        <f>"01414"</f>
        <v>01414</v>
      </c>
      <c r="B1118" s="1" t="str">
        <f>"حسين"</f>
        <v>حسين</v>
      </c>
      <c r="C1118" s="1" t="str">
        <f>"آدره"</f>
        <v>آدره</v>
      </c>
      <c r="D1118" s="1" t="str">
        <f t="shared" si="117"/>
        <v>قراردادي بهره بردار</v>
      </c>
      <c r="E1118" s="1" t="str">
        <f t="shared" si="118"/>
        <v>پروژه بهره برداري نيروگاه بوشهر</v>
      </c>
      <c r="F1118" s="1">
        <v>8131755</v>
      </c>
      <c r="G1118" s="1">
        <v>1777414</v>
      </c>
      <c r="H1118" s="1">
        <v>0</v>
      </c>
      <c r="I1118" s="1">
        <v>3802399</v>
      </c>
      <c r="J1118" s="1">
        <v>0</v>
      </c>
      <c r="K1118" s="1">
        <v>3465000</v>
      </c>
      <c r="L1118" s="1">
        <v>0</v>
      </c>
      <c r="M1118" s="1">
        <v>1000000</v>
      </c>
      <c r="N1118" s="1">
        <v>936948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1761433</v>
      </c>
      <c r="W1118" s="1">
        <v>1900000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669249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4073983</v>
      </c>
      <c r="AM1118" s="1">
        <v>0</v>
      </c>
      <c r="AN1118" s="1">
        <v>0</v>
      </c>
      <c r="AO1118" s="1">
        <v>27518181</v>
      </c>
      <c r="AP1118" s="1">
        <v>5096206</v>
      </c>
      <c r="AQ1118" s="1">
        <v>22421975</v>
      </c>
      <c r="AR1118" s="1">
        <v>5503636</v>
      </c>
      <c r="AS1118" s="1">
        <v>825545</v>
      </c>
      <c r="AT1118" s="1">
        <f t="shared" si="116"/>
        <v>33847362</v>
      </c>
    </row>
    <row r="1119" spans="1:46" x14ac:dyDescent="0.2">
      <c r="A1119" s="1" t="str">
        <f>"01415"</f>
        <v>01415</v>
      </c>
      <c r="B1119" s="1" t="str">
        <f>"تورج"</f>
        <v>تورج</v>
      </c>
      <c r="C1119" s="1" t="str">
        <f>"نظري"</f>
        <v>نظري</v>
      </c>
      <c r="D1119" s="1" t="str">
        <f t="shared" si="117"/>
        <v>قراردادي بهره بردار</v>
      </c>
      <c r="E1119" s="1" t="str">
        <f t="shared" si="118"/>
        <v>پروژه بهره برداري نيروگاه بوشهر</v>
      </c>
      <c r="F1119" s="1">
        <v>15251421</v>
      </c>
      <c r="G1119" s="1">
        <v>3468576</v>
      </c>
      <c r="H1119" s="1">
        <v>0</v>
      </c>
      <c r="I1119" s="1">
        <v>7326961</v>
      </c>
      <c r="J1119" s="1">
        <v>0</v>
      </c>
      <c r="K1119" s="1">
        <v>5500000</v>
      </c>
      <c r="L1119" s="1">
        <v>0</v>
      </c>
      <c r="M1119" s="1">
        <v>1000000</v>
      </c>
      <c r="N1119" s="1">
        <v>2152220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2979071</v>
      </c>
      <c r="W1119" s="1">
        <v>1900000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1537300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3522811</v>
      </c>
      <c r="AM1119" s="1">
        <v>0</v>
      </c>
      <c r="AN1119" s="1">
        <v>0</v>
      </c>
      <c r="AO1119" s="1">
        <v>44638360</v>
      </c>
      <c r="AP1119" s="1">
        <v>9294482</v>
      </c>
      <c r="AQ1119" s="1">
        <v>35343878</v>
      </c>
      <c r="AR1119" s="1">
        <v>8927672</v>
      </c>
      <c r="AS1119" s="1">
        <v>1339151</v>
      </c>
      <c r="AT1119" s="1">
        <f t="shared" si="116"/>
        <v>54905183</v>
      </c>
    </row>
    <row r="1120" spans="1:46" x14ac:dyDescent="0.2">
      <c r="A1120" s="1" t="str">
        <f>"01416"</f>
        <v>01416</v>
      </c>
      <c r="B1120" s="1" t="str">
        <f>"حسين"</f>
        <v>حسين</v>
      </c>
      <c r="C1120" s="1" t="str">
        <f>"مظاهري بني"</f>
        <v>مظاهري بني</v>
      </c>
      <c r="D1120" s="1" t="str">
        <f t="shared" si="117"/>
        <v>قراردادي بهره بردار</v>
      </c>
      <c r="E1120" s="1" t="str">
        <f t="shared" si="118"/>
        <v>پروژه بهره برداري نيروگاه بوشهر</v>
      </c>
      <c r="F1120" s="1">
        <v>13582133</v>
      </c>
      <c r="G1120" s="1">
        <v>9369026</v>
      </c>
      <c r="H1120" s="1">
        <v>0</v>
      </c>
      <c r="I1120" s="1">
        <v>6375751</v>
      </c>
      <c r="J1120" s="1">
        <v>0</v>
      </c>
      <c r="K1120" s="1">
        <v>5500000</v>
      </c>
      <c r="L1120" s="1">
        <v>0</v>
      </c>
      <c r="M1120" s="1">
        <v>1000000</v>
      </c>
      <c r="N1120" s="1">
        <v>1751986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1606000</v>
      </c>
      <c r="U1120" s="1">
        <v>0</v>
      </c>
      <c r="V1120" s="1">
        <v>2623962</v>
      </c>
      <c r="W1120" s="1">
        <v>1900000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1251418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3278333</v>
      </c>
      <c r="AM1120" s="1">
        <v>0</v>
      </c>
      <c r="AN1120" s="1">
        <v>0</v>
      </c>
      <c r="AO1120" s="1">
        <v>48238609</v>
      </c>
      <c r="AP1120" s="1">
        <v>13257201</v>
      </c>
      <c r="AQ1120" s="1">
        <v>34981408</v>
      </c>
      <c r="AR1120" s="1">
        <v>9326522</v>
      </c>
      <c r="AS1120" s="1">
        <v>1398978</v>
      </c>
      <c r="AT1120" s="1">
        <f t="shared" si="116"/>
        <v>58964109</v>
      </c>
    </row>
    <row r="1121" spans="1:46" x14ac:dyDescent="0.2">
      <c r="A1121" s="1" t="str">
        <f>"01417"</f>
        <v>01417</v>
      </c>
      <c r="B1121" s="1" t="str">
        <f>"راضيه"</f>
        <v>راضيه</v>
      </c>
      <c r="C1121" s="1" t="str">
        <f>"هژبرنيا"</f>
        <v>هژبرنيا</v>
      </c>
      <c r="D1121" s="1" t="str">
        <f t="shared" si="117"/>
        <v>قراردادي بهره بردار</v>
      </c>
      <c r="E1121" s="1" t="str">
        <f t="shared" si="118"/>
        <v>پروژه بهره برداري نيروگاه بوشهر</v>
      </c>
      <c r="F1121" s="1">
        <v>14462785</v>
      </c>
      <c r="G1121" s="1">
        <v>4480413</v>
      </c>
      <c r="H1121" s="1">
        <v>0</v>
      </c>
      <c r="I1121" s="1">
        <v>9362102</v>
      </c>
      <c r="J1121" s="1">
        <v>0</v>
      </c>
      <c r="K1121" s="1">
        <v>4125000</v>
      </c>
      <c r="L1121" s="1">
        <v>0</v>
      </c>
      <c r="M1121" s="1">
        <v>1000000</v>
      </c>
      <c r="N1121" s="1">
        <v>2060213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3143493</v>
      </c>
      <c r="W1121" s="1">
        <v>1900000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1471584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4078200</v>
      </c>
      <c r="AM1121" s="1">
        <v>0</v>
      </c>
      <c r="AN1121" s="1">
        <v>0</v>
      </c>
      <c r="AO1121" s="1">
        <v>46083790</v>
      </c>
      <c r="AP1121" s="1">
        <v>13577024</v>
      </c>
      <c r="AQ1121" s="1">
        <v>32506766</v>
      </c>
      <c r="AR1121" s="1">
        <v>9216756</v>
      </c>
      <c r="AS1121" s="1">
        <v>1382513</v>
      </c>
      <c r="AT1121" s="1">
        <f t="shared" si="116"/>
        <v>56683059</v>
      </c>
    </row>
    <row r="1122" spans="1:46" x14ac:dyDescent="0.2">
      <c r="A1122" s="1" t="str">
        <f>"01419"</f>
        <v>01419</v>
      </c>
      <c r="B1122" s="1" t="str">
        <f>"سيد عادل"</f>
        <v>سيد عادل</v>
      </c>
      <c r="C1122" s="1" t="str">
        <f>"هاشمي تنگستاني"</f>
        <v>هاشمي تنگستاني</v>
      </c>
      <c r="D1122" s="1" t="str">
        <f t="shared" si="117"/>
        <v>قراردادي بهره بردار</v>
      </c>
      <c r="E1122" s="1" t="str">
        <f t="shared" si="118"/>
        <v>پروژه بهره برداري نيروگاه بوشهر</v>
      </c>
      <c r="F1122" s="1">
        <v>9334431</v>
      </c>
      <c r="G1122" s="1">
        <v>2118906</v>
      </c>
      <c r="H1122" s="1">
        <v>0</v>
      </c>
      <c r="I1122" s="1">
        <v>4479552</v>
      </c>
      <c r="J1122" s="1">
        <v>0</v>
      </c>
      <c r="K1122" s="1">
        <v>4620000</v>
      </c>
      <c r="L1122" s="1">
        <v>0</v>
      </c>
      <c r="M1122" s="1">
        <v>1000000</v>
      </c>
      <c r="N1122" s="1">
        <v>1242875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1949865</v>
      </c>
      <c r="W1122" s="1">
        <v>1900000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887768</v>
      </c>
      <c r="AF1122" s="1">
        <v>1516881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3554028</v>
      </c>
      <c r="AM1122" s="1">
        <v>0</v>
      </c>
      <c r="AN1122" s="1">
        <v>0</v>
      </c>
      <c r="AO1122" s="1">
        <v>32604306</v>
      </c>
      <c r="AP1122" s="1">
        <v>6896684</v>
      </c>
      <c r="AQ1122" s="1">
        <v>25707622</v>
      </c>
      <c r="AR1122" s="1">
        <v>6217485</v>
      </c>
      <c r="AS1122" s="1">
        <v>932623</v>
      </c>
      <c r="AT1122" s="1">
        <f t="shared" si="116"/>
        <v>39754414</v>
      </c>
    </row>
    <row r="1123" spans="1:46" x14ac:dyDescent="0.2">
      <c r="A1123" s="1" t="str">
        <f>"01420"</f>
        <v>01420</v>
      </c>
      <c r="B1123" s="1" t="str">
        <f>"اميد"</f>
        <v>اميد</v>
      </c>
      <c r="C1123" s="1" t="str">
        <f>"زارع گلستاني"</f>
        <v>زارع گلستاني</v>
      </c>
      <c r="D1123" s="1" t="str">
        <f t="shared" si="117"/>
        <v>قراردادي بهره بردار</v>
      </c>
      <c r="E1123" s="1" t="str">
        <f t="shared" si="118"/>
        <v>پروژه بهره برداري نيروگاه بوشهر</v>
      </c>
      <c r="F1123" s="1">
        <v>8133945</v>
      </c>
      <c r="G1123" s="1">
        <v>2051282</v>
      </c>
      <c r="H1123" s="1">
        <v>0</v>
      </c>
      <c r="I1123" s="1">
        <v>3803921</v>
      </c>
      <c r="J1123" s="1">
        <v>0</v>
      </c>
      <c r="K1123" s="1">
        <v>3465000</v>
      </c>
      <c r="L1123" s="1">
        <v>0</v>
      </c>
      <c r="M1123" s="1">
        <v>1000000</v>
      </c>
      <c r="N1123" s="1">
        <v>937715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1761794</v>
      </c>
      <c r="W1123" s="1">
        <v>1900000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669796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4072559</v>
      </c>
      <c r="AM1123" s="1">
        <v>0</v>
      </c>
      <c r="AN1123" s="1">
        <v>0</v>
      </c>
      <c r="AO1123" s="1">
        <v>27796012</v>
      </c>
      <c r="AP1123" s="1">
        <v>6814285</v>
      </c>
      <c r="AQ1123" s="1">
        <v>20981727</v>
      </c>
      <c r="AR1123" s="1">
        <v>5559202</v>
      </c>
      <c r="AS1123" s="1">
        <v>833880</v>
      </c>
      <c r="AT1123" s="1">
        <f t="shared" si="116"/>
        <v>34189094</v>
      </c>
    </row>
    <row r="1124" spans="1:46" x14ac:dyDescent="0.2">
      <c r="A1124" s="1" t="str">
        <f>"01421"</f>
        <v>01421</v>
      </c>
      <c r="B1124" s="1" t="str">
        <f>"ساسان"</f>
        <v>ساسان</v>
      </c>
      <c r="C1124" s="1" t="str">
        <f>"رحيمي"</f>
        <v>رحيمي</v>
      </c>
      <c r="D1124" s="1" t="str">
        <f t="shared" si="117"/>
        <v>قراردادي بهره بردار</v>
      </c>
      <c r="E1124" s="1" t="str">
        <f t="shared" si="118"/>
        <v>پروژه بهره برداري نيروگاه بوشهر</v>
      </c>
      <c r="F1124" s="1">
        <v>12913980</v>
      </c>
      <c r="G1124" s="1">
        <v>1730570</v>
      </c>
      <c r="H1124" s="1">
        <v>0</v>
      </c>
      <c r="I1124" s="1">
        <v>5928256</v>
      </c>
      <c r="J1124" s="1">
        <v>0</v>
      </c>
      <c r="K1124" s="1">
        <v>4125000</v>
      </c>
      <c r="L1124" s="1">
        <v>0</v>
      </c>
      <c r="M1124" s="1">
        <v>1000000</v>
      </c>
      <c r="N1124" s="1">
        <v>1518132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2477237</v>
      </c>
      <c r="W1124" s="1">
        <v>1900000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1084380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3327623</v>
      </c>
      <c r="AM1124" s="1">
        <v>0</v>
      </c>
      <c r="AN1124" s="1">
        <v>0</v>
      </c>
      <c r="AO1124" s="1">
        <v>36005178</v>
      </c>
      <c r="AP1124" s="1">
        <v>5926608</v>
      </c>
      <c r="AQ1124" s="1">
        <v>30078570</v>
      </c>
      <c r="AR1124" s="1">
        <v>7201036</v>
      </c>
      <c r="AS1124" s="1">
        <v>1080155</v>
      </c>
      <c r="AT1124" s="1">
        <f t="shared" si="116"/>
        <v>44286369</v>
      </c>
    </row>
    <row r="1125" spans="1:46" x14ac:dyDescent="0.2">
      <c r="A1125" s="1" t="str">
        <f>"01423"</f>
        <v>01423</v>
      </c>
      <c r="B1125" s="1" t="str">
        <f>"عليرضا"</f>
        <v>عليرضا</v>
      </c>
      <c r="C1125" s="1" t="str">
        <f>"حاجياني"</f>
        <v>حاجياني</v>
      </c>
      <c r="D1125" s="1" t="str">
        <f t="shared" si="117"/>
        <v>قراردادي بهره بردار</v>
      </c>
      <c r="E1125" s="1" t="str">
        <f t="shared" si="118"/>
        <v>پروژه بهره برداري نيروگاه بوشهر</v>
      </c>
      <c r="F1125" s="1">
        <v>8006887</v>
      </c>
      <c r="G1125" s="1">
        <v>671092</v>
      </c>
      <c r="H1125" s="1">
        <v>0</v>
      </c>
      <c r="I1125" s="1">
        <v>3677071</v>
      </c>
      <c r="J1125" s="1">
        <v>0</v>
      </c>
      <c r="K1125" s="1">
        <v>3465000</v>
      </c>
      <c r="L1125" s="1">
        <v>0</v>
      </c>
      <c r="M1125" s="1">
        <v>1000000</v>
      </c>
      <c r="N1125" s="1">
        <v>893244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1729152</v>
      </c>
      <c r="W1125" s="1">
        <v>1900000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638032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4076283</v>
      </c>
      <c r="AM1125" s="1">
        <v>0</v>
      </c>
      <c r="AN1125" s="1">
        <v>0</v>
      </c>
      <c r="AO1125" s="1">
        <v>26056761</v>
      </c>
      <c r="AP1125" s="1">
        <v>3280537</v>
      </c>
      <c r="AQ1125" s="1">
        <v>22776224</v>
      </c>
      <c r="AR1125" s="1">
        <v>5211352</v>
      </c>
      <c r="AS1125" s="1">
        <v>781703</v>
      </c>
      <c r="AT1125" s="1">
        <f t="shared" si="116"/>
        <v>32049816</v>
      </c>
    </row>
    <row r="1126" spans="1:46" x14ac:dyDescent="0.2">
      <c r="A1126" s="1" t="str">
        <f>"01424"</f>
        <v>01424</v>
      </c>
      <c r="B1126" s="1" t="str">
        <f>"سيد سجاد"</f>
        <v>سيد سجاد</v>
      </c>
      <c r="C1126" s="1" t="str">
        <f>"نعمت اللهي"</f>
        <v>نعمت اللهي</v>
      </c>
      <c r="D1126" s="1" t="str">
        <f t="shared" si="117"/>
        <v>قراردادي بهره بردار</v>
      </c>
      <c r="E1126" s="1" t="str">
        <f t="shared" si="118"/>
        <v>پروژه بهره برداري نيروگاه بوشهر</v>
      </c>
      <c r="F1126" s="1">
        <v>8462545</v>
      </c>
      <c r="G1126" s="1">
        <v>1530005</v>
      </c>
      <c r="H1126" s="1">
        <v>0</v>
      </c>
      <c r="I1126" s="1">
        <v>3990280</v>
      </c>
      <c r="J1126" s="1">
        <v>0</v>
      </c>
      <c r="K1126" s="1">
        <v>3465000</v>
      </c>
      <c r="L1126" s="1">
        <v>0</v>
      </c>
      <c r="M1126" s="1">
        <v>1000000</v>
      </c>
      <c r="N1126" s="1">
        <v>1052725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1791930</v>
      </c>
      <c r="W1126" s="1">
        <v>1900000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751946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3661809</v>
      </c>
      <c r="AM1126" s="1">
        <v>0</v>
      </c>
      <c r="AN1126" s="1">
        <v>0</v>
      </c>
      <c r="AO1126" s="1">
        <v>27606240</v>
      </c>
      <c r="AP1126" s="1">
        <v>10313486</v>
      </c>
      <c r="AQ1126" s="1">
        <v>17292754</v>
      </c>
      <c r="AR1126" s="1">
        <v>5521248</v>
      </c>
      <c r="AS1126" s="1">
        <v>828187</v>
      </c>
      <c r="AT1126" s="1">
        <f t="shared" si="116"/>
        <v>33955675</v>
      </c>
    </row>
    <row r="1127" spans="1:46" x14ac:dyDescent="0.2">
      <c r="A1127" s="1" t="str">
        <f>"01425"</f>
        <v>01425</v>
      </c>
      <c r="B1127" s="1" t="str">
        <f>"اشکان"</f>
        <v>اشکان</v>
      </c>
      <c r="C1127" s="1" t="str">
        <f>"احمدي دوقزلو"</f>
        <v>احمدي دوقزلو</v>
      </c>
      <c r="D1127" s="1" t="str">
        <f t="shared" si="117"/>
        <v>قراردادي بهره بردار</v>
      </c>
      <c r="E1127" s="1" t="str">
        <f t="shared" si="118"/>
        <v>پروژه بهره برداري نيروگاه بوشهر</v>
      </c>
      <c r="F1127" s="1">
        <v>7998124</v>
      </c>
      <c r="G1127" s="1">
        <v>1876785</v>
      </c>
      <c r="H1127" s="1">
        <v>0</v>
      </c>
      <c r="I1127" s="1">
        <v>3671048</v>
      </c>
      <c r="J1127" s="1">
        <v>0</v>
      </c>
      <c r="K1127" s="1">
        <v>4620000</v>
      </c>
      <c r="L1127" s="1">
        <v>0</v>
      </c>
      <c r="M1127" s="1">
        <v>1000000</v>
      </c>
      <c r="N1127" s="1">
        <v>890177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1727060</v>
      </c>
      <c r="W1127" s="1">
        <v>1900000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635841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4075407</v>
      </c>
      <c r="AM1127" s="1">
        <v>0</v>
      </c>
      <c r="AN1127" s="1">
        <v>0</v>
      </c>
      <c r="AO1127" s="1">
        <v>28394442</v>
      </c>
      <c r="AP1127" s="1">
        <v>3544175</v>
      </c>
      <c r="AQ1127" s="1">
        <v>24850267</v>
      </c>
      <c r="AR1127" s="1">
        <v>5678888</v>
      </c>
      <c r="AS1127" s="1">
        <v>851833</v>
      </c>
      <c r="AT1127" s="1">
        <f t="shared" si="116"/>
        <v>34925163</v>
      </c>
    </row>
    <row r="1128" spans="1:46" x14ac:dyDescent="0.2">
      <c r="A1128" s="1" t="str">
        <f>"01426"</f>
        <v>01426</v>
      </c>
      <c r="B1128" s="1" t="str">
        <f>"مصيب"</f>
        <v>مصيب</v>
      </c>
      <c r="C1128" s="1" t="str">
        <f>"اسدي"</f>
        <v>اسدي</v>
      </c>
      <c r="D1128" s="1" t="str">
        <f>"قراردادي کارگري"</f>
        <v>قراردادي کارگري</v>
      </c>
      <c r="E1128" s="1" t="str">
        <f>"پروژه تعميرات نيروگاه بوشهر"</f>
        <v>پروژه تعميرات نيروگاه بوشهر</v>
      </c>
      <c r="F1128" s="1">
        <v>7847622</v>
      </c>
      <c r="G1128" s="1">
        <v>3109009</v>
      </c>
      <c r="H1128" s="1">
        <v>0</v>
      </c>
      <c r="I1128" s="1">
        <v>4708573</v>
      </c>
      <c r="J1128" s="1">
        <v>0</v>
      </c>
      <c r="K1128" s="1">
        <v>0</v>
      </c>
      <c r="L1128" s="1">
        <v>7462913</v>
      </c>
      <c r="M1128" s="1">
        <v>1000000</v>
      </c>
      <c r="N1128" s="1">
        <v>4185399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5168223</v>
      </c>
      <c r="W1128" s="1">
        <v>1900000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35381739</v>
      </c>
      <c r="AP1128" s="1">
        <v>3590823</v>
      </c>
      <c r="AQ1128" s="1">
        <v>31790916</v>
      </c>
      <c r="AR1128" s="1">
        <v>7076348</v>
      </c>
      <c r="AS1128" s="1">
        <v>1061452</v>
      </c>
      <c r="AT1128" s="1">
        <f t="shared" si="116"/>
        <v>43519539</v>
      </c>
    </row>
    <row r="1129" spans="1:46" x14ac:dyDescent="0.2">
      <c r="A1129" s="1" t="str">
        <f>"01427"</f>
        <v>01427</v>
      </c>
      <c r="B1129" s="1" t="str">
        <f>"ستار"</f>
        <v>ستار</v>
      </c>
      <c r="C1129" s="1" t="str">
        <f>"محمودي"</f>
        <v>محمودي</v>
      </c>
      <c r="D1129" s="1" t="str">
        <f>"قراردادي بهره بردار"</f>
        <v>قراردادي بهره بردار</v>
      </c>
      <c r="E1129" s="1" t="str">
        <f>"پروژه بهره برداري نيروگاه بوشهر"</f>
        <v>پروژه بهره برداري نيروگاه بوشهر</v>
      </c>
      <c r="F1129" s="1">
        <v>13376211</v>
      </c>
      <c r="G1129" s="1">
        <v>5586576</v>
      </c>
      <c r="H1129" s="1">
        <v>0</v>
      </c>
      <c r="I1129" s="1">
        <v>6207752</v>
      </c>
      <c r="J1129" s="1">
        <v>0</v>
      </c>
      <c r="K1129" s="1">
        <v>4125000</v>
      </c>
      <c r="L1129" s="1">
        <v>0</v>
      </c>
      <c r="M1129" s="1">
        <v>1000000</v>
      </c>
      <c r="N1129" s="1">
        <v>1679913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2570447</v>
      </c>
      <c r="W1129" s="1">
        <v>1900000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1199938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3240653</v>
      </c>
      <c r="AM1129" s="1">
        <v>0</v>
      </c>
      <c r="AN1129" s="1">
        <v>0</v>
      </c>
      <c r="AO1129" s="1">
        <v>40886490</v>
      </c>
      <c r="AP1129" s="1">
        <v>5872261</v>
      </c>
      <c r="AQ1129" s="1">
        <v>35014229</v>
      </c>
      <c r="AR1129" s="1">
        <v>8177298</v>
      </c>
      <c r="AS1129" s="1">
        <v>1226595</v>
      </c>
      <c r="AT1129" s="1">
        <f t="shared" si="116"/>
        <v>50290383</v>
      </c>
    </row>
    <row r="1130" spans="1:46" x14ac:dyDescent="0.2">
      <c r="A1130" s="1" t="str">
        <f>"01428"</f>
        <v>01428</v>
      </c>
      <c r="B1130" s="1" t="str">
        <f>"فاطمه"</f>
        <v>فاطمه</v>
      </c>
      <c r="C1130" s="1" t="str">
        <f>"صفري كشكولي"</f>
        <v>صفري كشكولي</v>
      </c>
      <c r="D1130" s="1" t="str">
        <f t="shared" ref="D1130:D1138" si="119">"قراردادي کارگري"</f>
        <v>قراردادي کارگري</v>
      </c>
      <c r="E1130" s="1" t="str">
        <f t="shared" ref="E1130:E1139" si="120">"پروژه تعميرات نيروگاه بوشهر"</f>
        <v>پروژه تعميرات نيروگاه بوشهر</v>
      </c>
      <c r="F1130" s="1">
        <v>10507782</v>
      </c>
      <c r="G1130" s="1">
        <v>5789137</v>
      </c>
      <c r="H1130" s="1">
        <v>0</v>
      </c>
      <c r="I1130" s="1">
        <v>8406226</v>
      </c>
      <c r="J1130" s="1">
        <v>0</v>
      </c>
      <c r="K1130" s="1">
        <v>0</v>
      </c>
      <c r="L1130" s="1">
        <v>6935913</v>
      </c>
      <c r="M1130" s="1">
        <v>1000000</v>
      </c>
      <c r="N1130" s="1">
        <v>6304670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3515125</v>
      </c>
      <c r="W1130" s="1">
        <v>1900000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44358853</v>
      </c>
      <c r="AP1130" s="1">
        <v>6034657</v>
      </c>
      <c r="AQ1130" s="1">
        <v>38324196</v>
      </c>
      <c r="AR1130" s="1">
        <v>8871771</v>
      </c>
      <c r="AS1130" s="1">
        <v>1330766</v>
      </c>
      <c r="AT1130" s="1">
        <f t="shared" si="116"/>
        <v>54561390</v>
      </c>
    </row>
    <row r="1131" spans="1:46" x14ac:dyDescent="0.2">
      <c r="A1131" s="1" t="str">
        <f>"01429"</f>
        <v>01429</v>
      </c>
      <c r="B1131" s="1" t="str">
        <f>"پدرام"</f>
        <v>پدرام</v>
      </c>
      <c r="C1131" s="1" t="str">
        <f>"بناوي"</f>
        <v>بناوي</v>
      </c>
      <c r="D1131" s="1" t="str">
        <f t="shared" si="119"/>
        <v>قراردادي کارگري</v>
      </c>
      <c r="E1131" s="1" t="str">
        <f t="shared" si="120"/>
        <v>پروژه تعميرات نيروگاه بوشهر</v>
      </c>
      <c r="F1131" s="1">
        <v>5315147</v>
      </c>
      <c r="G1131" s="1">
        <v>0</v>
      </c>
      <c r="H1131" s="1">
        <v>0</v>
      </c>
      <c r="I1131" s="1">
        <v>3189088</v>
      </c>
      <c r="J1131" s="1">
        <v>0</v>
      </c>
      <c r="K1131" s="1">
        <v>0</v>
      </c>
      <c r="L1131" s="1">
        <v>6016887</v>
      </c>
      <c r="M1131" s="1">
        <v>1000000</v>
      </c>
      <c r="N1131" s="1">
        <v>2834745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2035253</v>
      </c>
      <c r="W1131" s="1">
        <v>1900000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0</v>
      </c>
      <c r="AO1131" s="1">
        <v>22291120</v>
      </c>
      <c r="AP1131" s="1">
        <v>2580942</v>
      </c>
      <c r="AQ1131" s="1">
        <v>19710178</v>
      </c>
      <c r="AR1131" s="1">
        <v>4458224</v>
      </c>
      <c r="AS1131" s="1">
        <v>668734</v>
      </c>
      <c r="AT1131" s="1">
        <f t="shared" si="116"/>
        <v>27418078</v>
      </c>
    </row>
    <row r="1132" spans="1:46" x14ac:dyDescent="0.2">
      <c r="A1132" s="1" t="str">
        <f>"01430"</f>
        <v>01430</v>
      </c>
      <c r="B1132" s="1" t="str">
        <f>"وحيد"</f>
        <v>وحيد</v>
      </c>
      <c r="C1132" s="1" t="str">
        <f>"تقي پور"</f>
        <v>تقي پور</v>
      </c>
      <c r="D1132" s="1" t="str">
        <f t="shared" si="119"/>
        <v>قراردادي کارگري</v>
      </c>
      <c r="E1132" s="1" t="str">
        <f t="shared" si="120"/>
        <v>پروژه تعميرات نيروگاه بوشهر</v>
      </c>
      <c r="F1132" s="1">
        <v>5797233</v>
      </c>
      <c r="G1132" s="1">
        <v>0</v>
      </c>
      <c r="H1132" s="1">
        <v>0</v>
      </c>
      <c r="I1132" s="1">
        <v>3478340</v>
      </c>
      <c r="J1132" s="1">
        <v>0</v>
      </c>
      <c r="K1132" s="1">
        <v>0</v>
      </c>
      <c r="L1132" s="1">
        <v>6016887</v>
      </c>
      <c r="M1132" s="1">
        <v>1000000</v>
      </c>
      <c r="N1132" s="1">
        <v>3091858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2138098</v>
      </c>
      <c r="W1132" s="1">
        <v>1900000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1516881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24939297</v>
      </c>
      <c r="AP1132" s="1">
        <v>1679569</v>
      </c>
      <c r="AQ1132" s="1">
        <v>23259728</v>
      </c>
      <c r="AR1132" s="1">
        <v>4684483</v>
      </c>
      <c r="AS1132" s="1">
        <v>702672</v>
      </c>
      <c r="AT1132" s="1">
        <f t="shared" si="116"/>
        <v>30326452</v>
      </c>
    </row>
    <row r="1133" spans="1:46" x14ac:dyDescent="0.2">
      <c r="A1133" s="1" t="str">
        <f>"01431"</f>
        <v>01431</v>
      </c>
      <c r="B1133" s="1" t="str">
        <f>"حسين"</f>
        <v>حسين</v>
      </c>
      <c r="C1133" s="1" t="str">
        <f>"رئيسي پور"</f>
        <v>رئيسي پور</v>
      </c>
      <c r="D1133" s="1" t="str">
        <f t="shared" si="119"/>
        <v>قراردادي کارگري</v>
      </c>
      <c r="E1133" s="1" t="str">
        <f t="shared" si="120"/>
        <v>پروژه تعميرات نيروگاه بوشهر</v>
      </c>
      <c r="F1133" s="1">
        <v>5418887</v>
      </c>
      <c r="G1133" s="1">
        <v>0</v>
      </c>
      <c r="H1133" s="1">
        <v>0</v>
      </c>
      <c r="I1133" s="1">
        <v>3251332</v>
      </c>
      <c r="J1133" s="1">
        <v>0</v>
      </c>
      <c r="K1133" s="1">
        <v>0</v>
      </c>
      <c r="L1133" s="1">
        <v>6016887</v>
      </c>
      <c r="M1133" s="1">
        <v>1000000</v>
      </c>
      <c r="N1133" s="1">
        <v>2890073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2057384</v>
      </c>
      <c r="W1133" s="1">
        <v>1900000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1516881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24051444</v>
      </c>
      <c r="AP1133" s="1">
        <v>1617419</v>
      </c>
      <c r="AQ1133" s="1">
        <v>22434025</v>
      </c>
      <c r="AR1133" s="1">
        <v>4506913</v>
      </c>
      <c r="AS1133" s="1">
        <v>676037</v>
      </c>
      <c r="AT1133" s="1">
        <f t="shared" si="116"/>
        <v>29234394</v>
      </c>
    </row>
    <row r="1134" spans="1:46" x14ac:dyDescent="0.2">
      <c r="A1134" s="1" t="str">
        <f>"01432"</f>
        <v>01432</v>
      </c>
      <c r="B1134" s="1" t="str">
        <f>"يوسف"</f>
        <v>يوسف</v>
      </c>
      <c r="C1134" s="1" t="str">
        <f>"زنگنه"</f>
        <v>زنگنه</v>
      </c>
      <c r="D1134" s="1" t="str">
        <f t="shared" si="119"/>
        <v>قراردادي کارگري</v>
      </c>
      <c r="E1134" s="1" t="str">
        <f t="shared" si="120"/>
        <v>پروژه تعميرات نيروگاه بوشهر</v>
      </c>
      <c r="F1134" s="1">
        <v>6358649</v>
      </c>
      <c r="G1134" s="1">
        <v>0</v>
      </c>
      <c r="H1134" s="1">
        <v>0</v>
      </c>
      <c r="I1134" s="1">
        <v>3815190</v>
      </c>
      <c r="J1134" s="1">
        <v>0</v>
      </c>
      <c r="K1134" s="1">
        <v>0</v>
      </c>
      <c r="L1134" s="1">
        <v>6016887</v>
      </c>
      <c r="M1134" s="1">
        <v>1000000</v>
      </c>
      <c r="N1134" s="1">
        <v>3391278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2257867</v>
      </c>
      <c r="W1134" s="1">
        <v>1900000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1516881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0</v>
      </c>
      <c r="AO1134" s="1">
        <v>26256752</v>
      </c>
      <c r="AP1134" s="1">
        <v>2752355</v>
      </c>
      <c r="AQ1134" s="1">
        <v>23504397</v>
      </c>
      <c r="AR1134" s="1">
        <v>4947974</v>
      </c>
      <c r="AS1134" s="1">
        <v>742196</v>
      </c>
      <c r="AT1134" s="1">
        <f t="shared" si="116"/>
        <v>31946922</v>
      </c>
    </row>
    <row r="1135" spans="1:46" x14ac:dyDescent="0.2">
      <c r="A1135" s="1" t="str">
        <f>"01433"</f>
        <v>01433</v>
      </c>
      <c r="B1135" s="1" t="str">
        <f>"امير رضا"</f>
        <v>امير رضا</v>
      </c>
      <c r="C1135" s="1" t="str">
        <f>"عطايي"</f>
        <v>عطايي</v>
      </c>
      <c r="D1135" s="1" t="str">
        <f t="shared" si="119"/>
        <v>قراردادي کارگري</v>
      </c>
      <c r="E1135" s="1" t="str">
        <f t="shared" si="120"/>
        <v>پروژه تعميرات نيروگاه بوشهر</v>
      </c>
      <c r="F1135" s="1">
        <v>5235816</v>
      </c>
      <c r="G1135" s="1">
        <v>0</v>
      </c>
      <c r="H1135" s="1">
        <v>0</v>
      </c>
      <c r="I1135" s="1">
        <v>3141489</v>
      </c>
      <c r="J1135" s="1">
        <v>0</v>
      </c>
      <c r="K1135" s="1">
        <v>0</v>
      </c>
      <c r="L1135" s="1">
        <v>6016887</v>
      </c>
      <c r="M1135" s="1">
        <v>1000000</v>
      </c>
      <c r="N1135" s="1">
        <v>2792435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2018329</v>
      </c>
      <c r="W1135" s="1">
        <v>1900000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22104956</v>
      </c>
      <c r="AP1135" s="1">
        <v>1587347</v>
      </c>
      <c r="AQ1135" s="1">
        <v>20517609</v>
      </c>
      <c r="AR1135" s="1">
        <v>4420991</v>
      </c>
      <c r="AS1135" s="1">
        <v>663149</v>
      </c>
      <c r="AT1135" s="1">
        <f t="shared" si="116"/>
        <v>27189096</v>
      </c>
    </row>
    <row r="1136" spans="1:46" x14ac:dyDescent="0.2">
      <c r="A1136" s="1" t="str">
        <f>"01434"</f>
        <v>01434</v>
      </c>
      <c r="B1136" s="1" t="str">
        <f>"مجتبي"</f>
        <v>مجتبي</v>
      </c>
      <c r="C1136" s="1" t="str">
        <f>"محمدي نژاد"</f>
        <v>محمدي نژاد</v>
      </c>
      <c r="D1136" s="1" t="str">
        <f t="shared" si="119"/>
        <v>قراردادي کارگري</v>
      </c>
      <c r="E1136" s="1" t="str">
        <f t="shared" si="120"/>
        <v>پروژه تعميرات نيروگاه بوشهر</v>
      </c>
      <c r="F1136" s="1">
        <v>5376170</v>
      </c>
      <c r="G1136" s="1">
        <v>7443522</v>
      </c>
      <c r="H1136" s="1">
        <v>0</v>
      </c>
      <c r="I1136" s="1">
        <v>3225702</v>
      </c>
      <c r="J1136" s="1">
        <v>0</v>
      </c>
      <c r="K1136" s="1">
        <v>0</v>
      </c>
      <c r="L1136" s="1">
        <v>6016887</v>
      </c>
      <c r="M1136" s="1">
        <v>1000000</v>
      </c>
      <c r="N1136" s="1">
        <v>2867291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2048271</v>
      </c>
      <c r="W1136" s="1">
        <v>1900000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>
        <v>29877843</v>
      </c>
      <c r="AP1136" s="1">
        <v>3112013</v>
      </c>
      <c r="AQ1136" s="1">
        <v>26765830</v>
      </c>
      <c r="AR1136" s="1">
        <v>5975569</v>
      </c>
      <c r="AS1136" s="1">
        <v>896335</v>
      </c>
      <c r="AT1136" s="1">
        <f t="shared" si="116"/>
        <v>36749747</v>
      </c>
    </row>
    <row r="1137" spans="1:46" x14ac:dyDescent="0.2">
      <c r="A1137" s="1" t="str">
        <f>"01435"</f>
        <v>01435</v>
      </c>
      <c r="B1137" s="1" t="str">
        <f>"عادل"</f>
        <v>عادل</v>
      </c>
      <c r="C1137" s="1" t="str">
        <f>"بازدارنيا"</f>
        <v>بازدارنيا</v>
      </c>
      <c r="D1137" s="1" t="str">
        <f t="shared" si="119"/>
        <v>قراردادي کارگري</v>
      </c>
      <c r="E1137" s="1" t="str">
        <f t="shared" si="120"/>
        <v>پروژه تعميرات نيروگاه بوشهر</v>
      </c>
      <c r="F1137" s="1">
        <v>5315147</v>
      </c>
      <c r="G1137" s="1">
        <v>2873483</v>
      </c>
      <c r="H1137" s="1">
        <v>0</v>
      </c>
      <c r="I1137" s="1">
        <v>3189088</v>
      </c>
      <c r="J1137" s="1">
        <v>0</v>
      </c>
      <c r="K1137" s="1">
        <v>0</v>
      </c>
      <c r="L1137" s="1">
        <v>6016887</v>
      </c>
      <c r="M1137" s="1">
        <v>1000000</v>
      </c>
      <c r="N1137" s="1">
        <v>2834745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2035253</v>
      </c>
      <c r="W1137" s="1">
        <v>1900000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25164603</v>
      </c>
      <c r="AP1137" s="1">
        <v>2998086</v>
      </c>
      <c r="AQ1137" s="1">
        <v>22166517</v>
      </c>
      <c r="AR1137" s="1">
        <v>5032921</v>
      </c>
      <c r="AS1137" s="1">
        <v>754938</v>
      </c>
      <c r="AT1137" s="1">
        <f t="shared" si="116"/>
        <v>30952462</v>
      </c>
    </row>
    <row r="1138" spans="1:46" x14ac:dyDescent="0.2">
      <c r="A1138" s="1" t="str">
        <f>"01436"</f>
        <v>01436</v>
      </c>
      <c r="B1138" s="1" t="str">
        <f>"محمدصادق"</f>
        <v>محمدصادق</v>
      </c>
      <c r="C1138" s="1" t="str">
        <f>"جعفري"</f>
        <v>جعفري</v>
      </c>
      <c r="D1138" s="1" t="str">
        <f t="shared" si="119"/>
        <v>قراردادي کارگري</v>
      </c>
      <c r="E1138" s="1" t="str">
        <f t="shared" si="120"/>
        <v>پروژه تعميرات نيروگاه بوشهر</v>
      </c>
      <c r="F1138" s="1">
        <v>5241919</v>
      </c>
      <c r="G1138" s="1">
        <v>4068597</v>
      </c>
      <c r="H1138" s="1">
        <v>0</v>
      </c>
      <c r="I1138" s="1">
        <v>3145152</v>
      </c>
      <c r="J1138" s="1">
        <v>0</v>
      </c>
      <c r="K1138" s="1">
        <v>0</v>
      </c>
      <c r="L1138" s="1">
        <v>6016887</v>
      </c>
      <c r="M1138" s="1">
        <v>1000000</v>
      </c>
      <c r="N1138" s="1">
        <v>2795690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2019631</v>
      </c>
      <c r="W1138" s="1">
        <v>1900000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0</v>
      </c>
      <c r="AO1138" s="1">
        <v>26187876</v>
      </c>
      <c r="AP1138" s="1">
        <v>2853715</v>
      </c>
      <c r="AQ1138" s="1">
        <v>23334161</v>
      </c>
      <c r="AR1138" s="1">
        <v>5237575</v>
      </c>
      <c r="AS1138" s="1">
        <v>785636</v>
      </c>
      <c r="AT1138" s="1">
        <f t="shared" si="116"/>
        <v>32211087</v>
      </c>
    </row>
    <row r="1139" spans="1:46" x14ac:dyDescent="0.2">
      <c r="A1139" s="1" t="str">
        <f>"01437"</f>
        <v>01437</v>
      </c>
      <c r="B1139" s="1" t="str">
        <f>"مصطفي"</f>
        <v>مصطفي</v>
      </c>
      <c r="C1139" s="1" t="str">
        <f>"نريماني"</f>
        <v>نريماني</v>
      </c>
      <c r="D1139" s="1" t="str">
        <f>"قراردادي بهره بردار"</f>
        <v>قراردادي بهره بردار</v>
      </c>
      <c r="E1139" s="1" t="str">
        <f t="shared" si="120"/>
        <v>پروژه تعميرات نيروگاه بوشهر</v>
      </c>
      <c r="F1139" s="1">
        <v>12848260</v>
      </c>
      <c r="G1139" s="1">
        <v>3842152</v>
      </c>
      <c r="H1139" s="1">
        <v>0</v>
      </c>
      <c r="I1139" s="1">
        <v>7657024</v>
      </c>
      <c r="J1139" s="1">
        <v>0</v>
      </c>
      <c r="K1139" s="1">
        <v>4125000</v>
      </c>
      <c r="L1139" s="1">
        <v>0</v>
      </c>
      <c r="M1139" s="1">
        <v>1000000</v>
      </c>
      <c r="N1139" s="1">
        <v>1495130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2605205</v>
      </c>
      <c r="W1139" s="1">
        <v>1900000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1067950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2983688</v>
      </c>
      <c r="AM1139" s="1">
        <v>0</v>
      </c>
      <c r="AN1139" s="1">
        <v>0</v>
      </c>
      <c r="AO1139" s="1">
        <v>39524409</v>
      </c>
      <c r="AP1139" s="1">
        <v>8270791</v>
      </c>
      <c r="AQ1139" s="1">
        <v>31253618</v>
      </c>
      <c r="AR1139" s="1">
        <v>7904882</v>
      </c>
      <c r="AS1139" s="1">
        <v>1185732</v>
      </c>
      <c r="AT1139" s="1">
        <f t="shared" si="116"/>
        <v>48615023</v>
      </c>
    </row>
    <row r="1140" spans="1:46" x14ac:dyDescent="0.2">
      <c r="A1140" s="1" t="str">
        <f>"01438"</f>
        <v>01438</v>
      </c>
      <c r="B1140" s="1" t="str">
        <f>"عادل"</f>
        <v>عادل</v>
      </c>
      <c r="C1140" s="1" t="str">
        <f>"شامي"</f>
        <v>شامي</v>
      </c>
      <c r="D1140" s="1" t="str">
        <f>"قراردادي بهره بردار"</f>
        <v>قراردادي بهره بردار</v>
      </c>
      <c r="E1140" s="1" t="str">
        <f>"پروژه دفتر مركزي"</f>
        <v>پروژه دفتر مركزي</v>
      </c>
      <c r="F1140" s="1">
        <v>27190555</v>
      </c>
      <c r="G1140" s="1">
        <v>19284081</v>
      </c>
      <c r="H1140" s="1">
        <v>0</v>
      </c>
      <c r="I1140" s="1">
        <v>21664703</v>
      </c>
      <c r="J1140" s="1">
        <v>0</v>
      </c>
      <c r="K1140" s="1">
        <v>0</v>
      </c>
      <c r="L1140" s="1">
        <v>0</v>
      </c>
      <c r="M1140" s="1">
        <v>1000000</v>
      </c>
      <c r="N1140" s="1">
        <v>0</v>
      </c>
      <c r="O1140" s="1">
        <v>0</v>
      </c>
      <c r="P1140" s="1">
        <v>1390000</v>
      </c>
      <c r="Q1140" s="1">
        <v>0</v>
      </c>
      <c r="R1140" s="1">
        <v>0</v>
      </c>
      <c r="S1140" s="1">
        <v>0</v>
      </c>
      <c r="T1140" s="1">
        <v>2280000</v>
      </c>
      <c r="U1140" s="1">
        <v>0</v>
      </c>
      <c r="V1140" s="1">
        <v>5777653</v>
      </c>
      <c r="W1140" s="1">
        <v>1900000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3877480</v>
      </c>
      <c r="AD1140" s="1">
        <v>0</v>
      </c>
      <c r="AE1140" s="1">
        <v>0</v>
      </c>
      <c r="AF1140" s="1">
        <v>1516881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5043791</v>
      </c>
      <c r="AM1140" s="1">
        <v>0</v>
      </c>
      <c r="AN1140" s="1">
        <v>0</v>
      </c>
      <c r="AO1140" s="1">
        <v>90925144</v>
      </c>
      <c r="AP1140" s="1">
        <v>16882687</v>
      </c>
      <c r="AQ1140" s="1">
        <v>74042457</v>
      </c>
      <c r="AR1140" s="1">
        <v>17425653</v>
      </c>
      <c r="AS1140" s="1">
        <v>2613848</v>
      </c>
      <c r="AT1140" s="1">
        <f t="shared" si="116"/>
        <v>110964645</v>
      </c>
    </row>
    <row r="1141" spans="1:46" x14ac:dyDescent="0.2">
      <c r="A1141" s="1" t="str">
        <f>"01439"</f>
        <v>01439</v>
      </c>
      <c r="B1141" s="1" t="str">
        <f>"امين"</f>
        <v>امين</v>
      </c>
      <c r="C1141" s="1" t="str">
        <f>"کشاورزي"</f>
        <v>کشاورزي</v>
      </c>
      <c r="D1141" s="1" t="str">
        <f>"قراردادي بهره بردار"</f>
        <v>قراردادي بهره بردار</v>
      </c>
      <c r="E1141" s="1" t="str">
        <f>"پروژه بهره برداري نيروگاه بوشهر"</f>
        <v>پروژه بهره برداري نيروگاه بوشهر</v>
      </c>
      <c r="F1141" s="1">
        <v>15168820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967742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0</v>
      </c>
      <c r="W1141" s="1">
        <v>1838710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0</v>
      </c>
      <c r="AO1141" s="1">
        <v>17975272</v>
      </c>
      <c r="AP1141" s="1">
        <v>1302269</v>
      </c>
      <c r="AQ1141" s="1">
        <v>16673003</v>
      </c>
      <c r="AR1141" s="1">
        <v>3595054</v>
      </c>
      <c r="AS1141" s="1">
        <v>539258</v>
      </c>
      <c r="AT1141" s="1">
        <f t="shared" si="116"/>
        <v>22109584</v>
      </c>
    </row>
    <row r="1142" spans="1:46" x14ac:dyDescent="0.2">
      <c r="A1142" s="1" t="str">
        <f>"01440"</f>
        <v>01440</v>
      </c>
      <c r="B1142" s="1" t="str">
        <f>"ميثم"</f>
        <v>ميثم</v>
      </c>
      <c r="C1142" s="1" t="str">
        <f>"مظفري زاده"</f>
        <v>مظفري زاده</v>
      </c>
      <c r="D1142" s="1" t="str">
        <f>"قراردادي بهره بردار"</f>
        <v>قراردادي بهره بردار</v>
      </c>
      <c r="E1142" s="1" t="str">
        <f>"پروژه بهره برداري نيروگاه بوشهر"</f>
        <v>پروژه بهره برداري نيروگاه بوشهر</v>
      </c>
      <c r="F1142" s="1">
        <v>8090037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0</v>
      </c>
      <c r="M1142" s="1">
        <v>516129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980645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0</v>
      </c>
      <c r="AO1142" s="1">
        <v>9586811</v>
      </c>
      <c r="AP1142" s="1">
        <v>715077</v>
      </c>
      <c r="AQ1142" s="1">
        <v>8871734</v>
      </c>
      <c r="AR1142" s="1">
        <v>1917362</v>
      </c>
      <c r="AS1142" s="1">
        <v>287604</v>
      </c>
      <c r="AT1142" s="1">
        <f t="shared" si="116"/>
        <v>11791777</v>
      </c>
    </row>
    <row r="1143" spans="1:46" x14ac:dyDescent="0.2">
      <c r="AT1143" s="1">
        <f>SUM(AT2:AT1142)</f>
        <v>90717252793</v>
      </c>
    </row>
  </sheetData>
  <sortState ref="A2:BC1142">
    <sortCondition ref="A2:A1142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9806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2019-10-05T08:12:41Z</dcterms:created>
  <dcterms:modified xsi:type="dcterms:W3CDTF">2019-10-12T12:48:25Z</dcterms:modified>
</cp:coreProperties>
</file>