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.tazari\Desktop\صورت وضعیت سال 95\تولید توسعه دارخوین\آبان دارخوین\"/>
    </mc:Choice>
  </mc:AlternateContent>
  <bookViews>
    <workbookView xWindow="0" yWindow="0" windowWidth="20400" windowHeight="9000" tabRatio="776" activeTab="3"/>
  </bookViews>
  <sheets>
    <sheet name="رفاهی " sheetId="4" r:id="rId1"/>
    <sheet name="توليد توسعه دارخوين آبان " sheetId="1" r:id="rId2"/>
    <sheet name="عیدی و سنوات " sheetId="2" r:id="rId3"/>
    <sheet name="جدول " sheetId="3" r:id="rId4"/>
  </sheets>
  <definedNames>
    <definedName name="_xlnm.Print_Area" localSheetId="3">'جدول '!$B$1:$J$15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I5" i="3"/>
  <c r="G29" i="4"/>
  <c r="E3" i="2" l="1"/>
  <c r="F3" i="2"/>
  <c r="D3" i="2" s="1"/>
  <c r="F4" i="2"/>
  <c r="E4" i="2" s="1"/>
  <c r="E5" i="2"/>
  <c r="F5" i="2"/>
  <c r="D5" i="2" s="1"/>
  <c r="F6" i="2"/>
  <c r="E6" i="2" s="1"/>
  <c r="E7" i="2"/>
  <c r="F7" i="2"/>
  <c r="D7" i="2" s="1"/>
  <c r="F8" i="2"/>
  <c r="E8" i="2" s="1"/>
  <c r="E9" i="2"/>
  <c r="F9" i="2"/>
  <c r="D9" i="2" s="1"/>
  <c r="F10" i="2"/>
  <c r="E10" i="2" s="1"/>
  <c r="E11" i="2"/>
  <c r="F11" i="2"/>
  <c r="D11" i="2" s="1"/>
  <c r="F12" i="2"/>
  <c r="E12" i="2" s="1"/>
  <c r="E13" i="2"/>
  <c r="F13" i="2"/>
  <c r="D13" i="2" s="1"/>
  <c r="F14" i="2"/>
  <c r="E14" i="2" s="1"/>
  <c r="E15" i="2"/>
  <c r="F15" i="2"/>
  <c r="D15" i="2" s="1"/>
  <c r="F16" i="2"/>
  <c r="E16" i="2" s="1"/>
  <c r="E17" i="2"/>
  <c r="F17" i="2"/>
  <c r="D17" i="2" s="1"/>
  <c r="F18" i="2"/>
  <c r="E18" i="2" s="1"/>
  <c r="E19" i="2"/>
  <c r="F19" i="2"/>
  <c r="D19" i="2" s="1"/>
  <c r="F20" i="2"/>
  <c r="E20" i="2" s="1"/>
  <c r="E21" i="2"/>
  <c r="F21" i="2"/>
  <c r="D21" i="2" s="1"/>
  <c r="F22" i="2"/>
  <c r="E22" i="2" s="1"/>
  <c r="E23" i="2"/>
  <c r="F23" i="2"/>
  <c r="D23" i="2" s="1"/>
  <c r="F24" i="2"/>
  <c r="E24" i="2" s="1"/>
  <c r="E25" i="2"/>
  <c r="F25" i="2"/>
  <c r="D25" i="2" s="1"/>
  <c r="F26" i="2"/>
  <c r="E26" i="2" s="1"/>
  <c r="E27" i="2"/>
  <c r="F27" i="2"/>
  <c r="D27" i="2" s="1"/>
  <c r="D2" i="2"/>
  <c r="D28" i="2" s="1"/>
  <c r="H5" i="3" s="1"/>
  <c r="E2" i="2"/>
  <c r="E28" i="2" s="1"/>
  <c r="G5" i="3" s="1"/>
  <c r="G28" i="2"/>
  <c r="H28" i="2"/>
  <c r="I28" i="2"/>
  <c r="J28" i="2"/>
  <c r="K28" i="2"/>
  <c r="L28" i="2"/>
  <c r="M28" i="2"/>
  <c r="N28" i="2"/>
  <c r="D26" i="2" l="1"/>
  <c r="D24" i="2"/>
  <c r="D22" i="2"/>
  <c r="D20" i="2"/>
  <c r="D18" i="2"/>
  <c r="D16" i="2"/>
  <c r="D14" i="2"/>
  <c r="D12" i="2"/>
  <c r="D10" i="2"/>
  <c r="D8" i="2"/>
  <c r="D6" i="2"/>
  <c r="D4" i="2"/>
  <c r="BH28" i="1"/>
  <c r="BG28" i="1"/>
  <c r="BF28" i="1"/>
  <c r="BE28" i="1"/>
  <c r="BD28" i="1"/>
  <c r="BC28" i="1"/>
  <c r="BB28" i="1"/>
  <c r="BA28" i="1"/>
  <c r="AZ28" i="1"/>
  <c r="AY28" i="1"/>
  <c r="AU28" i="1"/>
  <c r="AT28" i="1"/>
  <c r="E5" i="3" s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X27" i="1"/>
  <c r="AW27" i="1"/>
  <c r="AV27" i="1"/>
  <c r="D27" i="1"/>
  <c r="C27" i="1"/>
  <c r="B27" i="1"/>
  <c r="AX26" i="1"/>
  <c r="AW26" i="1"/>
  <c r="AV26" i="1"/>
  <c r="D26" i="1"/>
  <c r="C26" i="1"/>
  <c r="B26" i="1"/>
  <c r="AX25" i="1"/>
  <c r="AW25" i="1"/>
  <c r="AV25" i="1"/>
  <c r="D25" i="1"/>
  <c r="C25" i="1"/>
  <c r="B25" i="1"/>
  <c r="AX24" i="1"/>
  <c r="AW24" i="1"/>
  <c r="AV24" i="1"/>
  <c r="D24" i="1"/>
  <c r="C24" i="1"/>
  <c r="B24" i="1"/>
  <c r="AX23" i="1"/>
  <c r="AW23" i="1"/>
  <c r="AV23" i="1"/>
  <c r="D23" i="1"/>
  <c r="C23" i="1"/>
  <c r="B23" i="1"/>
  <c r="AX22" i="1"/>
  <c r="AW22" i="1"/>
  <c r="AV22" i="1"/>
  <c r="D22" i="1"/>
  <c r="C22" i="1"/>
  <c r="B22" i="1"/>
  <c r="AX21" i="1"/>
  <c r="AW21" i="1"/>
  <c r="AV21" i="1"/>
  <c r="D21" i="1"/>
  <c r="C21" i="1"/>
  <c r="B21" i="1"/>
  <c r="AX20" i="1"/>
  <c r="AW20" i="1"/>
  <c r="AV20" i="1"/>
  <c r="D20" i="1"/>
  <c r="C20" i="1"/>
  <c r="B20" i="1"/>
  <c r="AX19" i="1"/>
  <c r="AW19" i="1"/>
  <c r="AV19" i="1"/>
  <c r="D19" i="1"/>
  <c r="C19" i="1"/>
  <c r="B19" i="1"/>
  <c r="AX18" i="1"/>
  <c r="AW18" i="1"/>
  <c r="AV18" i="1"/>
  <c r="D18" i="1"/>
  <c r="C18" i="1"/>
  <c r="B18" i="1"/>
  <c r="AX17" i="1"/>
  <c r="AW17" i="1"/>
  <c r="AV17" i="1"/>
  <c r="D17" i="1"/>
  <c r="C17" i="1"/>
  <c r="B17" i="1"/>
  <c r="AX16" i="1"/>
  <c r="AW16" i="1"/>
  <c r="AV16" i="1"/>
  <c r="D16" i="1"/>
  <c r="C16" i="1"/>
  <c r="B16" i="1"/>
  <c r="AX15" i="1"/>
  <c r="AW15" i="1"/>
  <c r="AV15" i="1"/>
  <c r="D15" i="1"/>
  <c r="C15" i="1"/>
  <c r="B15" i="1"/>
  <c r="AX14" i="1"/>
  <c r="AW14" i="1"/>
  <c r="AV14" i="1"/>
  <c r="D14" i="1"/>
  <c r="C14" i="1"/>
  <c r="B14" i="1"/>
  <c r="AX13" i="1"/>
  <c r="AW13" i="1"/>
  <c r="AV13" i="1"/>
  <c r="D13" i="1"/>
  <c r="C13" i="1"/>
  <c r="B13" i="1"/>
  <c r="AX12" i="1"/>
  <c r="AW12" i="1"/>
  <c r="AV12" i="1"/>
  <c r="D12" i="1"/>
  <c r="C12" i="1"/>
  <c r="B12" i="1"/>
  <c r="AX11" i="1"/>
  <c r="AW11" i="1"/>
  <c r="AV11" i="1"/>
  <c r="D11" i="1"/>
  <c r="C11" i="1"/>
  <c r="B11" i="1"/>
  <c r="AX10" i="1"/>
  <c r="AW10" i="1"/>
  <c r="AV10" i="1"/>
  <c r="D10" i="1"/>
  <c r="C10" i="1"/>
  <c r="B10" i="1"/>
  <c r="AX9" i="1"/>
  <c r="AW9" i="1"/>
  <c r="AV9" i="1"/>
  <c r="D9" i="1"/>
  <c r="C9" i="1"/>
  <c r="B9" i="1"/>
  <c r="AX8" i="1"/>
  <c r="AW8" i="1"/>
  <c r="AV8" i="1"/>
  <c r="D8" i="1"/>
  <c r="C8" i="1"/>
  <c r="B8" i="1"/>
  <c r="AX7" i="1"/>
  <c r="AW7" i="1"/>
  <c r="AV7" i="1"/>
  <c r="D7" i="1"/>
  <c r="C7" i="1"/>
  <c r="B7" i="1"/>
  <c r="AX6" i="1"/>
  <c r="AW6" i="1"/>
  <c r="AV6" i="1"/>
  <c r="D6" i="1"/>
  <c r="C6" i="1"/>
  <c r="B6" i="1"/>
  <c r="AX5" i="1"/>
  <c r="AW5" i="1"/>
  <c r="AV5" i="1"/>
  <c r="D5" i="1"/>
  <c r="C5" i="1"/>
  <c r="B5" i="1"/>
  <c r="AX4" i="1"/>
  <c r="AW4" i="1"/>
  <c r="AV4" i="1"/>
  <c r="D4" i="1"/>
  <c r="C4" i="1"/>
  <c r="B4" i="1"/>
  <c r="AX3" i="1"/>
  <c r="AW3" i="1"/>
  <c r="AV3" i="1"/>
  <c r="D3" i="1"/>
  <c r="C3" i="1"/>
  <c r="B3" i="1"/>
  <c r="AX2" i="1"/>
  <c r="AX28" i="1" s="1"/>
  <c r="AW2" i="1"/>
  <c r="AW28" i="1" s="1"/>
  <c r="AV2" i="1"/>
  <c r="AV28" i="1" s="1"/>
  <c r="D2" i="1"/>
  <c r="C2" i="1"/>
  <c r="B2" i="1"/>
  <c r="F5" i="3" l="1"/>
  <c r="J5" i="3" s="1"/>
  <c r="I6" i="3"/>
  <c r="E6" i="3"/>
  <c r="F6" i="3" l="1"/>
  <c r="H6" i="3"/>
  <c r="J6" i="3" l="1"/>
  <c r="J7" i="3" s="1"/>
  <c r="J8" i="3" s="1"/>
  <c r="J9" i="3" s="1"/>
  <c r="G6" i="3"/>
</calcChain>
</file>

<file path=xl/sharedStrings.xml><?xml version="1.0" encoding="utf-8"?>
<sst xmlns="http://schemas.openxmlformats.org/spreadsheetml/2006/main" count="255" uniqueCount="141">
  <si>
    <t>كد پرسنلي</t>
  </si>
  <si>
    <t>نام و نام خانوادگي</t>
  </si>
  <si>
    <t>مركز هزينه</t>
  </si>
  <si>
    <t>كاركرد اضافه كاري</t>
  </si>
  <si>
    <t>كاركرد عادي</t>
  </si>
  <si>
    <t>اضافه كاري</t>
  </si>
  <si>
    <t>حق اولأد</t>
  </si>
  <si>
    <t>حق مسكن</t>
  </si>
  <si>
    <t>بن کارگري</t>
  </si>
  <si>
    <t>حق ناهار</t>
  </si>
  <si>
    <t>اياب وذهاب</t>
  </si>
  <si>
    <t>تفاوت تطبيق</t>
  </si>
  <si>
    <t>مزد شغل</t>
  </si>
  <si>
    <t>مزد رتبه</t>
  </si>
  <si>
    <t>مزد سنوات</t>
  </si>
  <si>
    <t>مزد پست</t>
  </si>
  <si>
    <t>بيمه تامين اجتماعي - سهم كارمند</t>
  </si>
  <si>
    <t>ماليات</t>
  </si>
  <si>
    <t>جمع اقساط وام</t>
  </si>
  <si>
    <t>عضويت رفاه پارسيان</t>
  </si>
  <si>
    <t>بيمه تامين اجتماعي سهم كارفرما</t>
  </si>
  <si>
    <t>بيمه بيكاري</t>
  </si>
  <si>
    <t>کنترل انباشت</t>
  </si>
  <si>
    <t>كاركرد موثر</t>
  </si>
  <si>
    <t>خالص پرداختي</t>
  </si>
  <si>
    <t>جمع حقوق و مزايا</t>
  </si>
  <si>
    <t>جمع كسور</t>
  </si>
  <si>
    <t>گروه مالياتي وزارت دارائي</t>
  </si>
  <si>
    <t>شعبات سازمان تامين اجتماعي</t>
  </si>
  <si>
    <t>شماره بيمهء سازمان تامين اجتماعي</t>
  </si>
  <si>
    <t xml:space="preserve"> مبلغ قسط بيمه درمان البرز شرکت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</si>
  <si>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</si>
  <si>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</si>
  <si>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</si>
  <si>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</si>
  <si>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</si>
  <si>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</si>
  <si>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</si>
  <si>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</si>
  <si>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</si>
  <si>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</si>
  <si>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سنوات </t>
  </si>
  <si>
    <t xml:space="preserve">عیدی و پاداش </t>
  </si>
  <si>
    <t xml:space="preserve">رفاهیات 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</si>
  <si>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</si>
  <si>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</si>
  <si>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</si>
  <si>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</si>
  <si>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</si>
  <si>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</si>
  <si>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>کارکرد بيماري</t>
  </si>
  <si>
    <t>كاركرد ماموريت</t>
  </si>
  <si>
    <t>کارکرد کسرکار</t>
  </si>
  <si>
    <t>ساير كسور</t>
  </si>
  <si>
    <t>بدهي ماه قبل</t>
  </si>
  <si>
    <t>مساعده</t>
  </si>
  <si>
    <t>بدهي سهم غذا</t>
  </si>
  <si>
    <t>کسر کار</t>
  </si>
  <si>
    <t>عضويت صندوق متصا</t>
  </si>
  <si>
    <t>عضويت صندوق کريم اهل بيت</t>
  </si>
  <si>
    <t>عضويت پس انداز سازمان</t>
  </si>
  <si>
    <t>کسور صدورکارت</t>
  </si>
  <si>
    <t>کسور اصلاح حقوق</t>
  </si>
  <si>
    <t>مساعده غيرستادي</t>
  </si>
  <si>
    <t>حق ماموريت</t>
  </si>
  <si>
    <t>حقوق ثابت</t>
  </si>
  <si>
    <t>بدهي ماه جاري</t>
  </si>
  <si>
    <t>پاداش</t>
  </si>
  <si>
    <t>فوق العاده مهد کودک</t>
  </si>
  <si>
    <t>باقيمانده‌ بيمه درمان البرز شرکت</t>
  </si>
  <si>
    <t>مجموع اقساط‌بيمه درمان البرز شرکت</t>
  </si>
  <si>
    <t>مبلغ‌بيمه درمان البرز شرکت</t>
  </si>
  <si>
    <t xml:space="preserve"> مبلغ استقراربيمه درمان البرز شرکت</t>
  </si>
  <si>
    <t xml:space="preserve">آبان </t>
  </si>
  <si>
    <t xml:space="preserve">گزارش صورت وضعیت آبان ماه 95 پرسنل شرکت تولید توسعه انرژی اتمی (دارخوین ) 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</si>
  <si>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</si>
  <si>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</si>
  <si>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</si>
  <si>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</si>
  <si>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</si>
  <si>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مزد پست</t>
  </si>
  <si>
    <t xml:space="preserve"> مبلغ در حكم مزد سنوات</t>
  </si>
  <si>
    <t xml:space="preserve"> مبلغ در حكم تفاوت تطبيق</t>
  </si>
  <si>
    <t>9157041</t>
  </si>
  <si>
    <t>عيد آسماني</t>
  </si>
  <si>
    <t>توليد توسعه - دارخوين</t>
  </si>
  <si>
    <t>9157043</t>
  </si>
  <si>
    <t>عبداله البوبالد</t>
  </si>
  <si>
    <t>9157045</t>
  </si>
  <si>
    <t>شريف آلبوبالدي</t>
  </si>
  <si>
    <t>9157046</t>
  </si>
  <si>
    <t>يعقوب آلبوبالدي</t>
  </si>
  <si>
    <t>9157047</t>
  </si>
  <si>
    <t>محمد البوغبيش</t>
  </si>
  <si>
    <t>9157049</t>
  </si>
  <si>
    <t>عبدالامام بالدي</t>
  </si>
  <si>
    <t>9157050</t>
  </si>
  <si>
    <t>حسين باوي</t>
  </si>
  <si>
    <t>9157053</t>
  </si>
  <si>
    <t>عظيم باوي سويره</t>
  </si>
  <si>
    <t>9157054</t>
  </si>
  <si>
    <t>عارف باوي فرد</t>
  </si>
  <si>
    <t>9157055</t>
  </si>
  <si>
    <t>نجم باوي فرد</t>
  </si>
  <si>
    <t>9157057</t>
  </si>
  <si>
    <t>عباس بدوي</t>
  </si>
  <si>
    <t>9157059</t>
  </si>
  <si>
    <t>رحيم سياحي</t>
  </si>
  <si>
    <t>9157060</t>
  </si>
  <si>
    <t>مرد سياحي</t>
  </si>
  <si>
    <t>9157065</t>
  </si>
  <si>
    <t>رحيم عقباوي</t>
  </si>
  <si>
    <t>9157066</t>
  </si>
  <si>
    <t>جمشيد فرحانيان</t>
  </si>
  <si>
    <t>9157068</t>
  </si>
  <si>
    <t>مجتبي قنواتي زاده</t>
  </si>
  <si>
    <t>9157072</t>
  </si>
  <si>
    <t>محمدامين نادري</t>
  </si>
  <si>
    <t>9157075</t>
  </si>
  <si>
    <t>علي پورحزبه</t>
  </si>
  <si>
    <t>9157077</t>
  </si>
  <si>
    <t>جاسم جامدي باوي</t>
  </si>
  <si>
    <t>9157081</t>
  </si>
  <si>
    <t>فهد چاملي</t>
  </si>
  <si>
    <t>9157089</t>
  </si>
  <si>
    <t>منصور خنفري راد</t>
  </si>
  <si>
    <t>9157090</t>
  </si>
  <si>
    <t>جميل زرگاني</t>
  </si>
  <si>
    <t>9157091</t>
  </si>
  <si>
    <t>علي ساري</t>
  </si>
  <si>
    <t>9157044</t>
  </si>
  <si>
    <t>سعيد ال بوبالدي</t>
  </si>
  <si>
    <t>9157070</t>
  </si>
  <si>
    <t>فاضل مقدم</t>
  </si>
  <si>
    <t>9157058</t>
  </si>
  <si>
    <t>طاهر پورحزبه</t>
  </si>
  <si>
    <t>حکم حقوقی</t>
  </si>
  <si>
    <t xml:space="preserve">عیدی </t>
  </si>
  <si>
    <t>یارانه ورزشی مهر95</t>
  </si>
  <si>
    <t>پرداختی</t>
  </si>
  <si>
    <t>رحمه سياحي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</si>
</sst>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2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FF0000"/>
      <name val="Tahoma"/>
      <family val="2"/>
    </font>
    <font>
      <sz val="12"/>
      <color theme="1"/>
      <name val="B Zar"/>
      <charset val="178"/>
    </font>
    <font>
      <b/>
      <sz val="12"/>
      <color rgb="FFFF0000"/>
      <name val="B Zar"/>
      <charset val="178"/>
    </font>
    <font>
      <b/>
      <sz val="11"/>
      <color theme="1"/>
      <name val="Calibri"/>
      <family val="2"/>
      <charset val="178"/>
      <scheme val="minor"/>
    </font>
    <font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4"/>
      <name val="B Zar"/>
      <charset val="178"/>
    </font>
    <font>
      <sz val="14"/>
      <color theme="1"/>
      <name val="Calibri"/>
      <family val="2"/>
      <charset val="178"/>
      <scheme val="minor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name val="B Zar"/>
      <charset val="178"/>
    </font>
    <font>
      <sz val="11"/>
      <name val="Calibri"/>
      <family val="2"/>
      <charset val="178"/>
      <scheme val="minor"/>
    </font>
    <font>
      <sz val="18"/>
      <name val="Calibri"/>
      <family val="2"/>
      <charset val="178"/>
      <scheme val="minor"/>
    </font>
    <font>
      <sz val="16"/>
      <name val="Tahoma"/>
      <family val="2"/>
    </font>
    <font>
      <b/>
      <sz val="16"/>
      <name val="Tahoma"/>
      <family val="2"/>
    </font>
    <font>
      <b/>
      <sz val="16"/>
      <color rgb="FFFF0000"/>
      <name val="B Zar"/>
      <charset val="178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FF0000"/>
      <name val="B Zar"/>
      <charset val="178"/>
    </font>
    <font>
      <b/>
      <sz val="16"/>
      <color rgb="FF0000FF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" fillId="0" borderId="0" xfId="3"/>
    <xf numFmtId="3" fontId="9" fillId="0" borderId="0" xfId="3" applyNumberFormat="1" applyFont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3" fontId="8" fillId="0" borderId="0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3" fontId="11" fillId="2" borderId="1" xfId="3" applyNumberFormat="1" applyFont="1" applyFill="1" applyBorder="1" applyAlignment="1">
      <alignment horizontal="center" vertical="center"/>
    </xf>
    <xf numFmtId="3" fontId="11" fillId="2" borderId="1" xfId="3" applyNumberFormat="1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/>
    <xf numFmtId="0" fontId="13" fillId="2" borderId="0" xfId="3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3" fontId="14" fillId="2" borderId="1" xfId="3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3" fontId="15" fillId="2" borderId="1" xfId="3" applyNumberFormat="1" applyFont="1" applyFill="1" applyBorder="1" applyAlignment="1">
      <alignment horizontal="center" vertical="center"/>
    </xf>
    <xf numFmtId="3" fontId="15" fillId="0" borderId="0" xfId="3" applyNumberFormat="1" applyFont="1" applyAlignment="1">
      <alignment horizontal="center" vertical="center"/>
    </xf>
    <xf numFmtId="0" fontId="16" fillId="0" borderId="0" xfId="3" applyFont="1"/>
    <xf numFmtId="0" fontId="15" fillId="0" borderId="0" xfId="3" applyFont="1" applyAlignment="1">
      <alignment horizontal="center" vertical="center"/>
    </xf>
    <xf numFmtId="3" fontId="15" fillId="0" borderId="0" xfId="3" applyNumberFormat="1" applyFont="1" applyBorder="1" applyAlignment="1">
      <alignment horizontal="left" vertical="center"/>
    </xf>
    <xf numFmtId="3" fontId="15" fillId="0" borderId="0" xfId="3" applyNumberFormat="1" applyFont="1" applyBorder="1" applyAlignment="1">
      <alignment horizontal="center" vertical="center"/>
    </xf>
    <xf numFmtId="3" fontId="15" fillId="0" borderId="2" xfId="3" applyNumberFormat="1" applyFont="1" applyBorder="1" applyAlignment="1">
      <alignment horizontal="center" vertical="center"/>
    </xf>
    <xf numFmtId="3" fontId="15" fillId="0" borderId="1" xfId="3" applyNumberFormat="1" applyFont="1" applyBorder="1" applyAlignment="1">
      <alignment horizontal="center" vertical="center"/>
    </xf>
    <xf numFmtId="3" fontId="17" fillId="0" borderId="0" xfId="3" applyNumberFormat="1" applyFont="1"/>
    <xf numFmtId="164" fontId="16" fillId="0" borderId="0" xfId="1" applyNumberFormat="1" applyFont="1"/>
    <xf numFmtId="3" fontId="16" fillId="0" borderId="0" xfId="3" applyNumberFormat="1" applyFont="1"/>
    <xf numFmtId="0" fontId="18" fillId="0" borderId="0" xfId="3" applyFont="1" applyAlignment="1">
      <alignment horizontal="center" vertical="center"/>
    </xf>
    <xf numFmtId="0" fontId="18" fillId="2" borderId="0" xfId="3" applyFont="1" applyFill="1" applyAlignment="1">
      <alignment horizontal="center" vertical="center"/>
    </xf>
    <xf numFmtId="3" fontId="18" fillId="2" borderId="0" xfId="3" applyNumberFormat="1" applyFont="1" applyFill="1" applyAlignment="1">
      <alignment horizontal="center" vertical="center"/>
    </xf>
    <xf numFmtId="164" fontId="19" fillId="2" borderId="0" xfId="1" applyNumberFormat="1" applyFont="1" applyFill="1" applyBorder="1" applyAlignment="1">
      <alignment horizontal="center" vertical="center"/>
    </xf>
    <xf numFmtId="3" fontId="15" fillId="2" borderId="2" xfId="3" applyNumberFormat="1" applyFont="1" applyFill="1" applyBorder="1" applyAlignment="1">
      <alignment horizontal="center" vertical="center"/>
    </xf>
    <xf numFmtId="0" fontId="2" fillId="2" borderId="0" xfId="3" applyFont="1" applyFill="1" applyAlignment="1">
      <alignment horizontal="right" vertical="center"/>
    </xf>
    <xf numFmtId="164" fontId="7" fillId="0" borderId="0" xfId="1" applyNumberFormat="1" applyFont="1"/>
    <xf numFmtId="3" fontId="2" fillId="2" borderId="0" xfId="3" applyNumberFormat="1" applyFont="1" applyFill="1" applyBorder="1" applyAlignment="1">
      <alignment horizontal="left" vertical="center"/>
    </xf>
    <xf numFmtId="3" fontId="10" fillId="2" borderId="0" xfId="3" applyNumberFormat="1" applyFont="1" applyFill="1" applyBorder="1" applyAlignment="1">
      <alignment horizontal="center" vertical="center"/>
    </xf>
    <xf numFmtId="3" fontId="20" fillId="0" borderId="0" xfId="3" applyNumberFormat="1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164" fontId="21" fillId="2" borderId="0" xfId="4" applyNumberFormat="1" applyFont="1" applyFill="1" applyAlignment="1">
      <alignment horizontal="center" vertical="center"/>
    </xf>
    <xf numFmtId="164" fontId="23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3" fontId="9" fillId="0" borderId="0" xfId="3" applyNumberFormat="1" applyFont="1" applyAlignment="1">
      <alignment horizontal="center" vertical="center"/>
    </xf>
    <xf numFmtId="3" fontId="15" fillId="0" borderId="2" xfId="3" applyNumberFormat="1" applyFont="1" applyBorder="1" applyAlignment="1">
      <alignment horizontal="center" vertical="center"/>
    </xf>
    <xf numFmtId="3" fontId="15" fillId="0" borderId="3" xfId="3" applyNumberFormat="1" applyFont="1" applyBorder="1" applyAlignment="1">
      <alignment horizontal="center" vertical="center"/>
    </xf>
    <xf numFmtId="0" fontId="22" fillId="2" borderId="5" xfId="3" applyFont="1" applyFill="1" applyBorder="1" applyAlignment="1">
      <alignment horizontal="right" vertical="top" wrapText="1"/>
    </xf>
    <xf numFmtId="0" fontId="22" fillId="2" borderId="6" xfId="3" applyFont="1" applyFill="1" applyBorder="1" applyAlignment="1">
      <alignment horizontal="right" vertical="top" wrapText="1"/>
    </xf>
    <xf numFmtId="0" fontId="22" fillId="2" borderId="7" xfId="3" applyFont="1" applyFill="1" applyBorder="1" applyAlignment="1">
      <alignment horizontal="right" vertical="top" wrapText="1"/>
    </xf>
    <xf numFmtId="3" fontId="22" fillId="2" borderId="5" xfId="3" applyNumberFormat="1" applyFont="1" applyFill="1" applyBorder="1" applyAlignment="1">
      <alignment horizontal="right" vertical="top" wrapText="1"/>
    </xf>
    <xf numFmtId="3" fontId="22" fillId="2" borderId="6" xfId="3" applyNumberFormat="1" applyFont="1" applyFill="1" applyBorder="1" applyAlignment="1">
      <alignment horizontal="right" vertical="top" wrapText="1"/>
    </xf>
    <xf numFmtId="3" fontId="22" fillId="2" borderId="7" xfId="3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4" fillId="2" borderId="0" xfId="2" applyNumberFormat="1" applyFont="1" applyFill="1" applyAlignment="1">
      <alignment horizontal="center" vertical="center"/>
    </xf>
    <xf numFmtId="164" fontId="13" fillId="2" borderId="0" xfId="2" applyNumberFormat="1" applyFont="1" applyFill="1"/>
    <xf numFmtId="164" fontId="13" fillId="2" borderId="0" xfId="2" applyNumberFormat="1" applyFont="1" applyFill="1" applyAlignment="1">
      <alignment horizontal="center" vertical="center"/>
    </xf>
    <xf numFmtId="164" fontId="20" fillId="2" borderId="0" xfId="2" applyNumberFormat="1" applyFont="1" applyFill="1" applyAlignment="1">
      <alignment horizontal="center" vertical="center"/>
    </xf>
  </cellXfs>
  <cellStyles count="5">
    <cellStyle name="Comma" xfId="2" builtinId="3"/>
    <cellStyle name="Comma 2" xfId="1"/>
    <cellStyle name="Comma 2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rightToLeft="1" topLeftCell="D22" workbookViewId="0">
      <selection activeCell="G34" sqref="G34"/>
    </sheetView>
  </sheetViews>
  <sheetFormatPr defaultRowHeight="21"/>
  <cols>
    <col min="1" max="1" width="16.85546875" style="3" bestFit="1" customWidth="1"/>
    <col min="2" max="2" width="8.28515625" style="3" bestFit="1" customWidth="1"/>
    <col min="3" max="3" width="14" style="3" bestFit="1" customWidth="1"/>
    <col min="4" max="4" width="10.28515625" style="3" bestFit="1" customWidth="1"/>
    <col min="5" max="5" width="11.140625" style="3" bestFit="1" customWidth="1"/>
    <col min="6" max="6" width="15" style="47" bestFit="1" customWidth="1"/>
    <col min="7" max="7" width="13.7109375" style="47" bestFit="1" customWidth="1"/>
    <col min="8" max="8" width="7.85546875" style="3" bestFit="1" customWidth="1"/>
    <col min="9" max="9" width="17.28515625" style="3" bestFit="1" customWidth="1"/>
    <col min="10" max="10" width="14.7109375" style="3" bestFit="1" customWidth="1"/>
    <col min="11" max="11" width="10.28515625" style="3" bestFit="1" customWidth="1"/>
    <col min="12" max="12" width="8" style="3" bestFit="1" customWidth="1"/>
    <col min="13" max="13" width="16.140625" style="3" bestFit="1" customWidth="1"/>
    <col min="14" max="14" width="11.140625" style="3" bestFit="1" customWidth="1"/>
    <col min="15" max="15" width="10.140625" style="3" bestFit="1" customWidth="1"/>
    <col min="16" max="17" width="12.28515625" style="3" bestFit="1" customWidth="1"/>
    <col min="18" max="16384" width="9.140625" style="3"/>
  </cols>
  <sheetData>
    <row r="2" spans="1:7">
      <c r="A2" s="3" t="s">
        <v>2</v>
      </c>
      <c r="B2" s="3" t="s">
        <v>0</v>
      </c>
      <c r="C2" s="3" t="s">
        <v>1</v>
      </c>
      <c r="D2" s="3" t="s">
        <v>4</v>
      </c>
      <c r="E2" s="3" t="s">
        <v>50</v>
      </c>
      <c r="F2" s="47" t="s">
        <v>138</v>
      </c>
      <c r="G2" s="47" t="s">
        <v>139</v>
      </c>
    </row>
    <row r="3" spans="1:7">
      <c r="A3" s="3" t="s">
        <v>85</v>
      </c>
      <c r="B3" s="3" t="s">
        <v>83</v>
      </c>
      <c r="C3" s="3" t="s">
        <v>84</v>
      </c>
      <c r="D3" s="3">
        <v>30</v>
      </c>
      <c r="E3" s="3">
        <v>0</v>
      </c>
      <c r="F3" s="47">
        <v>300000</v>
      </c>
      <c r="G3" s="47">
        <v>300000</v>
      </c>
    </row>
    <row r="4" spans="1:7">
      <c r="A4" s="3" t="s">
        <v>85</v>
      </c>
      <c r="B4" s="3" t="s">
        <v>86</v>
      </c>
      <c r="C4" s="3" t="s">
        <v>87</v>
      </c>
      <c r="D4" s="3">
        <v>30</v>
      </c>
      <c r="E4" s="3">
        <v>0</v>
      </c>
      <c r="F4" s="47">
        <v>300000</v>
      </c>
      <c r="G4" s="47">
        <v>300000</v>
      </c>
    </row>
    <row r="5" spans="1:7">
      <c r="A5" s="3" t="s">
        <v>85</v>
      </c>
      <c r="B5" s="3" t="s">
        <v>130</v>
      </c>
      <c r="C5" s="3" t="s">
        <v>131</v>
      </c>
      <c r="D5" s="3">
        <v>30</v>
      </c>
      <c r="E5" s="3">
        <v>0</v>
      </c>
      <c r="F5" s="47">
        <v>300000</v>
      </c>
      <c r="G5" s="47">
        <v>300000</v>
      </c>
    </row>
    <row r="6" spans="1:7">
      <c r="A6" s="3" t="s">
        <v>85</v>
      </c>
      <c r="B6" s="3" t="s">
        <v>88</v>
      </c>
      <c r="C6" s="3" t="s">
        <v>89</v>
      </c>
      <c r="D6" s="3">
        <v>30</v>
      </c>
      <c r="E6" s="3">
        <v>0</v>
      </c>
      <c r="F6" s="47">
        <v>300000</v>
      </c>
      <c r="G6" s="47">
        <v>300000</v>
      </c>
    </row>
    <row r="7" spans="1:7">
      <c r="A7" s="3" t="s">
        <v>85</v>
      </c>
      <c r="B7" s="3" t="s">
        <v>90</v>
      </c>
      <c r="C7" s="3" t="s">
        <v>91</v>
      </c>
      <c r="D7" s="3">
        <v>30</v>
      </c>
      <c r="E7" s="3">
        <v>0</v>
      </c>
      <c r="F7" s="47">
        <v>300000</v>
      </c>
      <c r="G7" s="47">
        <v>300000</v>
      </c>
    </row>
    <row r="8" spans="1:7">
      <c r="A8" s="3" t="s">
        <v>85</v>
      </c>
      <c r="B8" s="3" t="s">
        <v>92</v>
      </c>
      <c r="C8" s="3" t="s">
        <v>93</v>
      </c>
      <c r="D8" s="3">
        <v>30</v>
      </c>
      <c r="E8" s="3">
        <v>0</v>
      </c>
      <c r="F8" s="47">
        <v>300000</v>
      </c>
      <c r="G8" s="47">
        <v>300000</v>
      </c>
    </row>
    <row r="9" spans="1:7">
      <c r="A9" s="3" t="s">
        <v>85</v>
      </c>
      <c r="B9" s="3" t="s">
        <v>94</v>
      </c>
      <c r="C9" s="3" t="s">
        <v>95</v>
      </c>
      <c r="D9" s="3">
        <v>30</v>
      </c>
      <c r="E9" s="3">
        <v>0</v>
      </c>
      <c r="F9" s="47">
        <v>300000</v>
      </c>
      <c r="G9" s="47">
        <v>300000</v>
      </c>
    </row>
    <row r="10" spans="1:7">
      <c r="A10" s="3" t="s">
        <v>85</v>
      </c>
      <c r="B10" s="3" t="s">
        <v>96</v>
      </c>
      <c r="C10" s="3" t="s">
        <v>97</v>
      </c>
      <c r="D10" s="3">
        <v>30</v>
      </c>
      <c r="E10" s="3">
        <v>0</v>
      </c>
      <c r="F10" s="47">
        <v>300000</v>
      </c>
      <c r="G10" s="47">
        <v>300000</v>
      </c>
    </row>
    <row r="11" spans="1:7">
      <c r="A11" s="3" t="s">
        <v>85</v>
      </c>
      <c r="B11" s="3" t="s">
        <v>98</v>
      </c>
      <c r="C11" s="3" t="s">
        <v>99</v>
      </c>
      <c r="D11" s="3">
        <v>30</v>
      </c>
      <c r="E11" s="3">
        <v>0</v>
      </c>
      <c r="F11" s="47">
        <v>300000</v>
      </c>
      <c r="G11" s="47">
        <v>300000</v>
      </c>
    </row>
    <row r="12" spans="1:7">
      <c r="A12" s="3" t="s">
        <v>85</v>
      </c>
      <c r="B12" s="3" t="s">
        <v>100</v>
      </c>
      <c r="C12" s="3" t="s">
        <v>101</v>
      </c>
      <c r="D12" s="3">
        <v>30</v>
      </c>
      <c r="E12" s="3">
        <v>0</v>
      </c>
      <c r="F12" s="47">
        <v>300000</v>
      </c>
      <c r="G12" s="47">
        <v>300000</v>
      </c>
    </row>
    <row r="13" spans="1:7">
      <c r="A13" s="3" t="s">
        <v>85</v>
      </c>
      <c r="B13" s="3" t="s">
        <v>102</v>
      </c>
      <c r="C13" s="3" t="s">
        <v>103</v>
      </c>
      <c r="D13" s="3">
        <v>30</v>
      </c>
      <c r="E13" s="3">
        <v>0</v>
      </c>
      <c r="F13" s="47">
        <v>300000</v>
      </c>
      <c r="G13" s="47">
        <v>300000</v>
      </c>
    </row>
    <row r="14" spans="1:7">
      <c r="A14" s="3" t="s">
        <v>85</v>
      </c>
      <c r="B14" s="3" t="s">
        <v>104</v>
      </c>
      <c r="C14" s="3" t="s">
        <v>105</v>
      </c>
      <c r="D14" s="3">
        <v>30</v>
      </c>
      <c r="E14" s="3">
        <v>0</v>
      </c>
      <c r="F14" s="47">
        <v>300000</v>
      </c>
      <c r="G14" s="47">
        <v>300000</v>
      </c>
    </row>
    <row r="15" spans="1:7">
      <c r="A15" s="3" t="s">
        <v>85</v>
      </c>
      <c r="B15" s="3" t="s">
        <v>134</v>
      </c>
      <c r="C15" s="3" t="s">
        <v>135</v>
      </c>
      <c r="D15" s="3">
        <v>30</v>
      </c>
      <c r="E15" s="3">
        <v>0</v>
      </c>
      <c r="F15" s="47">
        <v>300000</v>
      </c>
      <c r="G15" s="47">
        <v>300000</v>
      </c>
    </row>
    <row r="16" spans="1:7">
      <c r="A16" s="3" t="s">
        <v>85</v>
      </c>
      <c r="B16" s="3" t="s">
        <v>106</v>
      </c>
      <c r="C16" s="3" t="s">
        <v>140</v>
      </c>
      <c r="D16" s="3">
        <v>30</v>
      </c>
      <c r="E16" s="3">
        <v>0</v>
      </c>
      <c r="F16" s="47">
        <v>300000</v>
      </c>
      <c r="G16" s="47">
        <v>300000</v>
      </c>
    </row>
    <row r="17" spans="1:7">
      <c r="A17" s="3" t="s">
        <v>85</v>
      </c>
      <c r="B17" s="3" t="s">
        <v>108</v>
      </c>
      <c r="C17" s="3" t="s">
        <v>109</v>
      </c>
      <c r="D17" s="3">
        <v>30</v>
      </c>
      <c r="E17" s="3">
        <v>0</v>
      </c>
      <c r="F17" s="47">
        <v>300000</v>
      </c>
      <c r="G17" s="47">
        <v>300000</v>
      </c>
    </row>
    <row r="18" spans="1:7">
      <c r="A18" s="3" t="s">
        <v>85</v>
      </c>
      <c r="B18" s="3" t="s">
        <v>110</v>
      </c>
      <c r="C18" s="3" t="s">
        <v>111</v>
      </c>
      <c r="D18" s="3">
        <v>30</v>
      </c>
      <c r="E18" s="3">
        <v>0</v>
      </c>
      <c r="F18" s="47">
        <v>300000</v>
      </c>
      <c r="G18" s="47">
        <v>300000</v>
      </c>
    </row>
    <row r="19" spans="1:7">
      <c r="A19" s="3" t="s">
        <v>85</v>
      </c>
      <c r="B19" s="3" t="s">
        <v>112</v>
      </c>
      <c r="C19" s="3" t="s">
        <v>113</v>
      </c>
      <c r="D19" s="3">
        <v>30</v>
      </c>
      <c r="E19" s="3">
        <v>0</v>
      </c>
      <c r="F19" s="47">
        <v>300000</v>
      </c>
      <c r="G19" s="47">
        <v>300000</v>
      </c>
    </row>
    <row r="20" spans="1:7">
      <c r="A20" s="3" t="s">
        <v>85</v>
      </c>
      <c r="B20" s="3" t="s">
        <v>114</v>
      </c>
      <c r="C20" s="3" t="s">
        <v>115</v>
      </c>
      <c r="D20" s="3">
        <v>30</v>
      </c>
      <c r="E20" s="3">
        <v>0</v>
      </c>
      <c r="F20" s="47">
        <v>300000</v>
      </c>
      <c r="G20" s="47">
        <v>300000</v>
      </c>
    </row>
    <row r="21" spans="1:7">
      <c r="A21" s="3" t="s">
        <v>85</v>
      </c>
      <c r="B21" s="3" t="s">
        <v>132</v>
      </c>
      <c r="C21" s="3" t="s">
        <v>133</v>
      </c>
      <c r="D21" s="3">
        <v>30</v>
      </c>
      <c r="E21" s="3">
        <v>0</v>
      </c>
      <c r="F21" s="47">
        <v>300000</v>
      </c>
      <c r="G21" s="47">
        <v>300000</v>
      </c>
    </row>
    <row r="22" spans="1:7">
      <c r="A22" s="3" t="s">
        <v>85</v>
      </c>
      <c r="B22" s="3" t="s">
        <v>116</v>
      </c>
      <c r="C22" s="3" t="s">
        <v>117</v>
      </c>
      <c r="D22" s="3">
        <v>30</v>
      </c>
      <c r="E22" s="3">
        <v>0</v>
      </c>
      <c r="F22" s="47">
        <v>300000</v>
      </c>
      <c r="G22" s="47">
        <v>300000</v>
      </c>
    </row>
    <row r="23" spans="1:7">
      <c r="A23" s="3" t="s">
        <v>85</v>
      </c>
      <c r="B23" s="3" t="s">
        <v>118</v>
      </c>
      <c r="C23" s="3" t="s">
        <v>119</v>
      </c>
      <c r="D23" s="3">
        <v>30</v>
      </c>
      <c r="E23" s="3">
        <v>0</v>
      </c>
      <c r="F23" s="47">
        <v>300000</v>
      </c>
      <c r="G23" s="47">
        <v>300000</v>
      </c>
    </row>
    <row r="24" spans="1:7">
      <c r="A24" s="3" t="s">
        <v>85</v>
      </c>
      <c r="B24" s="3" t="s">
        <v>120</v>
      </c>
      <c r="C24" s="3" t="s">
        <v>121</v>
      </c>
      <c r="D24" s="3">
        <v>30</v>
      </c>
      <c r="E24" s="3">
        <v>0</v>
      </c>
      <c r="F24" s="47">
        <v>300000</v>
      </c>
      <c r="G24" s="47">
        <v>300000</v>
      </c>
    </row>
    <row r="25" spans="1:7">
      <c r="A25" s="3" t="s">
        <v>85</v>
      </c>
      <c r="B25" s="3" t="s">
        <v>122</v>
      </c>
      <c r="C25" s="3" t="s">
        <v>123</v>
      </c>
      <c r="D25" s="3">
        <v>30</v>
      </c>
      <c r="E25" s="3">
        <v>0</v>
      </c>
      <c r="F25" s="47">
        <v>300000</v>
      </c>
      <c r="G25" s="47">
        <v>300000</v>
      </c>
    </row>
    <row r="26" spans="1:7">
      <c r="A26" s="3" t="s">
        <v>85</v>
      </c>
      <c r="B26" s="3" t="s">
        <v>124</v>
      </c>
      <c r="C26" s="3" t="s">
        <v>125</v>
      </c>
      <c r="D26" s="3">
        <v>30</v>
      </c>
      <c r="E26" s="3">
        <v>0</v>
      </c>
      <c r="F26" s="47">
        <v>300000</v>
      </c>
      <c r="G26" s="47">
        <v>300000</v>
      </c>
    </row>
    <row r="27" spans="1:7">
      <c r="A27" s="3" t="s">
        <v>85</v>
      </c>
      <c r="B27" s="3" t="s">
        <v>126</v>
      </c>
      <c r="C27" s="3" t="s">
        <v>127</v>
      </c>
      <c r="D27" s="3">
        <v>30</v>
      </c>
      <c r="E27" s="3">
        <v>0</v>
      </c>
      <c r="F27" s="47">
        <v>300000</v>
      </c>
      <c r="G27" s="47">
        <v>300000</v>
      </c>
    </row>
    <row r="28" spans="1:7">
      <c r="A28" s="3" t="s">
        <v>85</v>
      </c>
      <c r="B28" s="3" t="s">
        <v>128</v>
      </c>
      <c r="C28" s="3" t="s">
        <v>129</v>
      </c>
      <c r="D28" s="3">
        <v>30</v>
      </c>
      <c r="E28" s="3">
        <v>0</v>
      </c>
      <c r="F28" s="47">
        <v>300000</v>
      </c>
      <c r="G28" s="47">
        <v>300000</v>
      </c>
    </row>
    <row r="29" spans="1:7">
      <c r="G29" s="48">
        <f>SUM(G3:G28)</f>
        <v>7800000</v>
      </c>
    </row>
    <row r="31" spans="1:7" ht="24">
      <c r="G31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rightToLeft="1" zoomScale="85" zoomScaleNormal="85" workbookViewId="0">
      <pane ySplit="1" topLeftCell="A2" activePane="bottomLeft" state="frozen"/>
      <selection pane="bottomLeft"/>
    </sheetView>
  </sheetViews>
  <sheetFormatPr defaultRowHeight="14.25"/>
  <cols>
    <col min="1" max="1" width="9.140625" style="59"/>
    <col min="2" max="2" width="12.5703125" style="2" bestFit="1" customWidth="1"/>
    <col min="3" max="3" width="19.5703125" style="2" bestFit="1" customWidth="1"/>
    <col min="4" max="4" width="21" style="2" bestFit="1" customWidth="1"/>
    <col min="5" max="5" width="20.140625" style="2" bestFit="1" customWidth="1"/>
    <col min="6" max="6" width="16" style="2" bestFit="1" customWidth="1"/>
    <col min="7" max="7" width="16.85546875" style="2" bestFit="1" customWidth="1"/>
    <col min="8" max="8" width="16.140625" style="2" bestFit="1" customWidth="1"/>
    <col min="9" max="9" width="15.42578125" style="2" bestFit="1" customWidth="1"/>
    <col min="10" max="10" width="12.7109375" style="2" bestFit="1" customWidth="1"/>
    <col min="11" max="11" width="15.85546875" style="2" bestFit="1" customWidth="1"/>
    <col min="12" max="12" width="36.42578125" style="2" bestFit="1" customWidth="1"/>
    <col min="13" max="13" width="9.85546875" style="2" bestFit="1" customWidth="1"/>
    <col min="14" max="14" width="16" style="2" bestFit="1" customWidth="1"/>
    <col min="15" max="15" width="19.7109375" style="2" bestFit="1" customWidth="1"/>
    <col min="16" max="16" width="17.42578125" style="2" bestFit="1" customWidth="1"/>
    <col min="17" max="17" width="9.7109375" style="2" bestFit="1" customWidth="1"/>
    <col min="18" max="18" width="23.140625" style="2" bestFit="1" customWidth="1"/>
    <col min="19" max="19" width="31.85546875" style="2" bestFit="1" customWidth="1"/>
    <col min="20" max="20" width="27.140625" style="2" bestFit="1" customWidth="1"/>
    <col min="21" max="21" width="18.42578125" style="2" bestFit="1" customWidth="1"/>
    <col min="22" max="22" width="22.7109375" style="2" bestFit="1" customWidth="1"/>
    <col min="23" max="23" width="20.42578125" style="2" bestFit="1" customWidth="1"/>
    <col min="24" max="24" width="21.28515625" style="2" bestFit="1" customWidth="1"/>
    <col min="25" max="25" width="35.85546875" style="2" bestFit="1" customWidth="1"/>
    <col min="26" max="26" width="19.7109375" style="2" bestFit="1" customWidth="1"/>
    <col min="27" max="27" width="15.28515625" style="2" bestFit="1" customWidth="1"/>
    <col min="28" max="28" width="18.28515625" style="2" bestFit="1" customWidth="1"/>
    <col min="29" max="29" width="14.42578125" style="2" bestFit="1" customWidth="1"/>
    <col min="30" max="30" width="12.5703125" style="2" bestFit="1" customWidth="1"/>
    <col min="31" max="31" width="17.5703125" style="2" bestFit="1" customWidth="1"/>
    <col min="32" max="32" width="19.7109375" style="2" bestFit="1" customWidth="1"/>
    <col min="33" max="33" width="18.28515625" style="2" bestFit="1" customWidth="1"/>
    <col min="34" max="34" width="19.7109375" style="2" bestFit="1" customWidth="1"/>
    <col min="35" max="35" width="7.7109375" style="2" bestFit="1" customWidth="1"/>
    <col min="36" max="37" width="19.7109375" style="2" bestFit="1" customWidth="1"/>
    <col min="38" max="38" width="23.140625" style="2" bestFit="1" customWidth="1"/>
    <col min="39" max="39" width="16" style="2" bestFit="1" customWidth="1"/>
    <col min="40" max="40" width="21.140625" style="2" bestFit="1" customWidth="1"/>
    <col min="41" max="41" width="18.28515625" style="2" bestFit="1" customWidth="1"/>
    <col min="42" max="42" width="19.7109375" style="2" bestFit="1" customWidth="1"/>
    <col min="43" max="43" width="18.28515625" style="2" bestFit="1" customWidth="1"/>
    <col min="44" max="44" width="16" style="2" bestFit="1" customWidth="1"/>
    <col min="45" max="46" width="21.140625" style="2" bestFit="1" customWidth="1"/>
    <col min="47" max="47" width="19.7109375" style="2" bestFit="1" customWidth="1"/>
    <col min="48" max="48" width="30.85546875" style="2" bestFit="1" customWidth="1"/>
    <col min="49" max="49" width="33.28515625" style="2" bestFit="1" customWidth="1"/>
    <col min="50" max="50" width="38.85546875" style="2" bestFit="1" customWidth="1"/>
    <col min="51" max="51" width="37" style="2" bestFit="1" customWidth="1"/>
    <col min="52" max="52" width="34.7109375" style="2" bestFit="1" customWidth="1"/>
    <col min="53" max="53" width="39.5703125" style="2" bestFit="1" customWidth="1"/>
    <col min="54" max="54" width="29.5703125" style="2" bestFit="1" customWidth="1"/>
    <col min="55" max="55" width="38.85546875" style="2" bestFit="1" customWidth="1"/>
    <col min="56" max="56" width="48.85546875" style="2" bestFit="1" customWidth="1"/>
    <col min="57" max="57" width="46.42578125" style="2" bestFit="1" customWidth="1"/>
    <col min="58" max="58" width="51.42578125" style="2" bestFit="1" customWidth="1"/>
    <col min="59" max="59" width="41.42578125" style="2" bestFit="1" customWidth="1"/>
    <col min="60" max="60" width="50.5703125" style="2" bestFit="1" customWidth="1"/>
    <col min="61" max="16384" width="9.140625" style="2"/>
  </cols>
  <sheetData>
    <row r="1" spans="1:60">
      <c r="A1" s="58" t="s">
        <v>36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51</v>
      </c>
      <c r="H1" s="1" t="s">
        <v>52</v>
      </c>
      <c r="I1" s="1" t="s">
        <v>50</v>
      </c>
      <c r="J1" s="1" t="s">
        <v>53</v>
      </c>
      <c r="K1" s="1" t="s">
        <v>54</v>
      </c>
      <c r="L1" s="1" t="s">
        <v>16</v>
      </c>
      <c r="M1" s="1" t="s">
        <v>55</v>
      </c>
      <c r="N1" s="1" t="s">
        <v>17</v>
      </c>
      <c r="O1" s="1" t="s">
        <v>18</v>
      </c>
      <c r="P1" s="1" t="s">
        <v>56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  <c r="V1" s="1" t="s">
        <v>19</v>
      </c>
      <c r="W1" s="1" t="s">
        <v>62</v>
      </c>
      <c r="X1" s="1" t="s">
        <v>63</v>
      </c>
      <c r="Y1" s="1" t="s">
        <v>20</v>
      </c>
      <c r="Z1" s="1" t="s">
        <v>21</v>
      </c>
      <c r="AA1" s="1" t="s">
        <v>22</v>
      </c>
      <c r="AB1" s="1" t="s">
        <v>5</v>
      </c>
      <c r="AC1" s="1" t="s">
        <v>64</v>
      </c>
      <c r="AD1" s="1" t="s">
        <v>65</v>
      </c>
      <c r="AE1" s="1" t="s">
        <v>66</v>
      </c>
      <c r="AF1" s="1" t="s">
        <v>6</v>
      </c>
      <c r="AG1" s="1" t="s">
        <v>7</v>
      </c>
      <c r="AH1" s="1" t="s">
        <v>8</v>
      </c>
      <c r="AI1" s="1" t="s">
        <v>67</v>
      </c>
      <c r="AJ1" s="1" t="s">
        <v>9</v>
      </c>
      <c r="AK1" s="1" t="s">
        <v>10</v>
      </c>
      <c r="AL1" s="1" t="s">
        <v>68</v>
      </c>
      <c r="AM1" s="1" t="s">
        <v>11</v>
      </c>
      <c r="AN1" s="1" t="s">
        <v>12</v>
      </c>
      <c r="AO1" s="1" t="s">
        <v>13</v>
      </c>
      <c r="AP1" s="1" t="s">
        <v>14</v>
      </c>
      <c r="AQ1" s="1" t="s">
        <v>15</v>
      </c>
      <c r="AR1" s="1" t="s">
        <v>23</v>
      </c>
      <c r="AS1" s="1" t="s">
        <v>24</v>
      </c>
      <c r="AT1" s="1" t="s">
        <v>25</v>
      </c>
      <c r="AU1" s="1" t="s">
        <v>26</v>
      </c>
      <c r="AV1" s="1" t="s">
        <v>27</v>
      </c>
      <c r="AW1" s="1" t="s">
        <v>28</v>
      </c>
      <c r="AX1" s="1" t="s">
        <v>29</v>
      </c>
      <c r="AY1" s="1" t="s">
        <v>30</v>
      </c>
      <c r="AZ1" s="1" t="s">
        <v>69</v>
      </c>
      <c r="BA1" s="1" t="s">
        <v>70</v>
      </c>
      <c r="BB1" s="1" t="s">
        <v>71</v>
      </c>
      <c r="BC1" s="1" t="s">
        <v>72</v>
      </c>
      <c r="BD1" s="1" t="s">
        <v>31</v>
      </c>
      <c r="BE1" s="1" t="s">
        <v>32</v>
      </c>
      <c r="BF1" s="1" t="s">
        <v>33</v>
      </c>
      <c r="BG1" s="1" t="s">
        <v>34</v>
      </c>
      <c r="BH1" s="1" t="s">
        <v>35</v>
      </c>
    </row>
    <row r="2" spans="1:60">
      <c r="A2" s="59">
        <v>1</v>
      </c>
      <c r="B2" s="2" t="str">
        <f>"9157041"</f>
        <v>9157041</v>
      </c>
      <c r="C2" s="2" t="str">
        <f>"عيد آسماني"</f>
        <v>عيد آسماني</v>
      </c>
      <c r="D2" s="2" t="str">
        <f t="shared" ref="D2:D27" si="0">"توليد توسعه - دارخوين"</f>
        <v>توليد توسعه - دارخوين</v>
      </c>
      <c r="E2" s="2">
        <v>0</v>
      </c>
      <c r="F2" s="2">
        <v>13200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968127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2766077</v>
      </c>
      <c r="Z2" s="2">
        <v>414912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200000</v>
      </c>
      <c r="AH2" s="2">
        <v>1100000</v>
      </c>
      <c r="AI2" s="2">
        <v>0</v>
      </c>
      <c r="AJ2" s="2">
        <v>1012000</v>
      </c>
      <c r="AK2" s="2">
        <v>960000</v>
      </c>
      <c r="AL2" s="2">
        <v>0</v>
      </c>
      <c r="AM2" s="2">
        <v>0</v>
      </c>
      <c r="AN2" s="2">
        <v>9564120</v>
      </c>
      <c r="AO2" s="2">
        <v>0</v>
      </c>
      <c r="AP2" s="2">
        <v>994265</v>
      </c>
      <c r="AQ2" s="2">
        <v>0</v>
      </c>
      <c r="AR2" s="2">
        <v>13200</v>
      </c>
      <c r="AS2" s="2">
        <v>12862258</v>
      </c>
      <c r="AT2" s="2">
        <v>13830385</v>
      </c>
      <c r="AU2" s="2">
        <v>968127</v>
      </c>
      <c r="AV2" s="2" t="str">
        <f t="shared" ref="AV2:AV27" si="1">"گروه مالياتي 50 درصدي خدماتي"</f>
        <v>گروه مالياتي 50 درصدي خدماتي</v>
      </c>
      <c r="AW2" s="2" t="str">
        <f t="shared" ref="AW2:AW27" si="2">"شعبه شادگان"</f>
        <v>شعبه شادگان</v>
      </c>
      <c r="AX2" s="2" t="str">
        <f>"50575808"</f>
        <v>50575808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</row>
    <row r="3" spans="1:60">
      <c r="A3" s="59">
        <v>2</v>
      </c>
      <c r="B3" s="2" t="str">
        <f>"9157043"</f>
        <v>9157043</v>
      </c>
      <c r="C3" s="2" t="str">
        <f>"عبداله البوبالد"</f>
        <v>عبداله البوبالد</v>
      </c>
      <c r="D3" s="2" t="str">
        <f t="shared" si="0"/>
        <v>توليد توسعه - دارخوين</v>
      </c>
      <c r="E3" s="2">
        <v>0</v>
      </c>
      <c r="F3" s="2">
        <v>13200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1159036</v>
      </c>
      <c r="M3" s="2">
        <v>0</v>
      </c>
      <c r="N3" s="2">
        <v>0</v>
      </c>
      <c r="O3" s="2">
        <v>1388888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750000</v>
      </c>
      <c r="W3" s="2">
        <v>0</v>
      </c>
      <c r="X3" s="2">
        <v>0</v>
      </c>
      <c r="Y3" s="2">
        <v>3311531</v>
      </c>
      <c r="Z3" s="2">
        <v>496730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812165</v>
      </c>
      <c r="AG3" s="2">
        <v>200000</v>
      </c>
      <c r="AH3" s="2">
        <v>1100000</v>
      </c>
      <c r="AI3" s="2">
        <v>0</v>
      </c>
      <c r="AJ3" s="2">
        <v>1012000</v>
      </c>
      <c r="AK3" s="2">
        <v>960000</v>
      </c>
      <c r="AL3" s="2">
        <v>0</v>
      </c>
      <c r="AM3" s="2">
        <v>0</v>
      </c>
      <c r="AN3" s="2">
        <v>12227190</v>
      </c>
      <c r="AO3" s="2">
        <v>0</v>
      </c>
      <c r="AP3" s="2">
        <v>1058465</v>
      </c>
      <c r="AQ3" s="2">
        <v>0</v>
      </c>
      <c r="AR3" s="2">
        <v>13200</v>
      </c>
      <c r="AS3" s="2">
        <v>14071896</v>
      </c>
      <c r="AT3" s="2">
        <v>17369820</v>
      </c>
      <c r="AU3" s="2">
        <v>3297924</v>
      </c>
      <c r="AV3" s="2" t="str">
        <f t="shared" si="1"/>
        <v>گروه مالياتي 50 درصدي خدماتي</v>
      </c>
      <c r="AW3" s="2" t="str">
        <f t="shared" si="2"/>
        <v>شعبه شادگان</v>
      </c>
      <c r="AX3" s="2" t="str">
        <f>"57951654"</f>
        <v>57951654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1388888</v>
      </c>
      <c r="BE3" s="2">
        <v>22222208</v>
      </c>
      <c r="BF3" s="2">
        <v>27777792</v>
      </c>
      <c r="BG3" s="2">
        <v>50000000</v>
      </c>
      <c r="BH3" s="2">
        <v>50000000</v>
      </c>
    </row>
    <row r="4" spans="1:60">
      <c r="A4" s="59">
        <v>3</v>
      </c>
      <c r="B4" s="2" t="str">
        <f>"9157044"</f>
        <v>9157044</v>
      </c>
      <c r="C4" s="2" t="str">
        <f>"سعيد ال بوبالدي"</f>
        <v>سعيد ال بوبالدي</v>
      </c>
      <c r="D4" s="2" t="str">
        <f t="shared" si="0"/>
        <v>توليد توسعه - دارخوين</v>
      </c>
      <c r="E4" s="2">
        <v>0</v>
      </c>
      <c r="F4" s="2">
        <v>13200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1109734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3170669</v>
      </c>
      <c r="Z4" s="2">
        <v>475601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2436495</v>
      </c>
      <c r="AG4" s="2">
        <v>200000</v>
      </c>
      <c r="AH4" s="2">
        <v>1100000</v>
      </c>
      <c r="AI4" s="2">
        <v>0</v>
      </c>
      <c r="AJ4" s="2">
        <v>1012000</v>
      </c>
      <c r="AK4" s="2">
        <v>960000</v>
      </c>
      <c r="AL4" s="2">
        <v>0</v>
      </c>
      <c r="AM4" s="2">
        <v>0</v>
      </c>
      <c r="AN4" s="2">
        <v>11561400</v>
      </c>
      <c r="AO4" s="2">
        <v>0</v>
      </c>
      <c r="AP4" s="2">
        <v>1019945</v>
      </c>
      <c r="AQ4" s="2">
        <v>0</v>
      </c>
      <c r="AR4" s="2">
        <v>13200</v>
      </c>
      <c r="AS4" s="2">
        <v>17180106</v>
      </c>
      <c r="AT4" s="2">
        <v>18289840</v>
      </c>
      <c r="AU4" s="2">
        <v>1109734</v>
      </c>
      <c r="AV4" s="2" t="str">
        <f t="shared" si="1"/>
        <v>گروه مالياتي 50 درصدي خدماتي</v>
      </c>
      <c r="AW4" s="2" t="str">
        <f t="shared" si="2"/>
        <v>شعبه شادگان</v>
      </c>
      <c r="AX4" s="2" t="str">
        <f>"56004180"</f>
        <v>56004180</v>
      </c>
    </row>
    <row r="5" spans="1:60">
      <c r="A5" s="59">
        <v>4</v>
      </c>
      <c r="B5" s="2" t="str">
        <f>"9157045"</f>
        <v>9157045</v>
      </c>
      <c r="C5" s="2" t="str">
        <f>"شريف آلبوبالدي"</f>
        <v>شريف آلبوبالدي</v>
      </c>
      <c r="D5" s="2" t="str">
        <f t="shared" si="0"/>
        <v>توليد توسعه - دارخوين</v>
      </c>
      <c r="E5" s="2">
        <v>0</v>
      </c>
      <c r="F5" s="2">
        <v>13200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1109734</v>
      </c>
      <c r="M5" s="2">
        <v>0</v>
      </c>
      <c r="N5" s="2">
        <v>0</v>
      </c>
      <c r="O5" s="2">
        <v>1388888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750000</v>
      </c>
      <c r="W5" s="2">
        <v>0</v>
      </c>
      <c r="X5" s="2">
        <v>0</v>
      </c>
      <c r="Y5" s="2">
        <v>3170669</v>
      </c>
      <c r="Z5" s="2">
        <v>475601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812165</v>
      </c>
      <c r="AG5" s="2">
        <v>200000</v>
      </c>
      <c r="AH5" s="2">
        <v>1100000</v>
      </c>
      <c r="AI5" s="2">
        <v>0</v>
      </c>
      <c r="AJ5" s="2">
        <v>1012000</v>
      </c>
      <c r="AK5" s="2">
        <v>960000</v>
      </c>
      <c r="AL5" s="2">
        <v>0</v>
      </c>
      <c r="AM5" s="2">
        <v>0</v>
      </c>
      <c r="AN5" s="2">
        <v>11561400</v>
      </c>
      <c r="AO5" s="2">
        <v>0</v>
      </c>
      <c r="AP5" s="2">
        <v>1019945</v>
      </c>
      <c r="AQ5" s="2">
        <v>0</v>
      </c>
      <c r="AR5" s="2">
        <v>13200</v>
      </c>
      <c r="AS5" s="2">
        <v>13416888</v>
      </c>
      <c r="AT5" s="2">
        <v>16665510</v>
      </c>
      <c r="AU5" s="2">
        <v>3248622</v>
      </c>
      <c r="AV5" s="2" t="str">
        <f t="shared" si="1"/>
        <v>گروه مالياتي 50 درصدي خدماتي</v>
      </c>
      <c r="AW5" s="2" t="str">
        <f t="shared" si="2"/>
        <v>شعبه شادگان</v>
      </c>
      <c r="AX5" s="2" t="str">
        <f>"52544320"</f>
        <v>52544320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1388888</v>
      </c>
      <c r="BE5" s="2">
        <v>33333312</v>
      </c>
      <c r="BF5" s="2">
        <v>16666688</v>
      </c>
      <c r="BG5" s="2">
        <v>50000000</v>
      </c>
      <c r="BH5" s="2">
        <v>50000000</v>
      </c>
    </row>
    <row r="6" spans="1:60">
      <c r="A6" s="59">
        <v>5</v>
      </c>
      <c r="B6" s="2" t="str">
        <f>"9157046"</f>
        <v>9157046</v>
      </c>
      <c r="C6" s="2" t="str">
        <f>"يعقوب آلبوبالدي"</f>
        <v>يعقوب آلبوبالدي</v>
      </c>
      <c r="D6" s="2" t="str">
        <f t="shared" si="0"/>
        <v>توليد توسعه - دارخوين</v>
      </c>
      <c r="E6" s="2">
        <v>0</v>
      </c>
      <c r="F6" s="2">
        <v>13200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1254937</v>
      </c>
      <c r="M6" s="2">
        <v>0</v>
      </c>
      <c r="N6" s="2">
        <v>0</v>
      </c>
      <c r="O6" s="2">
        <v>1388888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750000</v>
      </c>
      <c r="W6" s="2">
        <v>0</v>
      </c>
      <c r="X6" s="2">
        <v>0</v>
      </c>
      <c r="Y6" s="2">
        <v>3585533</v>
      </c>
      <c r="Z6" s="2">
        <v>537830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812165</v>
      </c>
      <c r="AG6" s="2">
        <v>200000</v>
      </c>
      <c r="AH6" s="2">
        <v>1100000</v>
      </c>
      <c r="AI6" s="2">
        <v>0</v>
      </c>
      <c r="AJ6" s="2">
        <v>1012000</v>
      </c>
      <c r="AK6" s="2">
        <v>960000</v>
      </c>
      <c r="AL6" s="2">
        <v>0</v>
      </c>
      <c r="AM6" s="2">
        <v>0</v>
      </c>
      <c r="AN6" s="2">
        <v>13558680</v>
      </c>
      <c r="AO6" s="2">
        <v>0</v>
      </c>
      <c r="AP6" s="2">
        <v>1096985</v>
      </c>
      <c r="AQ6" s="2">
        <v>0</v>
      </c>
      <c r="AR6" s="2">
        <v>13200</v>
      </c>
      <c r="AS6" s="2">
        <v>15346005</v>
      </c>
      <c r="AT6" s="2">
        <v>18739830</v>
      </c>
      <c r="AU6" s="2">
        <v>3393825</v>
      </c>
      <c r="AV6" s="2" t="str">
        <f t="shared" si="1"/>
        <v>گروه مالياتي 50 درصدي خدماتي</v>
      </c>
      <c r="AW6" s="2" t="str">
        <f t="shared" si="2"/>
        <v>شعبه شادگان</v>
      </c>
      <c r="AX6" s="2" t="str">
        <f>"52545284"</f>
        <v>52545284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1388888</v>
      </c>
      <c r="BE6" s="2">
        <v>30555536</v>
      </c>
      <c r="BF6" s="2">
        <v>19444464</v>
      </c>
      <c r="BG6" s="2">
        <v>50000000</v>
      </c>
      <c r="BH6" s="2">
        <v>50000000</v>
      </c>
    </row>
    <row r="7" spans="1:60">
      <c r="A7" s="59">
        <v>6</v>
      </c>
      <c r="B7" s="2" t="str">
        <f>"9157047"</f>
        <v>9157047</v>
      </c>
      <c r="C7" s="2" t="str">
        <f>"محمد البوغبيش"</f>
        <v>محمد البوغبيش</v>
      </c>
      <c r="D7" s="2" t="str">
        <f t="shared" si="0"/>
        <v>توليد توسعه - دارخوين</v>
      </c>
      <c r="E7" s="2">
        <v>0</v>
      </c>
      <c r="F7" s="2">
        <v>13200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1379219</v>
      </c>
      <c r="M7" s="2">
        <v>0</v>
      </c>
      <c r="N7" s="2">
        <v>202461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3940625</v>
      </c>
      <c r="Z7" s="2">
        <v>591094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812165</v>
      </c>
      <c r="AG7" s="2">
        <v>200000</v>
      </c>
      <c r="AH7" s="2">
        <v>1100000</v>
      </c>
      <c r="AI7" s="2">
        <v>0</v>
      </c>
      <c r="AJ7" s="2">
        <v>1012000</v>
      </c>
      <c r="AK7" s="2">
        <v>960000</v>
      </c>
      <c r="AL7" s="2">
        <v>0</v>
      </c>
      <c r="AM7" s="2">
        <v>0</v>
      </c>
      <c r="AN7" s="2">
        <v>15334140</v>
      </c>
      <c r="AO7" s="2">
        <v>0</v>
      </c>
      <c r="AP7" s="2">
        <v>1096985</v>
      </c>
      <c r="AQ7" s="2">
        <v>0</v>
      </c>
      <c r="AR7" s="2">
        <v>13200</v>
      </c>
      <c r="AS7" s="2">
        <v>18933610</v>
      </c>
      <c r="AT7" s="2">
        <v>20515290</v>
      </c>
      <c r="AU7" s="2">
        <v>1581680</v>
      </c>
      <c r="AV7" s="2" t="str">
        <f t="shared" si="1"/>
        <v>گروه مالياتي 50 درصدي خدماتي</v>
      </c>
      <c r="AW7" s="2" t="str">
        <f t="shared" si="2"/>
        <v>شعبه شادگان</v>
      </c>
      <c r="AX7" s="2" t="str">
        <f>"57958412"</f>
        <v>57958412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</row>
    <row r="8" spans="1:60">
      <c r="A8" s="59">
        <v>7</v>
      </c>
      <c r="B8" s="2" t="str">
        <f>"9157049"</f>
        <v>9157049</v>
      </c>
      <c r="C8" s="2" t="str">
        <f>"عبدالامام بالدي"</f>
        <v>عبدالامام بالدي</v>
      </c>
      <c r="D8" s="2" t="str">
        <f t="shared" si="0"/>
        <v>توليد توسعه - دارخوين</v>
      </c>
      <c r="E8" s="2">
        <v>0</v>
      </c>
      <c r="F8" s="2">
        <v>13200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1242922</v>
      </c>
      <c r="M8" s="2">
        <v>0</v>
      </c>
      <c r="N8" s="2">
        <v>0</v>
      </c>
      <c r="O8" s="2">
        <v>1300000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3551207</v>
      </c>
      <c r="Z8" s="2">
        <v>532681</v>
      </c>
      <c r="AA8" s="2">
        <v>1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200000</v>
      </c>
      <c r="AH8" s="2">
        <v>1100000</v>
      </c>
      <c r="AI8" s="2">
        <v>0</v>
      </c>
      <c r="AJ8" s="2">
        <v>1012000</v>
      </c>
      <c r="AK8" s="2">
        <v>960000</v>
      </c>
      <c r="AL8" s="2">
        <v>0</v>
      </c>
      <c r="AM8" s="2">
        <v>0</v>
      </c>
      <c r="AN8" s="2">
        <v>12227190</v>
      </c>
      <c r="AO8" s="2">
        <v>0</v>
      </c>
      <c r="AP8" s="2">
        <v>1058465</v>
      </c>
      <c r="AQ8" s="2">
        <v>1198380</v>
      </c>
      <c r="AR8" s="2">
        <v>13200</v>
      </c>
      <c r="AS8" s="2">
        <v>15213113</v>
      </c>
      <c r="AT8" s="2">
        <v>17756035</v>
      </c>
      <c r="AU8" s="2">
        <v>2542922</v>
      </c>
      <c r="AV8" s="2" t="str">
        <f t="shared" si="1"/>
        <v>گروه مالياتي 50 درصدي خدماتي</v>
      </c>
      <c r="AW8" s="2" t="str">
        <f t="shared" si="2"/>
        <v>شعبه شادگان</v>
      </c>
      <c r="AX8" s="2" t="str">
        <f>"50135194"</f>
        <v>50135194</v>
      </c>
      <c r="AY8" s="2">
        <v>1300000</v>
      </c>
      <c r="AZ8" s="2">
        <v>9100000</v>
      </c>
      <c r="BA8" s="2">
        <v>6500000</v>
      </c>
      <c r="BB8" s="2">
        <v>15600000</v>
      </c>
      <c r="BC8" s="2">
        <v>15600000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</row>
    <row r="9" spans="1:60">
      <c r="A9" s="59">
        <v>8</v>
      </c>
      <c r="B9" s="2" t="str">
        <f>"9157050"</f>
        <v>9157050</v>
      </c>
      <c r="C9" s="2" t="str">
        <f>"حسين باوي"</f>
        <v>حسين باوي</v>
      </c>
      <c r="D9" s="2" t="str">
        <f t="shared" si="0"/>
        <v>توليد توسعه - دارخوين</v>
      </c>
      <c r="E9" s="2">
        <v>0</v>
      </c>
      <c r="F9" s="2">
        <v>13200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1111536</v>
      </c>
      <c r="M9" s="2">
        <v>0</v>
      </c>
      <c r="N9" s="2">
        <v>0</v>
      </c>
      <c r="O9" s="2">
        <v>1388888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750000</v>
      </c>
      <c r="W9" s="2">
        <v>0</v>
      </c>
      <c r="X9" s="2">
        <v>0</v>
      </c>
      <c r="Y9" s="2">
        <v>3175817</v>
      </c>
      <c r="Z9" s="2">
        <v>476373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3248660</v>
      </c>
      <c r="AG9" s="2">
        <v>200000</v>
      </c>
      <c r="AH9" s="2">
        <v>1100000</v>
      </c>
      <c r="AI9" s="2">
        <v>0</v>
      </c>
      <c r="AJ9" s="2">
        <v>1012000</v>
      </c>
      <c r="AK9" s="2">
        <v>960000</v>
      </c>
      <c r="AL9" s="2">
        <v>0</v>
      </c>
      <c r="AM9" s="2">
        <v>0</v>
      </c>
      <c r="AN9" s="2">
        <v>11561460</v>
      </c>
      <c r="AO9" s="2">
        <v>0</v>
      </c>
      <c r="AP9" s="2">
        <v>1045625</v>
      </c>
      <c r="AQ9" s="2">
        <v>0</v>
      </c>
      <c r="AR9" s="2">
        <v>13200</v>
      </c>
      <c r="AS9" s="2">
        <v>15877321</v>
      </c>
      <c r="AT9" s="2">
        <v>19127745</v>
      </c>
      <c r="AU9" s="2">
        <v>3250424</v>
      </c>
      <c r="AV9" s="2" t="str">
        <f t="shared" si="1"/>
        <v>گروه مالياتي 50 درصدي خدماتي</v>
      </c>
      <c r="AW9" s="2" t="str">
        <f t="shared" si="2"/>
        <v>شعبه شادگان</v>
      </c>
      <c r="AX9" s="2" t="str">
        <f>"57952049"</f>
        <v>57952049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1388888</v>
      </c>
      <c r="BE9" s="2">
        <v>45833304</v>
      </c>
      <c r="BF9" s="2">
        <v>4166696</v>
      </c>
      <c r="BG9" s="2">
        <v>50000000</v>
      </c>
      <c r="BH9" s="2">
        <v>50000000</v>
      </c>
    </row>
    <row r="10" spans="1:60">
      <c r="A10" s="59">
        <v>9</v>
      </c>
      <c r="B10" s="2" t="str">
        <f>"9157053"</f>
        <v>9157053</v>
      </c>
      <c r="C10" s="2" t="str">
        <f>"عظيم باوي سويره"</f>
        <v>عظيم باوي سويره</v>
      </c>
      <c r="D10" s="2" t="str">
        <f t="shared" si="0"/>
        <v>توليد توسعه - دارخوين</v>
      </c>
      <c r="E10" s="2">
        <v>0</v>
      </c>
      <c r="F10" s="2">
        <v>13200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966627</v>
      </c>
      <c r="M10" s="2">
        <v>0</v>
      </c>
      <c r="N10" s="2">
        <v>0</v>
      </c>
      <c r="O10" s="2">
        <v>1388888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750000</v>
      </c>
      <c r="W10" s="2">
        <v>0</v>
      </c>
      <c r="X10" s="2">
        <v>0</v>
      </c>
      <c r="Y10" s="2">
        <v>2761793</v>
      </c>
      <c r="Z10" s="2">
        <v>414269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812165</v>
      </c>
      <c r="AG10" s="2">
        <v>200000</v>
      </c>
      <c r="AH10" s="2">
        <v>1100000</v>
      </c>
      <c r="AI10" s="2">
        <v>0</v>
      </c>
      <c r="AJ10" s="2">
        <v>1012000</v>
      </c>
      <c r="AK10" s="2">
        <v>960000</v>
      </c>
      <c r="AL10" s="2">
        <v>0</v>
      </c>
      <c r="AM10" s="2">
        <v>102358</v>
      </c>
      <c r="AN10" s="2">
        <v>9120300</v>
      </c>
      <c r="AO10" s="2">
        <v>332880</v>
      </c>
      <c r="AP10" s="2">
        <v>981425</v>
      </c>
      <c r="AQ10" s="2">
        <v>0</v>
      </c>
      <c r="AR10" s="2">
        <v>13200</v>
      </c>
      <c r="AS10" s="2">
        <v>11515613</v>
      </c>
      <c r="AT10" s="2">
        <v>14621128</v>
      </c>
      <c r="AU10" s="2">
        <v>3105515</v>
      </c>
      <c r="AV10" s="2" t="str">
        <f t="shared" si="1"/>
        <v>گروه مالياتي 50 درصدي خدماتي</v>
      </c>
      <c r="AW10" s="2" t="str">
        <f t="shared" si="2"/>
        <v>شعبه شادگان</v>
      </c>
      <c r="AX10" s="2" t="str">
        <f>"57962120"</f>
        <v>57962120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1388888</v>
      </c>
      <c r="BE10" s="2">
        <v>20277784</v>
      </c>
      <c r="BF10" s="2">
        <v>9722216</v>
      </c>
      <c r="BG10" s="2">
        <v>30000000</v>
      </c>
      <c r="BH10" s="2">
        <v>30000000</v>
      </c>
    </row>
    <row r="11" spans="1:60">
      <c r="A11" s="59">
        <v>10</v>
      </c>
      <c r="B11" s="2" t="str">
        <f>"9157054"</f>
        <v>9157054</v>
      </c>
      <c r="C11" s="2" t="str">
        <f>"عارف باوي فرد"</f>
        <v>عارف باوي فرد</v>
      </c>
      <c r="D11" s="2" t="str">
        <f t="shared" si="0"/>
        <v>توليد توسعه - دارخوين</v>
      </c>
      <c r="E11" s="2">
        <v>0</v>
      </c>
      <c r="F11" s="2">
        <v>13200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1031165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2946185</v>
      </c>
      <c r="Z11" s="2">
        <v>441928</v>
      </c>
      <c r="AA11" s="2">
        <v>1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200000</v>
      </c>
      <c r="AH11" s="2">
        <v>1100000</v>
      </c>
      <c r="AI11" s="2">
        <v>0</v>
      </c>
      <c r="AJ11" s="2">
        <v>1012000</v>
      </c>
      <c r="AK11" s="2">
        <v>960000</v>
      </c>
      <c r="AL11" s="2">
        <v>0</v>
      </c>
      <c r="AM11" s="2">
        <v>0</v>
      </c>
      <c r="AN11" s="2">
        <v>10007970</v>
      </c>
      <c r="AO11" s="2">
        <v>443850</v>
      </c>
      <c r="AP11" s="2">
        <v>1007105</v>
      </c>
      <c r="AQ11" s="2">
        <v>0</v>
      </c>
      <c r="AR11" s="2">
        <v>13200</v>
      </c>
      <c r="AS11" s="2">
        <v>13699760</v>
      </c>
      <c r="AT11" s="2">
        <v>14730925</v>
      </c>
      <c r="AU11" s="2">
        <v>1031165</v>
      </c>
      <c r="AV11" s="2" t="str">
        <f t="shared" si="1"/>
        <v>گروه مالياتي 50 درصدي خدماتي</v>
      </c>
      <c r="AW11" s="2" t="str">
        <f t="shared" si="2"/>
        <v>شعبه شادگان</v>
      </c>
      <c r="AX11" s="2" t="str">
        <f>"52703310"</f>
        <v>52703310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</row>
    <row r="12" spans="1:60">
      <c r="A12" s="59">
        <v>11</v>
      </c>
      <c r="B12" s="2" t="str">
        <f>"9157055"</f>
        <v>9157055</v>
      </c>
      <c r="C12" s="2" t="str">
        <f>"نجم باوي فرد"</f>
        <v>نجم باوي فرد</v>
      </c>
      <c r="D12" s="2" t="str">
        <f t="shared" si="0"/>
        <v>توليد توسعه - دارخوين</v>
      </c>
      <c r="E12" s="2">
        <v>0</v>
      </c>
      <c r="F12" s="2">
        <v>13200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1032064</v>
      </c>
      <c r="M12" s="2">
        <v>0</v>
      </c>
      <c r="N12" s="2">
        <v>0</v>
      </c>
      <c r="O12" s="2">
        <v>1388888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750000</v>
      </c>
      <c r="W12" s="2">
        <v>0</v>
      </c>
      <c r="X12" s="2">
        <v>0</v>
      </c>
      <c r="Y12" s="2">
        <v>2948753</v>
      </c>
      <c r="Z12" s="2">
        <v>442313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1624330</v>
      </c>
      <c r="AG12" s="2">
        <v>200000</v>
      </c>
      <c r="AH12" s="2">
        <v>1100000</v>
      </c>
      <c r="AI12" s="2">
        <v>0</v>
      </c>
      <c r="AJ12" s="2">
        <v>1012000</v>
      </c>
      <c r="AK12" s="2">
        <v>960000</v>
      </c>
      <c r="AL12" s="2">
        <v>0</v>
      </c>
      <c r="AM12" s="2">
        <v>0</v>
      </c>
      <c r="AN12" s="2">
        <v>10451820</v>
      </c>
      <c r="AO12" s="2">
        <v>0</v>
      </c>
      <c r="AP12" s="2">
        <v>1019945</v>
      </c>
      <c r="AQ12" s="2">
        <v>0</v>
      </c>
      <c r="AR12" s="2">
        <v>13200</v>
      </c>
      <c r="AS12" s="2">
        <v>13197143</v>
      </c>
      <c r="AT12" s="2">
        <v>16368095</v>
      </c>
      <c r="AU12" s="2">
        <v>3170952</v>
      </c>
      <c r="AV12" s="2" t="str">
        <f t="shared" si="1"/>
        <v>گروه مالياتي 50 درصدي خدماتي</v>
      </c>
      <c r="AW12" s="2" t="str">
        <f t="shared" si="2"/>
        <v>شعبه شادگان</v>
      </c>
      <c r="AX12" s="2" t="str">
        <f>"52554911"</f>
        <v>52554911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1388888</v>
      </c>
      <c r="BE12" s="2">
        <v>18055544</v>
      </c>
      <c r="BF12" s="2">
        <v>31944456</v>
      </c>
      <c r="BG12" s="2">
        <v>50000000</v>
      </c>
      <c r="BH12" s="2">
        <v>50000000</v>
      </c>
    </row>
    <row r="13" spans="1:60">
      <c r="A13" s="59">
        <v>12</v>
      </c>
      <c r="B13" s="2" t="str">
        <f>"9157057"</f>
        <v>9157057</v>
      </c>
      <c r="C13" s="2" t="str">
        <f>"عباس بدوي"</f>
        <v>عباس بدوي</v>
      </c>
      <c r="D13" s="2" t="str">
        <f t="shared" si="0"/>
        <v>توليد توسعه - دارخوين</v>
      </c>
      <c r="E13" s="2">
        <v>0</v>
      </c>
      <c r="F13" s="2">
        <v>13200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1204738</v>
      </c>
      <c r="M13" s="2">
        <v>0</v>
      </c>
      <c r="N13" s="2">
        <v>0</v>
      </c>
      <c r="O13" s="2">
        <v>1388888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750000</v>
      </c>
      <c r="W13" s="2">
        <v>0</v>
      </c>
      <c r="X13" s="2">
        <v>0</v>
      </c>
      <c r="Y13" s="2">
        <v>3442109</v>
      </c>
      <c r="Z13" s="2">
        <v>516315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3248660</v>
      </c>
      <c r="AG13" s="2">
        <v>200000</v>
      </c>
      <c r="AH13" s="2">
        <v>1100000</v>
      </c>
      <c r="AI13" s="2">
        <v>0</v>
      </c>
      <c r="AJ13" s="2">
        <v>1012000</v>
      </c>
      <c r="AK13" s="2">
        <v>960000</v>
      </c>
      <c r="AL13" s="2">
        <v>0</v>
      </c>
      <c r="AM13" s="2">
        <v>0</v>
      </c>
      <c r="AN13" s="2">
        <v>12892920</v>
      </c>
      <c r="AO13" s="2">
        <v>0</v>
      </c>
      <c r="AP13" s="2">
        <v>1045625</v>
      </c>
      <c r="AQ13" s="2">
        <v>0</v>
      </c>
      <c r="AR13" s="2">
        <v>13200</v>
      </c>
      <c r="AS13" s="2">
        <v>17115579</v>
      </c>
      <c r="AT13" s="2">
        <v>20459205</v>
      </c>
      <c r="AU13" s="2">
        <v>3343626</v>
      </c>
      <c r="AV13" s="2" t="str">
        <f t="shared" si="1"/>
        <v>گروه مالياتي 50 درصدي خدماتي</v>
      </c>
      <c r="AW13" s="2" t="str">
        <f t="shared" si="2"/>
        <v>شعبه شادگان</v>
      </c>
      <c r="AX13" s="2" t="str">
        <f>"50546913"</f>
        <v>50546913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1388888</v>
      </c>
      <c r="BE13" s="2">
        <v>20277784</v>
      </c>
      <c r="BF13" s="2">
        <v>9722216</v>
      </c>
      <c r="BG13" s="2">
        <v>30000000</v>
      </c>
      <c r="BH13" s="2">
        <v>30000000</v>
      </c>
    </row>
    <row r="14" spans="1:60">
      <c r="A14" s="59">
        <v>13</v>
      </c>
      <c r="B14" s="2" t="str">
        <f>"9157058"</f>
        <v>9157058</v>
      </c>
      <c r="C14" s="2" t="str">
        <f>"طاهر پورحزبه"</f>
        <v>طاهر پورحزبه</v>
      </c>
      <c r="D14" s="2" t="str">
        <f t="shared" si="0"/>
        <v>توليد توسعه - دارخوين</v>
      </c>
      <c r="E14" s="2">
        <v>0</v>
      </c>
      <c r="F14" s="2">
        <v>13200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1111536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3175817</v>
      </c>
      <c r="Z14" s="2">
        <v>476373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200000</v>
      </c>
      <c r="AH14" s="2">
        <v>1100000</v>
      </c>
      <c r="AI14" s="2">
        <v>0</v>
      </c>
      <c r="AJ14" s="2">
        <v>1012000</v>
      </c>
      <c r="AK14" s="2">
        <v>960000</v>
      </c>
      <c r="AL14" s="2">
        <v>0</v>
      </c>
      <c r="AM14" s="2">
        <v>0</v>
      </c>
      <c r="AN14" s="2">
        <v>11561460</v>
      </c>
      <c r="AO14" s="2">
        <v>0</v>
      </c>
      <c r="AP14" s="2">
        <v>1045625</v>
      </c>
      <c r="AQ14" s="2">
        <v>0</v>
      </c>
      <c r="AR14" s="2">
        <v>13200</v>
      </c>
      <c r="AS14" s="2">
        <v>14767549</v>
      </c>
      <c r="AT14" s="2">
        <v>15879085</v>
      </c>
      <c r="AU14" s="2">
        <v>1111536</v>
      </c>
      <c r="AV14" s="2" t="str">
        <f t="shared" si="1"/>
        <v>گروه مالياتي 50 درصدي خدماتي</v>
      </c>
      <c r="AW14" s="2" t="str">
        <f t="shared" si="2"/>
        <v>شعبه شادگان</v>
      </c>
      <c r="AX14" s="2" t="str">
        <f>"52537454"</f>
        <v>52537454</v>
      </c>
    </row>
    <row r="15" spans="1:60">
      <c r="A15" s="59">
        <v>14</v>
      </c>
      <c r="B15" s="2" t="str">
        <f>"9157059"</f>
        <v>9157059</v>
      </c>
      <c r="C15" s="2" t="str">
        <f>"رحيم سياحي"</f>
        <v>رحيم سياحي</v>
      </c>
      <c r="D15" s="2" t="str">
        <f t="shared" si="0"/>
        <v>توليد توسعه - دارخوين</v>
      </c>
      <c r="E15" s="2">
        <v>0</v>
      </c>
      <c r="F15" s="2">
        <v>13200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959462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2741321</v>
      </c>
      <c r="Z15" s="2">
        <v>411198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1624330</v>
      </c>
      <c r="AG15" s="2">
        <v>200000</v>
      </c>
      <c r="AH15" s="2">
        <v>1100000</v>
      </c>
      <c r="AI15" s="2">
        <v>0</v>
      </c>
      <c r="AJ15" s="2">
        <v>1012000</v>
      </c>
      <c r="AK15" s="2">
        <v>960000</v>
      </c>
      <c r="AL15" s="2">
        <v>0</v>
      </c>
      <c r="AM15" s="2">
        <v>0</v>
      </c>
      <c r="AN15" s="2">
        <v>9120300</v>
      </c>
      <c r="AO15" s="2">
        <v>332880</v>
      </c>
      <c r="AP15" s="2">
        <v>981425</v>
      </c>
      <c r="AQ15" s="2">
        <v>0</v>
      </c>
      <c r="AR15" s="2">
        <v>13200</v>
      </c>
      <c r="AS15" s="2">
        <v>14371473</v>
      </c>
      <c r="AT15" s="2">
        <v>15330935</v>
      </c>
      <c r="AU15" s="2">
        <v>959462</v>
      </c>
      <c r="AV15" s="2" t="str">
        <f t="shared" si="1"/>
        <v>گروه مالياتي 50 درصدي خدماتي</v>
      </c>
      <c r="AW15" s="2" t="str">
        <f t="shared" si="2"/>
        <v>شعبه شادگان</v>
      </c>
      <c r="AX15" s="2" t="str">
        <f>"57963719"</f>
        <v>57963719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</row>
    <row r="16" spans="1:60">
      <c r="A16" s="59">
        <v>15</v>
      </c>
      <c r="B16" s="2" t="str">
        <f>"9157060"</f>
        <v>9157060</v>
      </c>
      <c r="C16" s="2" t="str">
        <f>"مرد سياحي"</f>
        <v>مرد سياحي</v>
      </c>
      <c r="D16" s="2" t="str">
        <f t="shared" si="0"/>
        <v>توليد توسعه - دارخوين</v>
      </c>
      <c r="E16" s="2">
        <v>0</v>
      </c>
      <c r="F16" s="2">
        <v>13200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964638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2756108</v>
      </c>
      <c r="Z16" s="2">
        <v>413416</v>
      </c>
      <c r="AA16" s="2">
        <v>1</v>
      </c>
      <c r="AB16" s="2">
        <v>0</v>
      </c>
      <c r="AC16" s="2">
        <v>0</v>
      </c>
      <c r="AD16" s="2">
        <v>0</v>
      </c>
      <c r="AE16" s="2">
        <v>0</v>
      </c>
      <c r="AF16" s="2">
        <v>1624330</v>
      </c>
      <c r="AG16" s="2">
        <v>200000</v>
      </c>
      <c r="AH16" s="2">
        <v>1100000</v>
      </c>
      <c r="AI16" s="2">
        <v>0</v>
      </c>
      <c r="AJ16" s="2">
        <v>1012000</v>
      </c>
      <c r="AK16" s="2">
        <v>960000</v>
      </c>
      <c r="AL16" s="2">
        <v>0</v>
      </c>
      <c r="AM16" s="2">
        <v>406813</v>
      </c>
      <c r="AN16" s="2">
        <v>9120300</v>
      </c>
      <c r="AO16" s="2">
        <v>0</v>
      </c>
      <c r="AP16" s="2">
        <v>981425</v>
      </c>
      <c r="AQ16" s="2">
        <v>0</v>
      </c>
      <c r="AR16" s="2">
        <v>13200</v>
      </c>
      <c r="AS16" s="2">
        <v>14440230</v>
      </c>
      <c r="AT16" s="2">
        <v>15404868</v>
      </c>
      <c r="AU16" s="2">
        <v>964638</v>
      </c>
      <c r="AV16" s="2" t="str">
        <f t="shared" si="1"/>
        <v>گروه مالياتي 50 درصدي خدماتي</v>
      </c>
      <c r="AW16" s="2" t="str">
        <f t="shared" si="2"/>
        <v>شعبه شادگان</v>
      </c>
      <c r="AX16" s="2" t="str">
        <f>"57787686"</f>
        <v>57787686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</row>
    <row r="17" spans="1:60">
      <c r="A17" s="59">
        <v>16</v>
      </c>
      <c r="B17" s="2" t="str">
        <f>"9157065"</f>
        <v>9157065</v>
      </c>
      <c r="C17" s="2" t="str">
        <f>"رحيم عقباوي"</f>
        <v>رحيم عقباوي</v>
      </c>
      <c r="D17" s="2" t="str">
        <f t="shared" si="0"/>
        <v>توليد توسعه - دارخوين</v>
      </c>
      <c r="E17" s="2">
        <v>3000</v>
      </c>
      <c r="F17" s="2">
        <v>13200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1324833</v>
      </c>
      <c r="M17" s="2">
        <v>0</v>
      </c>
      <c r="N17" s="2">
        <v>0</v>
      </c>
      <c r="O17" s="2">
        <v>1388888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750000</v>
      </c>
      <c r="W17" s="2">
        <v>0</v>
      </c>
      <c r="X17" s="2">
        <v>0</v>
      </c>
      <c r="Y17" s="2">
        <v>3785236</v>
      </c>
      <c r="Z17" s="2">
        <v>567785</v>
      </c>
      <c r="AA17" s="2">
        <v>0</v>
      </c>
      <c r="AB17" s="2">
        <v>4182414</v>
      </c>
      <c r="AC17" s="2">
        <v>0</v>
      </c>
      <c r="AD17" s="2">
        <v>0</v>
      </c>
      <c r="AE17" s="2">
        <v>0</v>
      </c>
      <c r="AF17" s="2">
        <v>2436495</v>
      </c>
      <c r="AG17" s="2">
        <v>200000</v>
      </c>
      <c r="AH17" s="2">
        <v>1100000</v>
      </c>
      <c r="AI17" s="2">
        <v>0</v>
      </c>
      <c r="AJ17" s="2">
        <v>1012000</v>
      </c>
      <c r="AK17" s="2">
        <v>960000</v>
      </c>
      <c r="AL17" s="2">
        <v>0</v>
      </c>
      <c r="AM17" s="2">
        <v>0</v>
      </c>
      <c r="AN17" s="2">
        <v>10451820</v>
      </c>
      <c r="AO17" s="2">
        <v>0</v>
      </c>
      <c r="AP17" s="2">
        <v>1019945</v>
      </c>
      <c r="AQ17" s="2">
        <v>0</v>
      </c>
      <c r="AR17" s="2">
        <v>13200</v>
      </c>
      <c r="AS17" s="2">
        <v>17898953</v>
      </c>
      <c r="AT17" s="2">
        <v>21362674</v>
      </c>
      <c r="AU17" s="2">
        <v>3463721</v>
      </c>
      <c r="AV17" s="2" t="str">
        <f t="shared" si="1"/>
        <v>گروه مالياتي 50 درصدي خدماتي</v>
      </c>
      <c r="AW17" s="2" t="str">
        <f t="shared" si="2"/>
        <v>شعبه شادگان</v>
      </c>
      <c r="AX17" s="2" t="str">
        <f>"57950611"</f>
        <v>57950611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1388888</v>
      </c>
      <c r="BE17" s="2">
        <v>20277784</v>
      </c>
      <c r="BF17" s="2">
        <v>9722216</v>
      </c>
      <c r="BG17" s="2">
        <v>30000000</v>
      </c>
      <c r="BH17" s="2">
        <v>30000000</v>
      </c>
    </row>
    <row r="18" spans="1:60">
      <c r="A18" s="59">
        <v>17</v>
      </c>
      <c r="B18" s="2" t="str">
        <f>"9157066"</f>
        <v>9157066</v>
      </c>
      <c r="C18" s="2" t="str">
        <f>"جمشيد فرحانيان"</f>
        <v>جمشيد فرحانيان</v>
      </c>
      <c r="D18" s="2" t="str">
        <f t="shared" si="0"/>
        <v>توليد توسعه - دارخوين</v>
      </c>
      <c r="E18" s="2">
        <v>0</v>
      </c>
      <c r="F18" s="2">
        <v>13200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1071798</v>
      </c>
      <c r="M18" s="2">
        <v>0</v>
      </c>
      <c r="N18" s="2">
        <v>0</v>
      </c>
      <c r="O18" s="2">
        <v>1388888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750000</v>
      </c>
      <c r="W18" s="2">
        <v>0</v>
      </c>
      <c r="X18" s="2">
        <v>0</v>
      </c>
      <c r="Y18" s="2">
        <v>3062279</v>
      </c>
      <c r="Z18" s="2">
        <v>459342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3248660</v>
      </c>
      <c r="AG18" s="2">
        <v>200000</v>
      </c>
      <c r="AH18" s="2">
        <v>1100000</v>
      </c>
      <c r="AI18" s="2">
        <v>0</v>
      </c>
      <c r="AJ18" s="2">
        <v>1012000</v>
      </c>
      <c r="AK18" s="2">
        <v>960000</v>
      </c>
      <c r="AL18" s="2">
        <v>0</v>
      </c>
      <c r="AM18" s="2">
        <v>0</v>
      </c>
      <c r="AN18" s="2">
        <v>11006610</v>
      </c>
      <c r="AO18" s="2">
        <v>0</v>
      </c>
      <c r="AP18" s="2">
        <v>1032785</v>
      </c>
      <c r="AQ18" s="2">
        <v>0</v>
      </c>
      <c r="AR18" s="2">
        <v>13200</v>
      </c>
      <c r="AS18" s="2">
        <v>15349369</v>
      </c>
      <c r="AT18" s="2">
        <v>18560055</v>
      </c>
      <c r="AU18" s="2">
        <v>3210686</v>
      </c>
      <c r="AV18" s="2" t="str">
        <f t="shared" si="1"/>
        <v>گروه مالياتي 50 درصدي خدماتي</v>
      </c>
      <c r="AW18" s="2" t="str">
        <f t="shared" si="2"/>
        <v>شعبه شادگان</v>
      </c>
      <c r="AX18" s="2" t="str">
        <f>"57951656"</f>
        <v>57951656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1388888</v>
      </c>
      <c r="BE18" s="2">
        <v>45833304</v>
      </c>
      <c r="BF18" s="2">
        <v>4166696</v>
      </c>
      <c r="BG18" s="2">
        <v>50000000</v>
      </c>
      <c r="BH18" s="2">
        <v>50000000</v>
      </c>
    </row>
    <row r="19" spans="1:60">
      <c r="A19" s="59">
        <v>18</v>
      </c>
      <c r="B19" s="2" t="str">
        <f>"9157068"</f>
        <v>9157068</v>
      </c>
      <c r="C19" s="2" t="str">
        <f>"مجتبي قنواتي زاده"</f>
        <v>مجتبي قنواتي زاده</v>
      </c>
      <c r="D19" s="2" t="str">
        <f t="shared" si="0"/>
        <v>توليد توسعه - دارخوين</v>
      </c>
      <c r="E19" s="2">
        <v>0</v>
      </c>
      <c r="F19" s="2">
        <v>13200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1032064</v>
      </c>
      <c r="M19" s="2">
        <v>0</v>
      </c>
      <c r="N19" s="2">
        <v>0</v>
      </c>
      <c r="O19" s="2">
        <v>1195732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2948753</v>
      </c>
      <c r="Z19" s="2">
        <v>442313</v>
      </c>
      <c r="AA19" s="2">
        <v>1</v>
      </c>
      <c r="AB19" s="2">
        <v>0</v>
      </c>
      <c r="AC19" s="2">
        <v>0</v>
      </c>
      <c r="AD19" s="2">
        <v>0</v>
      </c>
      <c r="AE19" s="2">
        <v>0</v>
      </c>
      <c r="AF19" s="2">
        <v>1624330</v>
      </c>
      <c r="AG19" s="2">
        <v>200000</v>
      </c>
      <c r="AH19" s="2">
        <v>1100000</v>
      </c>
      <c r="AI19" s="2">
        <v>0</v>
      </c>
      <c r="AJ19" s="2">
        <v>1012000</v>
      </c>
      <c r="AK19" s="2">
        <v>960000</v>
      </c>
      <c r="AL19" s="2">
        <v>0</v>
      </c>
      <c r="AM19" s="2">
        <v>0</v>
      </c>
      <c r="AN19" s="2">
        <v>10451820</v>
      </c>
      <c r="AO19" s="2">
        <v>0</v>
      </c>
      <c r="AP19" s="2">
        <v>1019945</v>
      </c>
      <c r="AQ19" s="2">
        <v>0</v>
      </c>
      <c r="AR19" s="2">
        <v>13200</v>
      </c>
      <c r="AS19" s="2">
        <v>14140299</v>
      </c>
      <c r="AT19" s="2">
        <v>16368095</v>
      </c>
      <c r="AU19" s="2">
        <v>2227796</v>
      </c>
      <c r="AV19" s="2" t="str">
        <f t="shared" si="1"/>
        <v>گروه مالياتي 50 درصدي خدماتي</v>
      </c>
      <c r="AW19" s="2" t="str">
        <f t="shared" si="2"/>
        <v>شعبه شادگان</v>
      </c>
      <c r="AX19" s="2" t="str">
        <f>"57964338"</f>
        <v>57964338</v>
      </c>
      <c r="AY19" s="2">
        <v>650000</v>
      </c>
      <c r="AZ19" s="2">
        <v>4550000</v>
      </c>
      <c r="BA19" s="2">
        <v>3250000</v>
      </c>
      <c r="BB19" s="2">
        <v>7800000</v>
      </c>
      <c r="BC19" s="2">
        <v>7800000</v>
      </c>
      <c r="BD19" s="2">
        <v>545732</v>
      </c>
      <c r="BE19" s="2">
        <v>0</v>
      </c>
      <c r="BF19" s="2">
        <v>545732</v>
      </c>
      <c r="BG19" s="2">
        <v>545732</v>
      </c>
      <c r="BH19" s="2">
        <v>545732</v>
      </c>
    </row>
    <row r="20" spans="1:60">
      <c r="A20" s="59">
        <v>19</v>
      </c>
      <c r="B20" s="2" t="str">
        <f>"9157070"</f>
        <v>9157070</v>
      </c>
      <c r="C20" s="2" t="str">
        <f>"فاضل مقدم"</f>
        <v>فاضل مقدم</v>
      </c>
      <c r="D20" s="2" t="str">
        <f t="shared" si="0"/>
        <v>توليد توسعه - دارخوين</v>
      </c>
      <c r="E20" s="2">
        <v>0</v>
      </c>
      <c r="F20" s="2">
        <v>13200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1071798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3062279</v>
      </c>
      <c r="Z20" s="2">
        <v>459342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2436495</v>
      </c>
      <c r="AG20" s="2">
        <v>200000</v>
      </c>
      <c r="AH20" s="2">
        <v>1100000</v>
      </c>
      <c r="AI20" s="2">
        <v>0</v>
      </c>
      <c r="AJ20" s="2">
        <v>1012000</v>
      </c>
      <c r="AK20" s="2">
        <v>960000</v>
      </c>
      <c r="AL20" s="2">
        <v>0</v>
      </c>
      <c r="AM20" s="2">
        <v>0</v>
      </c>
      <c r="AN20" s="2">
        <v>11006610</v>
      </c>
      <c r="AO20" s="2">
        <v>0</v>
      </c>
      <c r="AP20" s="2">
        <v>1032785</v>
      </c>
      <c r="AQ20" s="2">
        <v>0</v>
      </c>
      <c r="AR20" s="2">
        <v>13200</v>
      </c>
      <c r="AS20" s="2">
        <v>16676092</v>
      </c>
      <c r="AT20" s="2">
        <v>17747890</v>
      </c>
      <c r="AU20" s="2">
        <v>1071798</v>
      </c>
      <c r="AV20" s="2" t="str">
        <f t="shared" si="1"/>
        <v>گروه مالياتي 50 درصدي خدماتي</v>
      </c>
      <c r="AW20" s="2" t="str">
        <f t="shared" si="2"/>
        <v>شعبه شادگان</v>
      </c>
      <c r="AX20" s="2" t="str">
        <f>"76306655"</f>
        <v>76306655</v>
      </c>
    </row>
    <row r="21" spans="1:60">
      <c r="A21" s="59">
        <v>20</v>
      </c>
      <c r="B21" s="2" t="str">
        <f>"9157072"</f>
        <v>9157072</v>
      </c>
      <c r="C21" s="2" t="str">
        <f>"محمدامين نادري"</f>
        <v>محمدامين نادري</v>
      </c>
      <c r="D21" s="2" t="str">
        <f t="shared" si="0"/>
        <v>توليد توسعه - دارخوين</v>
      </c>
      <c r="E21" s="2">
        <v>0</v>
      </c>
      <c r="F21" s="2">
        <v>13200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1000574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2858783</v>
      </c>
      <c r="Z21" s="2">
        <v>428817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812165</v>
      </c>
      <c r="AG21" s="2">
        <v>200000</v>
      </c>
      <c r="AH21" s="2">
        <v>1100000</v>
      </c>
      <c r="AI21" s="2">
        <v>0</v>
      </c>
      <c r="AJ21" s="2">
        <v>1012000</v>
      </c>
      <c r="AK21" s="2">
        <v>960000</v>
      </c>
      <c r="AL21" s="2">
        <v>0</v>
      </c>
      <c r="AM21" s="2">
        <v>0</v>
      </c>
      <c r="AN21" s="2">
        <v>10007970</v>
      </c>
      <c r="AO21" s="2">
        <v>0</v>
      </c>
      <c r="AP21" s="2">
        <v>1013945</v>
      </c>
      <c r="AQ21" s="2">
        <v>0</v>
      </c>
      <c r="AR21" s="2">
        <v>13200</v>
      </c>
      <c r="AS21" s="2">
        <v>14105506</v>
      </c>
      <c r="AT21" s="2">
        <v>15106080</v>
      </c>
      <c r="AU21" s="2">
        <v>1000574</v>
      </c>
      <c r="AV21" s="2" t="str">
        <f t="shared" si="1"/>
        <v>گروه مالياتي 50 درصدي خدماتي</v>
      </c>
      <c r="AW21" s="2" t="str">
        <f t="shared" si="2"/>
        <v>شعبه شادگان</v>
      </c>
      <c r="AX21" s="2" t="str">
        <f>"57959895"</f>
        <v>57959895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</row>
    <row r="22" spans="1:60">
      <c r="A22" s="59">
        <v>21</v>
      </c>
      <c r="B22" s="2" t="str">
        <f>"9157075"</f>
        <v>9157075</v>
      </c>
      <c r="C22" s="2" t="str">
        <f>"علي پورحزبه"</f>
        <v>علي پورحزبه</v>
      </c>
      <c r="D22" s="2" t="str">
        <f t="shared" si="0"/>
        <v>توليد توسعه - دارخوين</v>
      </c>
      <c r="E22" s="2">
        <v>0</v>
      </c>
      <c r="F22" s="2">
        <v>13200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1031585</v>
      </c>
      <c r="M22" s="2">
        <v>0</v>
      </c>
      <c r="N22" s="2">
        <v>0</v>
      </c>
      <c r="O22" s="2">
        <v>1388888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750000</v>
      </c>
      <c r="W22" s="2">
        <v>0</v>
      </c>
      <c r="X22" s="2">
        <v>0</v>
      </c>
      <c r="Y22" s="2">
        <v>2947385</v>
      </c>
      <c r="Z22" s="2">
        <v>442108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812165</v>
      </c>
      <c r="AG22" s="2">
        <v>200000</v>
      </c>
      <c r="AH22" s="2">
        <v>1100000</v>
      </c>
      <c r="AI22" s="2">
        <v>0</v>
      </c>
      <c r="AJ22" s="2">
        <v>1012000</v>
      </c>
      <c r="AK22" s="2">
        <v>960000</v>
      </c>
      <c r="AL22" s="2">
        <v>0</v>
      </c>
      <c r="AM22" s="2">
        <v>0</v>
      </c>
      <c r="AN22" s="2">
        <v>10451820</v>
      </c>
      <c r="AO22" s="2">
        <v>0</v>
      </c>
      <c r="AP22" s="2">
        <v>1013105</v>
      </c>
      <c r="AQ22" s="2">
        <v>0</v>
      </c>
      <c r="AR22" s="2">
        <v>13200</v>
      </c>
      <c r="AS22" s="2">
        <v>12378617</v>
      </c>
      <c r="AT22" s="2">
        <v>15549090</v>
      </c>
      <c r="AU22" s="2">
        <v>3170473</v>
      </c>
      <c r="AV22" s="2" t="str">
        <f t="shared" si="1"/>
        <v>گروه مالياتي 50 درصدي خدماتي</v>
      </c>
      <c r="AW22" s="2" t="str">
        <f t="shared" si="2"/>
        <v>شعبه شادگان</v>
      </c>
      <c r="AX22" s="2" t="str">
        <f>"52551779"</f>
        <v>52551779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1388888</v>
      </c>
      <c r="BE22" s="2">
        <v>12499992</v>
      </c>
      <c r="BF22" s="2">
        <v>37500008</v>
      </c>
      <c r="BG22" s="2">
        <v>50000000</v>
      </c>
      <c r="BH22" s="2">
        <v>50000000</v>
      </c>
    </row>
    <row r="23" spans="1:60">
      <c r="A23" s="59">
        <v>22</v>
      </c>
      <c r="B23" s="2" t="str">
        <f>"9157077"</f>
        <v>9157077</v>
      </c>
      <c r="C23" s="2" t="str">
        <f>"جاسم جامدي باوي"</f>
        <v>جاسم جامدي باوي</v>
      </c>
      <c r="D23" s="2" t="str">
        <f t="shared" si="0"/>
        <v>توليد توسعه - دارخوين</v>
      </c>
      <c r="E23" s="2">
        <v>180</v>
      </c>
      <c r="F23" s="2">
        <v>13200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1048711</v>
      </c>
      <c r="M23" s="2">
        <v>0</v>
      </c>
      <c r="N23" s="2">
        <v>0</v>
      </c>
      <c r="O23" s="2">
        <v>2277778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750000</v>
      </c>
      <c r="W23" s="2">
        <v>0</v>
      </c>
      <c r="X23" s="2">
        <v>0</v>
      </c>
      <c r="Y23" s="2">
        <v>2996318</v>
      </c>
      <c r="Z23" s="2">
        <v>449448</v>
      </c>
      <c r="AA23" s="2">
        <v>0</v>
      </c>
      <c r="AB23" s="2">
        <v>250664</v>
      </c>
      <c r="AC23" s="2">
        <v>0</v>
      </c>
      <c r="AD23" s="2">
        <v>0</v>
      </c>
      <c r="AE23" s="2">
        <v>0</v>
      </c>
      <c r="AF23" s="2">
        <v>1624330</v>
      </c>
      <c r="AG23" s="2">
        <v>200000</v>
      </c>
      <c r="AH23" s="2">
        <v>1100000</v>
      </c>
      <c r="AI23" s="2">
        <v>0</v>
      </c>
      <c r="AJ23" s="2">
        <v>1012000</v>
      </c>
      <c r="AK23" s="2">
        <v>960000</v>
      </c>
      <c r="AL23" s="2">
        <v>0</v>
      </c>
      <c r="AM23" s="2">
        <v>0</v>
      </c>
      <c r="AN23" s="2">
        <v>10007970</v>
      </c>
      <c r="AO23" s="2">
        <v>443850</v>
      </c>
      <c r="AP23" s="2">
        <v>1007105</v>
      </c>
      <c r="AQ23" s="2">
        <v>0</v>
      </c>
      <c r="AR23" s="2">
        <v>13200</v>
      </c>
      <c r="AS23" s="2">
        <v>12529430</v>
      </c>
      <c r="AT23" s="2">
        <v>16605919</v>
      </c>
      <c r="AU23" s="2">
        <v>4076489</v>
      </c>
      <c r="AV23" s="2" t="str">
        <f t="shared" si="1"/>
        <v>گروه مالياتي 50 درصدي خدماتي</v>
      </c>
      <c r="AW23" s="2" t="str">
        <f t="shared" si="2"/>
        <v>شعبه شادگان</v>
      </c>
      <c r="AX23" s="2" t="str">
        <f>"57963718"</f>
        <v>57963718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2277778</v>
      </c>
      <c r="BE23" s="2">
        <v>4166664</v>
      </c>
      <c r="BF23" s="2">
        <v>46722226</v>
      </c>
      <c r="BG23" s="2">
        <v>50888890</v>
      </c>
      <c r="BH23" s="2">
        <v>50888890</v>
      </c>
    </row>
    <row r="24" spans="1:60">
      <c r="A24" s="59">
        <v>23</v>
      </c>
      <c r="B24" s="2" t="str">
        <f>"9157081"</f>
        <v>9157081</v>
      </c>
      <c r="C24" s="2" t="str">
        <f>"فهد چاملي"</f>
        <v>فهد چاملي</v>
      </c>
      <c r="D24" s="2" t="str">
        <f t="shared" si="0"/>
        <v>توليد توسعه - دارخوين</v>
      </c>
      <c r="E24" s="2">
        <v>0</v>
      </c>
      <c r="F24" s="2">
        <v>13200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1000574</v>
      </c>
      <c r="M24" s="2">
        <v>0</v>
      </c>
      <c r="N24" s="2">
        <v>0</v>
      </c>
      <c r="O24" s="2">
        <v>2038888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750000</v>
      </c>
      <c r="W24" s="2">
        <v>0</v>
      </c>
      <c r="X24" s="2">
        <v>0</v>
      </c>
      <c r="Y24" s="2">
        <v>2858783</v>
      </c>
      <c r="Z24" s="2">
        <v>428817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1624330</v>
      </c>
      <c r="AG24" s="2">
        <v>200000</v>
      </c>
      <c r="AH24" s="2">
        <v>1100000</v>
      </c>
      <c r="AI24" s="2">
        <v>0</v>
      </c>
      <c r="AJ24" s="2">
        <v>1012000</v>
      </c>
      <c r="AK24" s="2">
        <v>960000</v>
      </c>
      <c r="AL24" s="2">
        <v>0</v>
      </c>
      <c r="AM24" s="2">
        <v>0</v>
      </c>
      <c r="AN24" s="2">
        <v>10007970</v>
      </c>
      <c r="AO24" s="2">
        <v>0</v>
      </c>
      <c r="AP24" s="2">
        <v>1013945</v>
      </c>
      <c r="AQ24" s="2">
        <v>0</v>
      </c>
      <c r="AR24" s="2">
        <v>13200</v>
      </c>
      <c r="AS24" s="2">
        <v>12128783</v>
      </c>
      <c r="AT24" s="2">
        <v>15918245</v>
      </c>
      <c r="AU24" s="2">
        <v>3789462</v>
      </c>
      <c r="AV24" s="2" t="str">
        <f t="shared" si="1"/>
        <v>گروه مالياتي 50 درصدي خدماتي</v>
      </c>
      <c r="AW24" s="2" t="str">
        <f t="shared" si="2"/>
        <v>شعبه شادگان</v>
      </c>
      <c r="AX24" s="2" t="str">
        <f>"57961939"</f>
        <v>57961939</v>
      </c>
      <c r="AY24" s="2">
        <v>650000</v>
      </c>
      <c r="AZ24" s="2">
        <v>4550000</v>
      </c>
      <c r="BA24" s="2">
        <v>3250000</v>
      </c>
      <c r="BB24" s="2">
        <v>7800000</v>
      </c>
      <c r="BC24" s="2">
        <v>7800000</v>
      </c>
      <c r="BD24" s="2">
        <v>1388888</v>
      </c>
      <c r="BE24" s="2">
        <v>47222192</v>
      </c>
      <c r="BF24" s="2">
        <v>2777808</v>
      </c>
      <c r="BG24" s="2">
        <v>50000000</v>
      </c>
      <c r="BH24" s="2">
        <v>50000000</v>
      </c>
    </row>
    <row r="25" spans="1:60">
      <c r="A25" s="59">
        <v>24</v>
      </c>
      <c r="B25" s="2" t="str">
        <f>"9157089"</f>
        <v>9157089</v>
      </c>
      <c r="C25" s="2" t="str">
        <f>"منصور خنفري راد"</f>
        <v>منصور خنفري راد</v>
      </c>
      <c r="D25" s="2" t="str">
        <f t="shared" si="0"/>
        <v>توليد توسعه - دارخوين</v>
      </c>
      <c r="E25" s="2">
        <v>900</v>
      </c>
      <c r="F25" s="2">
        <v>13200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1260754</v>
      </c>
      <c r="M25" s="2">
        <v>0</v>
      </c>
      <c r="N25" s="2">
        <v>0</v>
      </c>
      <c r="O25" s="2">
        <v>1950000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3602155</v>
      </c>
      <c r="Z25" s="2">
        <v>540323</v>
      </c>
      <c r="AA25" s="2">
        <v>0</v>
      </c>
      <c r="AB25" s="2">
        <v>1453119</v>
      </c>
      <c r="AC25" s="2">
        <v>0</v>
      </c>
      <c r="AD25" s="2">
        <v>0</v>
      </c>
      <c r="AE25" s="2">
        <v>0</v>
      </c>
      <c r="AF25" s="2">
        <v>1624330</v>
      </c>
      <c r="AG25" s="2">
        <v>200000</v>
      </c>
      <c r="AH25" s="2">
        <v>1100000</v>
      </c>
      <c r="AI25" s="2">
        <v>0</v>
      </c>
      <c r="AJ25" s="2">
        <v>1012000</v>
      </c>
      <c r="AK25" s="2">
        <v>960000</v>
      </c>
      <c r="AL25" s="2">
        <v>0</v>
      </c>
      <c r="AM25" s="2">
        <v>0</v>
      </c>
      <c r="AN25" s="2">
        <v>12227190</v>
      </c>
      <c r="AO25" s="2">
        <v>0</v>
      </c>
      <c r="AP25" s="2">
        <v>1058465</v>
      </c>
      <c r="AQ25" s="2">
        <v>0</v>
      </c>
      <c r="AR25" s="2">
        <v>13200</v>
      </c>
      <c r="AS25" s="2">
        <v>16424350</v>
      </c>
      <c r="AT25" s="2">
        <v>19635104</v>
      </c>
      <c r="AU25" s="2">
        <v>3210754</v>
      </c>
      <c r="AV25" s="2" t="str">
        <f t="shared" si="1"/>
        <v>گروه مالياتي 50 درصدي خدماتي</v>
      </c>
      <c r="AW25" s="2" t="str">
        <f t="shared" si="2"/>
        <v>شعبه شادگان</v>
      </c>
      <c r="AX25" s="2" t="str">
        <f>"57962868"</f>
        <v>57962868</v>
      </c>
      <c r="AY25" s="2">
        <v>1950000</v>
      </c>
      <c r="AZ25" s="2">
        <v>13650000</v>
      </c>
      <c r="BA25" s="2">
        <v>9750000</v>
      </c>
      <c r="BB25" s="2">
        <v>23400000</v>
      </c>
      <c r="BC25" s="2">
        <v>23400000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</row>
    <row r="26" spans="1:60">
      <c r="A26" s="59">
        <v>25</v>
      </c>
      <c r="B26" s="2" t="str">
        <f>"9157090"</f>
        <v>9157090</v>
      </c>
      <c r="C26" s="2" t="str">
        <f>"جميل زرگاني"</f>
        <v>جميل زرگاني</v>
      </c>
      <c r="D26" s="2" t="str">
        <f t="shared" si="0"/>
        <v>توليد توسعه - دارخوين</v>
      </c>
      <c r="E26" s="2">
        <v>0</v>
      </c>
      <c r="F26" s="2">
        <v>13200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1159036</v>
      </c>
      <c r="M26" s="2">
        <v>0</v>
      </c>
      <c r="N26" s="2">
        <v>0</v>
      </c>
      <c r="O26" s="2">
        <v>1388888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750000</v>
      </c>
      <c r="W26" s="2">
        <v>0</v>
      </c>
      <c r="X26" s="2">
        <v>0</v>
      </c>
      <c r="Y26" s="2">
        <v>3311531</v>
      </c>
      <c r="Z26" s="2">
        <v>496730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1624330</v>
      </c>
      <c r="AG26" s="2">
        <v>200000</v>
      </c>
      <c r="AH26" s="2">
        <v>1100000</v>
      </c>
      <c r="AI26" s="2">
        <v>0</v>
      </c>
      <c r="AJ26" s="2">
        <v>1012000</v>
      </c>
      <c r="AK26" s="2">
        <v>960000</v>
      </c>
      <c r="AL26" s="2">
        <v>0</v>
      </c>
      <c r="AM26" s="2">
        <v>0</v>
      </c>
      <c r="AN26" s="2">
        <v>12227190</v>
      </c>
      <c r="AO26" s="2">
        <v>0</v>
      </c>
      <c r="AP26" s="2">
        <v>1058465</v>
      </c>
      <c r="AQ26" s="2">
        <v>0</v>
      </c>
      <c r="AR26" s="2">
        <v>13200</v>
      </c>
      <c r="AS26" s="2">
        <v>14884061</v>
      </c>
      <c r="AT26" s="2">
        <v>18181985</v>
      </c>
      <c r="AU26" s="2">
        <v>3297924</v>
      </c>
      <c r="AV26" s="2" t="str">
        <f t="shared" si="1"/>
        <v>گروه مالياتي 50 درصدي خدماتي</v>
      </c>
      <c r="AW26" s="2" t="str">
        <f t="shared" si="2"/>
        <v>شعبه شادگان</v>
      </c>
      <c r="AX26" s="2" t="str">
        <f>"57959541"</f>
        <v>57959541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1388888</v>
      </c>
      <c r="BE26" s="2">
        <v>31944424</v>
      </c>
      <c r="BF26" s="2">
        <v>18055576</v>
      </c>
      <c r="BG26" s="2">
        <v>50000000</v>
      </c>
      <c r="BH26" s="2">
        <v>50000000</v>
      </c>
    </row>
    <row r="27" spans="1:60">
      <c r="A27" s="59">
        <v>26</v>
      </c>
      <c r="B27" s="2" t="str">
        <f>"9157091"</f>
        <v>9157091</v>
      </c>
      <c r="C27" s="2" t="str">
        <f>"علي ساري"</f>
        <v>علي ساري</v>
      </c>
      <c r="D27" s="2" t="str">
        <f t="shared" si="0"/>
        <v>توليد توسعه - دارخوين</v>
      </c>
      <c r="E27" s="2">
        <v>0</v>
      </c>
      <c r="F27" s="2">
        <v>13200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1000095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2857415</v>
      </c>
      <c r="Z27" s="2">
        <v>428612</v>
      </c>
      <c r="AA27" s="2">
        <v>1</v>
      </c>
      <c r="AB27" s="2">
        <v>0</v>
      </c>
      <c r="AC27" s="2">
        <v>0</v>
      </c>
      <c r="AD27" s="2">
        <v>0</v>
      </c>
      <c r="AE27" s="2">
        <v>0</v>
      </c>
      <c r="AF27" s="2">
        <v>812165</v>
      </c>
      <c r="AG27" s="2">
        <v>200000</v>
      </c>
      <c r="AH27" s="2">
        <v>1100000</v>
      </c>
      <c r="AI27" s="2">
        <v>0</v>
      </c>
      <c r="AJ27" s="2">
        <v>1012000</v>
      </c>
      <c r="AK27" s="2">
        <v>960000</v>
      </c>
      <c r="AL27" s="2">
        <v>0</v>
      </c>
      <c r="AM27" s="2">
        <v>0</v>
      </c>
      <c r="AN27" s="2">
        <v>10007970</v>
      </c>
      <c r="AO27" s="2">
        <v>0</v>
      </c>
      <c r="AP27" s="2">
        <v>1007105</v>
      </c>
      <c r="AQ27" s="2">
        <v>0</v>
      </c>
      <c r="AR27" s="2">
        <v>13200</v>
      </c>
      <c r="AS27" s="2">
        <v>14099145</v>
      </c>
      <c r="AT27" s="2">
        <v>15099240</v>
      </c>
      <c r="AU27" s="2">
        <v>1000095</v>
      </c>
      <c r="AV27" s="2" t="str">
        <f t="shared" si="1"/>
        <v>گروه مالياتي 50 درصدي خدماتي</v>
      </c>
      <c r="AW27" s="2" t="str">
        <f t="shared" si="2"/>
        <v>شعبه شادگان</v>
      </c>
      <c r="AX27" s="2" t="str">
        <f>"52564961"</f>
        <v>52564961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</row>
    <row r="28" spans="1:60">
      <c r="E28" s="46">
        <f>SUM(E2:E27)</f>
        <v>4080</v>
      </c>
      <c r="F28" s="46">
        <f t="shared" ref="F28:AM28" si="3">SUM(F2:F27)</f>
        <v>343200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 t="shared" si="3"/>
        <v>28607297</v>
      </c>
      <c r="M28" s="46">
        <f t="shared" si="3"/>
        <v>0</v>
      </c>
      <c r="N28" s="46">
        <f t="shared" si="3"/>
        <v>202461</v>
      </c>
      <c r="O28" s="46">
        <f t="shared" si="3"/>
        <v>24040166</v>
      </c>
      <c r="P28" s="46">
        <f t="shared" si="3"/>
        <v>0</v>
      </c>
      <c r="Q28" s="46">
        <f t="shared" si="3"/>
        <v>0</v>
      </c>
      <c r="R28" s="46">
        <f t="shared" si="3"/>
        <v>0</v>
      </c>
      <c r="S28" s="46">
        <f t="shared" si="3"/>
        <v>0</v>
      </c>
      <c r="T28" s="46">
        <f t="shared" si="3"/>
        <v>0</v>
      </c>
      <c r="U28" s="46">
        <f t="shared" si="3"/>
        <v>0</v>
      </c>
      <c r="V28" s="46">
        <f t="shared" si="3"/>
        <v>9750000</v>
      </c>
      <c r="W28" s="46">
        <f t="shared" si="3"/>
        <v>0</v>
      </c>
      <c r="X28" s="46">
        <f t="shared" si="3"/>
        <v>0</v>
      </c>
      <c r="Y28" s="46">
        <f t="shared" si="3"/>
        <v>81735131</v>
      </c>
      <c r="Z28" s="46">
        <f t="shared" si="3"/>
        <v>12260271</v>
      </c>
      <c r="AA28" s="46">
        <f t="shared" si="3"/>
        <v>6</v>
      </c>
      <c r="AB28" s="46">
        <f t="shared" si="3"/>
        <v>5886197</v>
      </c>
      <c r="AC28" s="46">
        <f t="shared" si="3"/>
        <v>0</v>
      </c>
      <c r="AD28" s="46">
        <f t="shared" si="3"/>
        <v>0</v>
      </c>
      <c r="AE28" s="46">
        <f t="shared" si="3"/>
        <v>0</v>
      </c>
      <c r="AF28" s="46">
        <f t="shared" si="3"/>
        <v>36547425</v>
      </c>
      <c r="AG28" s="46">
        <f t="shared" si="3"/>
        <v>5200000</v>
      </c>
      <c r="AH28" s="46">
        <f t="shared" si="3"/>
        <v>28600000</v>
      </c>
      <c r="AI28" s="46">
        <f t="shared" si="3"/>
        <v>0</v>
      </c>
      <c r="AJ28" s="46">
        <f t="shared" si="3"/>
        <v>26312000</v>
      </c>
      <c r="AK28" s="46">
        <f t="shared" si="3"/>
        <v>24960000</v>
      </c>
      <c r="AL28" s="46">
        <f t="shared" si="3"/>
        <v>0</v>
      </c>
      <c r="AM28" s="46">
        <f t="shared" si="3"/>
        <v>509171</v>
      </c>
      <c r="AN28" s="46">
        <f t="shared" ref="AN28:BC28" si="4">SUM(AN2:AN27)</f>
        <v>287725590</v>
      </c>
      <c r="AO28" s="46">
        <f t="shared" si="4"/>
        <v>1553460</v>
      </c>
      <c r="AP28" s="46">
        <f t="shared" si="4"/>
        <v>26730850</v>
      </c>
      <c r="AQ28" s="46">
        <f t="shared" si="4"/>
        <v>1198380</v>
      </c>
      <c r="AR28" s="46">
        <f t="shared" si="4"/>
        <v>343200</v>
      </c>
      <c r="AS28" s="46">
        <f t="shared" si="4"/>
        <v>382623149</v>
      </c>
      <c r="AT28" s="46">
        <f t="shared" si="4"/>
        <v>445223073</v>
      </c>
      <c r="AU28" s="46">
        <f t="shared" si="4"/>
        <v>62599924</v>
      </c>
      <c r="AV28" s="46">
        <f t="shared" si="4"/>
        <v>0</v>
      </c>
      <c r="AW28" s="46">
        <f t="shared" si="4"/>
        <v>0</v>
      </c>
      <c r="AX28" s="46">
        <f t="shared" si="4"/>
        <v>0</v>
      </c>
      <c r="AY28" s="46">
        <f t="shared" si="4"/>
        <v>4550000</v>
      </c>
      <c r="AZ28" s="46">
        <f t="shared" si="4"/>
        <v>31850000</v>
      </c>
      <c r="BA28" s="46">
        <f t="shared" si="4"/>
        <v>22750000</v>
      </c>
      <c r="BB28" s="46">
        <f t="shared" si="4"/>
        <v>54600000</v>
      </c>
      <c r="BC28" s="46">
        <f t="shared" si="4"/>
        <v>54600000</v>
      </c>
      <c r="BD28" s="46">
        <f t="shared" ref="BD28:BH28" si="5">SUM(BD2:BD27)</f>
        <v>19490166</v>
      </c>
      <c r="BE28" s="46">
        <f t="shared" si="5"/>
        <v>352499832</v>
      </c>
      <c r="BF28" s="46">
        <f t="shared" si="5"/>
        <v>238934790</v>
      </c>
      <c r="BG28" s="46">
        <f t="shared" si="5"/>
        <v>591434622</v>
      </c>
      <c r="BH28" s="46">
        <f t="shared" si="5"/>
        <v>591434622</v>
      </c>
    </row>
    <row r="30" spans="1:60" s="46" customFormat="1">
      <c r="E30" s="46">
        <v>4080</v>
      </c>
      <c r="F30" s="46">
        <v>343200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28607297</v>
      </c>
      <c r="M30" s="46">
        <v>0</v>
      </c>
      <c r="N30" s="46">
        <v>202461</v>
      </c>
      <c r="O30" s="46">
        <v>24040166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9750000</v>
      </c>
      <c r="W30" s="46">
        <v>0</v>
      </c>
      <c r="X30" s="46">
        <v>0</v>
      </c>
      <c r="Y30" s="46">
        <v>81735131</v>
      </c>
      <c r="Z30" s="46">
        <v>12260271</v>
      </c>
      <c r="AA30" s="46">
        <v>6</v>
      </c>
      <c r="AB30" s="46">
        <v>5886197</v>
      </c>
      <c r="AC30" s="46">
        <v>0</v>
      </c>
      <c r="AD30" s="46">
        <v>0</v>
      </c>
      <c r="AE30" s="46">
        <v>0</v>
      </c>
      <c r="AF30" s="46">
        <v>36547425</v>
      </c>
      <c r="AG30" s="46">
        <v>5200000</v>
      </c>
      <c r="AH30" s="46">
        <v>28600000</v>
      </c>
      <c r="AI30" s="46">
        <v>0</v>
      </c>
      <c r="AJ30" s="46">
        <v>26312000</v>
      </c>
      <c r="AK30" s="46">
        <v>24960000</v>
      </c>
      <c r="AL30" s="46">
        <v>0</v>
      </c>
      <c r="AM30" s="46">
        <v>509171</v>
      </c>
      <c r="AN30" s="46">
        <v>287725590</v>
      </c>
      <c r="AO30" s="46">
        <v>1553460</v>
      </c>
      <c r="AP30" s="46">
        <v>26730850</v>
      </c>
      <c r="AQ30" s="46">
        <v>1198380</v>
      </c>
      <c r="AR30" s="46">
        <v>343200</v>
      </c>
      <c r="AS30" s="46">
        <v>382623149</v>
      </c>
      <c r="AT30" s="46">
        <v>445223073</v>
      </c>
      <c r="AU30" s="46">
        <v>62599924</v>
      </c>
      <c r="AV30" s="46">
        <v>0</v>
      </c>
      <c r="AW30" s="46">
        <v>0</v>
      </c>
      <c r="AX30" s="46">
        <v>0</v>
      </c>
      <c r="AY30" s="46">
        <v>4550000</v>
      </c>
      <c r="AZ30" s="46">
        <v>31850000</v>
      </c>
      <c r="BA30" s="46">
        <v>22750000</v>
      </c>
      <c r="BB30" s="46">
        <v>54600000</v>
      </c>
      <c r="BC30" s="46">
        <v>54600000</v>
      </c>
      <c r="BD30" s="46">
        <v>19490166</v>
      </c>
      <c r="BE30" s="46">
        <v>352499832</v>
      </c>
      <c r="BF30" s="46">
        <v>238934790</v>
      </c>
      <c r="BG30" s="46">
        <v>591434622</v>
      </c>
      <c r="BH30" s="46">
        <v>591434622</v>
      </c>
    </row>
  </sheetData>
  <sortState columnSort="1" ref="A1:IK28">
    <sortCondition descending="1" ref="A28:IK2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topLeftCell="A19" zoomScale="70" zoomScaleNormal="70" workbookViewId="0">
      <selection activeCell="E32" sqref="E32"/>
    </sheetView>
  </sheetViews>
  <sheetFormatPr defaultRowHeight="27"/>
  <cols>
    <col min="1" max="1" width="16.28515625" style="61" bestFit="1" customWidth="1"/>
    <col min="2" max="2" width="25.28515625" style="61" bestFit="1" customWidth="1"/>
    <col min="3" max="3" width="25.42578125" style="61" bestFit="1" customWidth="1"/>
    <col min="4" max="5" width="17.42578125" style="61" bestFit="1" customWidth="1"/>
    <col min="6" max="6" width="18.28515625" style="61" bestFit="1" customWidth="1"/>
    <col min="7" max="7" width="32.85546875" style="61" bestFit="1" customWidth="1"/>
    <col min="8" max="8" width="30" style="61" bestFit="1" customWidth="1"/>
    <col min="9" max="9" width="31.140625" style="61" bestFit="1" customWidth="1"/>
    <col min="10" max="10" width="29.140625" style="61" bestFit="1" customWidth="1"/>
    <col min="11" max="11" width="28.7109375" style="61" bestFit="1" customWidth="1"/>
    <col min="12" max="12" width="29.7109375" style="61" bestFit="1" customWidth="1"/>
    <col min="13" max="13" width="32" style="61" bestFit="1" customWidth="1"/>
    <col min="14" max="14" width="34" style="61" bestFit="1" customWidth="1"/>
    <col min="15" max="16384" width="9.140625" style="61"/>
  </cols>
  <sheetData>
    <row r="1" spans="1:14">
      <c r="A1" s="60" t="s">
        <v>0</v>
      </c>
      <c r="B1" s="60" t="s">
        <v>1</v>
      </c>
      <c r="C1" s="60" t="s">
        <v>2</v>
      </c>
      <c r="D1" s="60" t="s">
        <v>137</v>
      </c>
      <c r="E1" s="60" t="s">
        <v>41</v>
      </c>
      <c r="F1" s="60" t="s">
        <v>136</v>
      </c>
      <c r="G1" s="60" t="s">
        <v>75</v>
      </c>
      <c r="H1" s="60" t="s">
        <v>76</v>
      </c>
      <c r="I1" s="60" t="s">
        <v>77</v>
      </c>
      <c r="J1" s="60" t="s">
        <v>78</v>
      </c>
      <c r="K1" s="60" t="s">
        <v>79</v>
      </c>
      <c r="L1" s="60" t="s">
        <v>80</v>
      </c>
      <c r="M1" s="60" t="s">
        <v>81</v>
      </c>
      <c r="N1" s="60" t="s">
        <v>82</v>
      </c>
    </row>
    <row r="2" spans="1:14">
      <c r="A2" s="62" t="s">
        <v>83</v>
      </c>
      <c r="B2" s="62" t="s">
        <v>84</v>
      </c>
      <c r="C2" s="62" t="s">
        <v>85</v>
      </c>
      <c r="D2" s="62">
        <f>IF(F2*2&gt;24364980,24364980,F2*2)/12</f>
        <v>1976397.5</v>
      </c>
      <c r="E2" s="62">
        <f>F2/12</f>
        <v>988198.75</v>
      </c>
      <c r="F2" s="62">
        <f>SUM(G2:N2)</f>
        <v>11858385</v>
      </c>
      <c r="G2" s="62">
        <v>1100000</v>
      </c>
      <c r="H2" s="62">
        <v>0</v>
      </c>
      <c r="I2" s="62">
        <v>200000</v>
      </c>
      <c r="J2" s="62">
        <v>9564120</v>
      </c>
      <c r="K2" s="62">
        <v>0</v>
      </c>
      <c r="L2" s="62">
        <v>0</v>
      </c>
      <c r="M2" s="62">
        <v>994265</v>
      </c>
      <c r="N2" s="62">
        <v>0</v>
      </c>
    </row>
    <row r="3" spans="1:14">
      <c r="A3" s="62" t="s">
        <v>86</v>
      </c>
      <c r="B3" s="62" t="s">
        <v>87</v>
      </c>
      <c r="C3" s="62" t="s">
        <v>85</v>
      </c>
      <c r="D3" s="62">
        <f t="shared" ref="D3:D28" si="0">IF(F3*2&gt;24364980,24364980,F3*2)/12</f>
        <v>2030415</v>
      </c>
      <c r="E3" s="62">
        <f t="shared" ref="E3:E28" si="1">F3/12</f>
        <v>1283151.6666666667</v>
      </c>
      <c r="F3" s="62">
        <f t="shared" ref="F3:F28" si="2">SUM(G3:N3)</f>
        <v>15397820</v>
      </c>
      <c r="G3" s="62">
        <v>1100000</v>
      </c>
      <c r="H3" s="62">
        <v>812165</v>
      </c>
      <c r="I3" s="62">
        <v>200000</v>
      </c>
      <c r="J3" s="62">
        <v>12227190</v>
      </c>
      <c r="K3" s="62">
        <v>0</v>
      </c>
      <c r="L3" s="62">
        <v>0</v>
      </c>
      <c r="M3" s="62">
        <v>1058465</v>
      </c>
      <c r="N3" s="62">
        <v>0</v>
      </c>
    </row>
    <row r="4" spans="1:14">
      <c r="A4" s="62" t="s">
        <v>88</v>
      </c>
      <c r="B4" s="62" t="s">
        <v>89</v>
      </c>
      <c r="C4" s="62" t="s">
        <v>85</v>
      </c>
      <c r="D4" s="62">
        <f t="shared" si="0"/>
        <v>2030415</v>
      </c>
      <c r="E4" s="62">
        <f t="shared" si="1"/>
        <v>1178226.6666666667</v>
      </c>
      <c r="F4" s="62">
        <f t="shared" si="2"/>
        <v>14138720</v>
      </c>
      <c r="G4" s="62">
        <v>1100000</v>
      </c>
      <c r="H4" s="62">
        <v>812165</v>
      </c>
      <c r="I4" s="62">
        <v>200000</v>
      </c>
      <c r="J4" s="62">
        <v>11006610</v>
      </c>
      <c r="K4" s="62">
        <v>0</v>
      </c>
      <c r="L4" s="62">
        <v>0</v>
      </c>
      <c r="M4" s="62">
        <v>1019945</v>
      </c>
      <c r="N4" s="62">
        <v>0</v>
      </c>
    </row>
    <row r="5" spans="1:14">
      <c r="A5" s="62" t="s">
        <v>90</v>
      </c>
      <c r="B5" s="62" t="s">
        <v>91</v>
      </c>
      <c r="C5" s="62" t="s">
        <v>85</v>
      </c>
      <c r="D5" s="62">
        <f t="shared" si="0"/>
        <v>2030415</v>
      </c>
      <c r="E5" s="62">
        <f t="shared" si="1"/>
        <v>1464999.5833333333</v>
      </c>
      <c r="F5" s="62">
        <f t="shared" si="2"/>
        <v>17579995</v>
      </c>
      <c r="G5" s="62">
        <v>1100000</v>
      </c>
      <c r="H5" s="62">
        <v>1624330</v>
      </c>
      <c r="I5" s="62">
        <v>200000</v>
      </c>
      <c r="J5" s="62">
        <v>13558680</v>
      </c>
      <c r="K5" s="62">
        <v>0</v>
      </c>
      <c r="L5" s="62">
        <v>0</v>
      </c>
      <c r="M5" s="62">
        <v>1096985</v>
      </c>
      <c r="N5" s="62">
        <v>0</v>
      </c>
    </row>
    <row r="6" spans="1:14">
      <c r="A6" s="62" t="s">
        <v>92</v>
      </c>
      <c r="B6" s="62" t="s">
        <v>93</v>
      </c>
      <c r="C6" s="62" t="s">
        <v>85</v>
      </c>
      <c r="D6" s="62">
        <f t="shared" si="0"/>
        <v>2030415</v>
      </c>
      <c r="E6" s="62">
        <f t="shared" si="1"/>
        <v>1471296.6666666667</v>
      </c>
      <c r="F6" s="62">
        <f t="shared" si="2"/>
        <v>17655560</v>
      </c>
      <c r="G6" s="62">
        <v>1100000</v>
      </c>
      <c r="H6" s="62">
        <v>812165</v>
      </c>
      <c r="I6" s="62">
        <v>200000</v>
      </c>
      <c r="J6" s="62">
        <v>14446410</v>
      </c>
      <c r="K6" s="62">
        <v>0</v>
      </c>
      <c r="L6" s="62">
        <v>0</v>
      </c>
      <c r="M6" s="62">
        <v>1096985</v>
      </c>
      <c r="N6" s="62">
        <v>0</v>
      </c>
    </row>
    <row r="7" spans="1:14">
      <c r="A7" s="62" t="s">
        <v>94</v>
      </c>
      <c r="B7" s="62" t="s">
        <v>95</v>
      </c>
      <c r="C7" s="62" t="s">
        <v>85</v>
      </c>
      <c r="D7" s="62">
        <f t="shared" si="0"/>
        <v>2030415</v>
      </c>
      <c r="E7" s="62">
        <f t="shared" si="1"/>
        <v>1315336.25</v>
      </c>
      <c r="F7" s="62">
        <f t="shared" si="2"/>
        <v>15784035</v>
      </c>
      <c r="G7" s="62">
        <v>1100000</v>
      </c>
      <c r="H7" s="62">
        <v>0</v>
      </c>
      <c r="I7" s="62">
        <v>200000</v>
      </c>
      <c r="J7" s="62">
        <v>12227190</v>
      </c>
      <c r="K7" s="62">
        <v>0</v>
      </c>
      <c r="L7" s="62">
        <v>1198380</v>
      </c>
      <c r="M7" s="62">
        <v>1058465</v>
      </c>
      <c r="N7" s="62">
        <v>0</v>
      </c>
    </row>
    <row r="8" spans="1:14">
      <c r="A8" s="62" t="s">
        <v>96</v>
      </c>
      <c r="B8" s="62" t="s">
        <v>97</v>
      </c>
      <c r="C8" s="62" t="s">
        <v>85</v>
      </c>
      <c r="D8" s="62">
        <f t="shared" si="0"/>
        <v>2030415</v>
      </c>
      <c r="E8" s="62">
        <f t="shared" si="1"/>
        <v>1429645.4166666667</v>
      </c>
      <c r="F8" s="62">
        <f t="shared" si="2"/>
        <v>17155745</v>
      </c>
      <c r="G8" s="62">
        <v>1100000</v>
      </c>
      <c r="H8" s="62">
        <v>3248660</v>
      </c>
      <c r="I8" s="62">
        <v>200000</v>
      </c>
      <c r="J8" s="62">
        <v>11561460</v>
      </c>
      <c r="K8" s="62">
        <v>0</v>
      </c>
      <c r="L8" s="62">
        <v>0</v>
      </c>
      <c r="M8" s="62">
        <v>1045625</v>
      </c>
      <c r="N8" s="62">
        <v>0</v>
      </c>
    </row>
    <row r="9" spans="1:14">
      <c r="A9" s="62" t="s">
        <v>98</v>
      </c>
      <c r="B9" s="62" t="s">
        <v>99</v>
      </c>
      <c r="C9" s="62" t="s">
        <v>85</v>
      </c>
      <c r="D9" s="62">
        <f t="shared" si="0"/>
        <v>2030415</v>
      </c>
      <c r="E9" s="62">
        <f t="shared" si="1"/>
        <v>1054094</v>
      </c>
      <c r="F9" s="62">
        <f t="shared" si="2"/>
        <v>12649128</v>
      </c>
      <c r="G9" s="62">
        <v>1100000</v>
      </c>
      <c r="H9" s="62">
        <v>812165</v>
      </c>
      <c r="I9" s="62">
        <v>200000</v>
      </c>
      <c r="J9" s="62">
        <v>9120300</v>
      </c>
      <c r="K9" s="62">
        <v>332880</v>
      </c>
      <c r="L9" s="62">
        <v>0</v>
      </c>
      <c r="M9" s="62">
        <v>981425</v>
      </c>
      <c r="N9" s="62">
        <v>102358</v>
      </c>
    </row>
    <row r="10" spans="1:14">
      <c r="A10" s="62" t="s">
        <v>100</v>
      </c>
      <c r="B10" s="62" t="s">
        <v>101</v>
      </c>
      <c r="C10" s="62" t="s">
        <v>85</v>
      </c>
      <c r="D10" s="62">
        <f t="shared" si="0"/>
        <v>2030415</v>
      </c>
      <c r="E10" s="62">
        <f t="shared" si="1"/>
        <v>1063243.75</v>
      </c>
      <c r="F10" s="62">
        <f t="shared" si="2"/>
        <v>12758925</v>
      </c>
      <c r="G10" s="62">
        <v>1100000</v>
      </c>
      <c r="H10" s="62">
        <v>0</v>
      </c>
      <c r="I10" s="62">
        <v>200000</v>
      </c>
      <c r="J10" s="62">
        <v>10007970</v>
      </c>
      <c r="K10" s="62">
        <v>443850</v>
      </c>
      <c r="L10" s="62">
        <v>0</v>
      </c>
      <c r="M10" s="62">
        <v>1007105</v>
      </c>
      <c r="N10" s="62">
        <v>0</v>
      </c>
    </row>
    <row r="11" spans="1:14">
      <c r="A11" s="62" t="s">
        <v>102</v>
      </c>
      <c r="B11" s="62" t="s">
        <v>103</v>
      </c>
      <c r="C11" s="62" t="s">
        <v>85</v>
      </c>
      <c r="D11" s="62">
        <f t="shared" si="0"/>
        <v>2030415</v>
      </c>
      <c r="E11" s="62">
        <f t="shared" si="1"/>
        <v>1199674.5833333333</v>
      </c>
      <c r="F11" s="62">
        <f t="shared" si="2"/>
        <v>14396095</v>
      </c>
      <c r="G11" s="62">
        <v>1100000</v>
      </c>
      <c r="H11" s="62">
        <v>1624330</v>
      </c>
      <c r="I11" s="62">
        <v>200000</v>
      </c>
      <c r="J11" s="62">
        <v>10451820</v>
      </c>
      <c r="K11" s="62">
        <v>0</v>
      </c>
      <c r="L11" s="62">
        <v>0</v>
      </c>
      <c r="M11" s="62">
        <v>1019945</v>
      </c>
      <c r="N11" s="62">
        <v>0</v>
      </c>
    </row>
    <row r="12" spans="1:14">
      <c r="A12" s="62" t="s">
        <v>104</v>
      </c>
      <c r="B12" s="62" t="s">
        <v>105</v>
      </c>
      <c r="C12" s="62" t="s">
        <v>85</v>
      </c>
      <c r="D12" s="62">
        <f t="shared" si="0"/>
        <v>2030415</v>
      </c>
      <c r="E12" s="62">
        <f t="shared" si="1"/>
        <v>1485122.9166666667</v>
      </c>
      <c r="F12" s="62">
        <f t="shared" si="2"/>
        <v>17821475</v>
      </c>
      <c r="G12" s="62">
        <v>1100000</v>
      </c>
      <c r="H12" s="62">
        <v>3248660</v>
      </c>
      <c r="I12" s="62">
        <v>200000</v>
      </c>
      <c r="J12" s="62">
        <v>12227190</v>
      </c>
      <c r="K12" s="62">
        <v>0</v>
      </c>
      <c r="L12" s="62">
        <v>0</v>
      </c>
      <c r="M12" s="62">
        <v>1045625</v>
      </c>
      <c r="N12" s="62">
        <v>0</v>
      </c>
    </row>
    <row r="13" spans="1:14">
      <c r="A13" s="62" t="s">
        <v>106</v>
      </c>
      <c r="B13" s="62" t="s">
        <v>107</v>
      </c>
      <c r="C13" s="62" t="s">
        <v>85</v>
      </c>
      <c r="D13" s="62">
        <f t="shared" si="0"/>
        <v>2030415</v>
      </c>
      <c r="E13" s="62">
        <f t="shared" si="1"/>
        <v>1113244.5833333333</v>
      </c>
      <c r="F13" s="62">
        <f t="shared" si="2"/>
        <v>13358935</v>
      </c>
      <c r="G13" s="62">
        <v>1100000</v>
      </c>
      <c r="H13" s="62">
        <v>1624330</v>
      </c>
      <c r="I13" s="62">
        <v>200000</v>
      </c>
      <c r="J13" s="62">
        <v>9120300</v>
      </c>
      <c r="K13" s="62">
        <v>332880</v>
      </c>
      <c r="L13" s="62">
        <v>0</v>
      </c>
      <c r="M13" s="62">
        <v>981425</v>
      </c>
      <c r="N13" s="62">
        <v>0</v>
      </c>
    </row>
    <row r="14" spans="1:14">
      <c r="A14" s="62" t="s">
        <v>108</v>
      </c>
      <c r="B14" s="62" t="s">
        <v>109</v>
      </c>
      <c r="C14" s="62" t="s">
        <v>85</v>
      </c>
      <c r="D14" s="62">
        <f t="shared" si="0"/>
        <v>2030415</v>
      </c>
      <c r="E14" s="62">
        <f t="shared" si="1"/>
        <v>1119405.6666666667</v>
      </c>
      <c r="F14" s="62">
        <f t="shared" si="2"/>
        <v>13432868</v>
      </c>
      <c r="G14" s="62">
        <v>1100000</v>
      </c>
      <c r="H14" s="62">
        <v>1624330</v>
      </c>
      <c r="I14" s="62">
        <v>200000</v>
      </c>
      <c r="J14" s="62">
        <v>9120300</v>
      </c>
      <c r="K14" s="62">
        <v>0</v>
      </c>
      <c r="L14" s="62">
        <v>0</v>
      </c>
      <c r="M14" s="62">
        <v>981425</v>
      </c>
      <c r="N14" s="62">
        <v>406813</v>
      </c>
    </row>
    <row r="15" spans="1:14">
      <c r="A15" s="62" t="s">
        <v>110</v>
      </c>
      <c r="B15" s="62" t="s">
        <v>111</v>
      </c>
      <c r="C15" s="62" t="s">
        <v>85</v>
      </c>
      <c r="D15" s="62">
        <f t="shared" si="0"/>
        <v>2030415</v>
      </c>
      <c r="E15" s="62">
        <f t="shared" si="1"/>
        <v>1267355</v>
      </c>
      <c r="F15" s="62">
        <f t="shared" si="2"/>
        <v>15208260</v>
      </c>
      <c r="G15" s="62">
        <v>1100000</v>
      </c>
      <c r="H15" s="62">
        <v>2436495</v>
      </c>
      <c r="I15" s="62">
        <v>200000</v>
      </c>
      <c r="J15" s="62">
        <v>10451820</v>
      </c>
      <c r="K15" s="62">
        <v>0</v>
      </c>
      <c r="L15" s="62">
        <v>0</v>
      </c>
      <c r="M15" s="62">
        <v>1019945</v>
      </c>
      <c r="N15" s="62">
        <v>0</v>
      </c>
    </row>
    <row r="16" spans="1:14">
      <c r="A16" s="62" t="s">
        <v>112</v>
      </c>
      <c r="B16" s="62" t="s">
        <v>113</v>
      </c>
      <c r="C16" s="62" t="s">
        <v>85</v>
      </c>
      <c r="D16" s="62">
        <f t="shared" si="0"/>
        <v>2030415</v>
      </c>
      <c r="E16" s="62">
        <f t="shared" si="1"/>
        <v>1382337.9166666667</v>
      </c>
      <c r="F16" s="62">
        <f t="shared" si="2"/>
        <v>16588055</v>
      </c>
      <c r="G16" s="62">
        <v>1100000</v>
      </c>
      <c r="H16" s="62">
        <v>3248660</v>
      </c>
      <c r="I16" s="62">
        <v>200000</v>
      </c>
      <c r="J16" s="62">
        <v>11006610</v>
      </c>
      <c r="K16" s="62">
        <v>0</v>
      </c>
      <c r="L16" s="62">
        <v>0</v>
      </c>
      <c r="M16" s="62">
        <v>1032785</v>
      </c>
      <c r="N16" s="62">
        <v>0</v>
      </c>
    </row>
    <row r="17" spans="1:14">
      <c r="A17" s="62" t="s">
        <v>114</v>
      </c>
      <c r="B17" s="62" t="s">
        <v>115</v>
      </c>
      <c r="C17" s="62" t="s">
        <v>85</v>
      </c>
      <c r="D17" s="62">
        <f t="shared" si="0"/>
        <v>2030415</v>
      </c>
      <c r="E17" s="62">
        <f t="shared" si="1"/>
        <v>1199674.5833333333</v>
      </c>
      <c r="F17" s="62">
        <f t="shared" si="2"/>
        <v>14396095</v>
      </c>
      <c r="G17" s="62">
        <v>1100000</v>
      </c>
      <c r="H17" s="62">
        <v>1624330</v>
      </c>
      <c r="I17" s="62">
        <v>200000</v>
      </c>
      <c r="J17" s="62">
        <v>10451820</v>
      </c>
      <c r="K17" s="62">
        <v>0</v>
      </c>
      <c r="L17" s="62">
        <v>0</v>
      </c>
      <c r="M17" s="62">
        <v>1019945</v>
      </c>
      <c r="N17" s="62">
        <v>0</v>
      </c>
    </row>
    <row r="18" spans="1:14">
      <c r="A18" s="62" t="s">
        <v>116</v>
      </c>
      <c r="B18" s="62" t="s">
        <v>117</v>
      </c>
      <c r="C18" s="62" t="s">
        <v>85</v>
      </c>
      <c r="D18" s="62">
        <f t="shared" si="0"/>
        <v>2030415</v>
      </c>
      <c r="E18" s="62">
        <f t="shared" si="1"/>
        <v>1094506.6666666667</v>
      </c>
      <c r="F18" s="62">
        <f t="shared" si="2"/>
        <v>13134080</v>
      </c>
      <c r="G18" s="62">
        <v>1100000</v>
      </c>
      <c r="H18" s="62">
        <v>812165</v>
      </c>
      <c r="I18" s="62">
        <v>200000</v>
      </c>
      <c r="J18" s="62">
        <v>10007970</v>
      </c>
      <c r="K18" s="62">
        <v>0</v>
      </c>
      <c r="L18" s="62">
        <v>0</v>
      </c>
      <c r="M18" s="62">
        <v>1013945</v>
      </c>
      <c r="N18" s="62">
        <v>0</v>
      </c>
    </row>
    <row r="19" spans="1:14">
      <c r="A19" s="62" t="s">
        <v>118</v>
      </c>
      <c r="B19" s="62" t="s">
        <v>119</v>
      </c>
      <c r="C19" s="62" t="s">
        <v>85</v>
      </c>
      <c r="D19" s="62">
        <f t="shared" si="0"/>
        <v>2030415</v>
      </c>
      <c r="E19" s="62">
        <f t="shared" si="1"/>
        <v>1131424.1666666667</v>
      </c>
      <c r="F19" s="62">
        <f t="shared" si="2"/>
        <v>13577090</v>
      </c>
      <c r="G19" s="62">
        <v>1100000</v>
      </c>
      <c r="H19" s="62">
        <v>812165</v>
      </c>
      <c r="I19" s="62">
        <v>200000</v>
      </c>
      <c r="J19" s="62">
        <v>10451820</v>
      </c>
      <c r="K19" s="62">
        <v>0</v>
      </c>
      <c r="L19" s="62">
        <v>0</v>
      </c>
      <c r="M19" s="62">
        <v>1013105</v>
      </c>
      <c r="N19" s="62">
        <v>0</v>
      </c>
    </row>
    <row r="20" spans="1:14">
      <c r="A20" s="62" t="s">
        <v>120</v>
      </c>
      <c r="B20" s="62" t="s">
        <v>121</v>
      </c>
      <c r="C20" s="62" t="s">
        <v>85</v>
      </c>
      <c r="D20" s="62">
        <f t="shared" si="0"/>
        <v>2030415</v>
      </c>
      <c r="E20" s="62">
        <f t="shared" si="1"/>
        <v>1198604.5833333333</v>
      </c>
      <c r="F20" s="62">
        <f t="shared" si="2"/>
        <v>14383255</v>
      </c>
      <c r="G20" s="62">
        <v>1100000</v>
      </c>
      <c r="H20" s="62">
        <v>1624330</v>
      </c>
      <c r="I20" s="62">
        <v>200000</v>
      </c>
      <c r="J20" s="62">
        <v>10007970</v>
      </c>
      <c r="K20" s="62">
        <v>443850</v>
      </c>
      <c r="L20" s="62">
        <v>0</v>
      </c>
      <c r="M20" s="62">
        <v>1007105</v>
      </c>
      <c r="N20" s="62">
        <v>0</v>
      </c>
    </row>
    <row r="21" spans="1:14">
      <c r="A21" s="62" t="s">
        <v>122</v>
      </c>
      <c r="B21" s="62" t="s">
        <v>123</v>
      </c>
      <c r="C21" s="62" t="s">
        <v>85</v>
      </c>
      <c r="D21" s="62">
        <f t="shared" si="0"/>
        <v>2030415</v>
      </c>
      <c r="E21" s="62">
        <f t="shared" si="1"/>
        <v>1162187.0833333333</v>
      </c>
      <c r="F21" s="62">
        <f t="shared" si="2"/>
        <v>13946245</v>
      </c>
      <c r="G21" s="62">
        <v>1100000</v>
      </c>
      <c r="H21" s="62">
        <v>1624330</v>
      </c>
      <c r="I21" s="62">
        <v>200000</v>
      </c>
      <c r="J21" s="62">
        <v>10007970</v>
      </c>
      <c r="K21" s="62">
        <v>0</v>
      </c>
      <c r="L21" s="62">
        <v>0</v>
      </c>
      <c r="M21" s="62">
        <v>1013945</v>
      </c>
      <c r="N21" s="62">
        <v>0</v>
      </c>
    </row>
    <row r="22" spans="1:14">
      <c r="A22" s="62" t="s">
        <v>124</v>
      </c>
      <c r="B22" s="62" t="s">
        <v>125</v>
      </c>
      <c r="C22" s="62" t="s">
        <v>85</v>
      </c>
      <c r="D22" s="62">
        <f t="shared" si="0"/>
        <v>2030415</v>
      </c>
      <c r="E22" s="62">
        <f t="shared" si="1"/>
        <v>1350832.0833333333</v>
      </c>
      <c r="F22" s="62">
        <f t="shared" si="2"/>
        <v>16209985</v>
      </c>
      <c r="G22" s="62">
        <v>1100000</v>
      </c>
      <c r="H22" s="62">
        <v>1624330</v>
      </c>
      <c r="I22" s="62">
        <v>200000</v>
      </c>
      <c r="J22" s="62">
        <v>12227190</v>
      </c>
      <c r="K22" s="62">
        <v>0</v>
      </c>
      <c r="L22" s="62">
        <v>0</v>
      </c>
      <c r="M22" s="62">
        <v>1058465</v>
      </c>
      <c r="N22" s="62">
        <v>0</v>
      </c>
    </row>
    <row r="23" spans="1:14">
      <c r="A23" s="62" t="s">
        <v>126</v>
      </c>
      <c r="B23" s="62" t="s">
        <v>127</v>
      </c>
      <c r="C23" s="62" t="s">
        <v>85</v>
      </c>
      <c r="D23" s="62">
        <f t="shared" si="0"/>
        <v>2030415</v>
      </c>
      <c r="E23" s="62">
        <f t="shared" si="1"/>
        <v>1350832.0833333333</v>
      </c>
      <c r="F23" s="62">
        <f t="shared" si="2"/>
        <v>16209985</v>
      </c>
      <c r="G23" s="62">
        <v>1100000</v>
      </c>
      <c r="H23" s="62">
        <v>1624330</v>
      </c>
      <c r="I23" s="62">
        <v>200000</v>
      </c>
      <c r="J23" s="62">
        <v>12227190</v>
      </c>
      <c r="K23" s="62">
        <v>0</v>
      </c>
      <c r="L23" s="62">
        <v>0</v>
      </c>
      <c r="M23" s="62">
        <v>1058465</v>
      </c>
      <c r="N23" s="62">
        <v>0</v>
      </c>
    </row>
    <row r="24" spans="1:14">
      <c r="A24" s="62" t="s">
        <v>128</v>
      </c>
      <c r="B24" s="62" t="s">
        <v>129</v>
      </c>
      <c r="C24" s="62" t="s">
        <v>85</v>
      </c>
      <c r="D24" s="62">
        <f t="shared" si="0"/>
        <v>2030415</v>
      </c>
      <c r="E24" s="62">
        <f t="shared" si="1"/>
        <v>1093936.6666666667</v>
      </c>
      <c r="F24" s="62">
        <f t="shared" si="2"/>
        <v>13127240</v>
      </c>
      <c r="G24" s="62">
        <v>1100000</v>
      </c>
      <c r="H24" s="62">
        <v>812165</v>
      </c>
      <c r="I24" s="62">
        <v>200000</v>
      </c>
      <c r="J24" s="62">
        <v>10007970</v>
      </c>
      <c r="K24" s="62">
        <v>0</v>
      </c>
      <c r="L24" s="62">
        <v>0</v>
      </c>
      <c r="M24" s="62">
        <v>1007105</v>
      </c>
      <c r="N24" s="62">
        <v>0</v>
      </c>
    </row>
    <row r="25" spans="1:14">
      <c r="A25" s="62" t="s">
        <v>130</v>
      </c>
      <c r="B25" s="62" t="s">
        <v>131</v>
      </c>
      <c r="C25" s="62" t="s">
        <v>85</v>
      </c>
      <c r="D25" s="62">
        <f t="shared" si="0"/>
        <v>2030415</v>
      </c>
      <c r="E25" s="62">
        <f t="shared" si="1"/>
        <v>1313587.5</v>
      </c>
      <c r="F25" s="62">
        <f t="shared" si="2"/>
        <v>15763050</v>
      </c>
      <c r="G25" s="62">
        <v>1100000</v>
      </c>
      <c r="H25" s="62">
        <v>2436495</v>
      </c>
      <c r="I25" s="62">
        <v>200000</v>
      </c>
      <c r="J25" s="62">
        <v>11006610</v>
      </c>
      <c r="K25" s="62">
        <v>0</v>
      </c>
      <c r="L25" s="62">
        <v>0</v>
      </c>
      <c r="M25" s="62">
        <v>1019945</v>
      </c>
      <c r="N25" s="62">
        <v>0</v>
      </c>
    </row>
    <row r="26" spans="1:14">
      <c r="A26" s="62" t="s">
        <v>132</v>
      </c>
      <c r="B26" s="62" t="s">
        <v>133</v>
      </c>
      <c r="C26" s="62" t="s">
        <v>85</v>
      </c>
      <c r="D26" s="62">
        <f t="shared" si="0"/>
        <v>2030415</v>
      </c>
      <c r="E26" s="62">
        <f t="shared" si="1"/>
        <v>1314657.5</v>
      </c>
      <c r="F26" s="62">
        <f t="shared" si="2"/>
        <v>15775890</v>
      </c>
      <c r="G26" s="62">
        <v>1100000</v>
      </c>
      <c r="H26" s="62">
        <v>2436495</v>
      </c>
      <c r="I26" s="62">
        <v>200000</v>
      </c>
      <c r="J26" s="62">
        <v>11006610</v>
      </c>
      <c r="K26" s="62">
        <v>0</v>
      </c>
      <c r="L26" s="62">
        <v>0</v>
      </c>
      <c r="M26" s="62">
        <v>1032785</v>
      </c>
      <c r="N26" s="62">
        <v>0</v>
      </c>
    </row>
    <row r="27" spans="1:14">
      <c r="A27" s="62" t="s">
        <v>134</v>
      </c>
      <c r="B27" s="62" t="s">
        <v>135</v>
      </c>
      <c r="C27" s="62" t="s">
        <v>85</v>
      </c>
      <c r="D27" s="62">
        <f t="shared" si="0"/>
        <v>2030415</v>
      </c>
      <c r="E27" s="62">
        <f t="shared" si="1"/>
        <v>1158923.75</v>
      </c>
      <c r="F27" s="62">
        <f t="shared" si="2"/>
        <v>13907085</v>
      </c>
      <c r="G27" s="62">
        <v>1100000</v>
      </c>
      <c r="H27" s="62">
        <v>0</v>
      </c>
      <c r="I27" s="62">
        <v>200000</v>
      </c>
      <c r="J27" s="62">
        <v>11561460</v>
      </c>
      <c r="K27" s="62">
        <v>0</v>
      </c>
      <c r="L27" s="62">
        <v>0</v>
      </c>
      <c r="M27" s="62">
        <v>1045625</v>
      </c>
      <c r="N27" s="62">
        <v>0</v>
      </c>
    </row>
    <row r="28" spans="1:14">
      <c r="D28" s="63">
        <f>SUM(D2:D27)</f>
        <v>52736772.5</v>
      </c>
      <c r="E28" s="63">
        <f>SUM(E2:E27)</f>
        <v>32184500.083333332</v>
      </c>
      <c r="F28" s="63"/>
      <c r="G28" s="63">
        <f t="shared" ref="G28:N28" si="3">SUM(G2:G27)</f>
        <v>28600000</v>
      </c>
      <c r="H28" s="63">
        <f t="shared" si="3"/>
        <v>37359590</v>
      </c>
      <c r="I28" s="63">
        <f t="shared" si="3"/>
        <v>5200000</v>
      </c>
      <c r="J28" s="63">
        <f t="shared" si="3"/>
        <v>285062550</v>
      </c>
      <c r="K28" s="63">
        <f t="shared" si="3"/>
        <v>1553460</v>
      </c>
      <c r="L28" s="63">
        <f t="shared" si="3"/>
        <v>1198380</v>
      </c>
      <c r="M28" s="63">
        <f t="shared" si="3"/>
        <v>26730850</v>
      </c>
      <c r="N28" s="63">
        <f t="shared" si="3"/>
        <v>509171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rightToLeft="1" tabSelected="1" view="pageBreakPreview" zoomScaleNormal="100" zoomScaleSheetLayoutView="100" workbookViewId="0">
      <selection activeCell="F9" sqref="F9"/>
    </sheetView>
  </sheetViews>
  <sheetFormatPr defaultRowHeight="15"/>
  <cols>
    <col min="1" max="1" width="5.5703125" style="5" customWidth="1"/>
    <col min="2" max="2" width="9.28515625" style="5" customWidth="1"/>
    <col min="3" max="3" width="15" style="5" customWidth="1"/>
    <col min="4" max="4" width="15.7109375" style="5" customWidth="1"/>
    <col min="5" max="5" width="20.7109375" style="5" customWidth="1"/>
    <col min="6" max="6" width="21.85546875" style="5" customWidth="1"/>
    <col min="7" max="7" width="17.140625" style="5" customWidth="1"/>
    <col min="8" max="8" width="17.28515625" style="5" customWidth="1"/>
    <col min="9" max="9" width="25.5703125" style="5" bestFit="1" customWidth="1"/>
    <col min="10" max="10" width="20.7109375" style="5" customWidth="1"/>
    <col min="11" max="11" width="5.5703125" style="5" customWidth="1"/>
    <col min="12" max="16384" width="9.140625" style="5"/>
  </cols>
  <sheetData>
    <row r="1" spans="1:11" ht="41.25" customHeight="1">
      <c r="A1" s="4"/>
      <c r="B1" s="49" t="s">
        <v>74</v>
      </c>
      <c r="C1" s="49"/>
      <c r="D1" s="49"/>
      <c r="E1" s="49"/>
      <c r="F1" s="49"/>
      <c r="G1" s="49"/>
      <c r="H1" s="49"/>
      <c r="I1" s="49"/>
      <c r="J1" s="49"/>
      <c r="K1" s="4"/>
    </row>
    <row r="2" spans="1:11" ht="26.25">
      <c r="A2" s="4"/>
      <c r="B2" s="6"/>
      <c r="C2" s="6"/>
      <c r="D2" s="6"/>
      <c r="E2" s="6"/>
      <c r="F2" s="6"/>
      <c r="G2" s="6"/>
      <c r="H2" s="6"/>
      <c r="I2" s="6"/>
      <c r="J2" s="6"/>
      <c r="K2" s="4"/>
    </row>
    <row r="3" spans="1:11" ht="24.75">
      <c r="A3" s="4"/>
      <c r="B3" s="7"/>
      <c r="C3" s="7"/>
      <c r="D3" s="7"/>
      <c r="E3" s="8"/>
      <c r="F3" s="8"/>
      <c r="G3" s="8"/>
      <c r="H3" s="8"/>
      <c r="I3" s="8"/>
      <c r="J3" s="8"/>
      <c r="K3" s="4"/>
    </row>
    <row r="4" spans="1:11" s="14" customFormat="1" ht="48">
      <c r="A4" s="9"/>
      <c r="B4" s="10" t="s">
        <v>36</v>
      </c>
      <c r="C4" s="10" t="s">
        <v>37</v>
      </c>
      <c r="D4" s="10" t="s">
        <v>38</v>
      </c>
      <c r="E4" s="11" t="s">
        <v>39</v>
      </c>
      <c r="F4" s="12" t="s">
        <v>40</v>
      </c>
      <c r="G4" s="12" t="s">
        <v>41</v>
      </c>
      <c r="H4" s="12" t="s">
        <v>42</v>
      </c>
      <c r="I4" s="12" t="s">
        <v>43</v>
      </c>
      <c r="J4" s="11" t="s">
        <v>44</v>
      </c>
      <c r="K4" s="13"/>
    </row>
    <row r="5" spans="1:11" ht="36.75" customHeight="1">
      <c r="A5" s="15"/>
      <c r="B5" s="16">
        <v>1</v>
      </c>
      <c r="C5" s="16" t="s">
        <v>73</v>
      </c>
      <c r="D5" s="16">
        <v>26</v>
      </c>
      <c r="E5" s="17">
        <f>'توليد توسعه دارخوين آبان '!AT28</f>
        <v>445223073</v>
      </c>
      <c r="F5" s="17">
        <f>'توليد توسعه دارخوين آبان '!Z28+'توليد توسعه دارخوين آبان '!Y28</f>
        <v>93995402</v>
      </c>
      <c r="G5" s="17">
        <f>'عیدی و سنوات '!E28</f>
        <v>32184500.083333332</v>
      </c>
      <c r="H5" s="17">
        <f>'عیدی و سنوات '!D28</f>
        <v>52736772.5</v>
      </c>
      <c r="I5" s="17">
        <f>'رفاهی '!G29</f>
        <v>7800000</v>
      </c>
      <c r="J5" s="17">
        <f>SUM(E5:I5)</f>
        <v>631939747.58333337</v>
      </c>
      <c r="K5" s="18"/>
    </row>
    <row r="6" spans="1:11" s="23" customFormat="1" ht="36.75" customHeight="1">
      <c r="A6" s="19"/>
      <c r="B6" s="20"/>
      <c r="C6" s="50" t="s">
        <v>44</v>
      </c>
      <c r="D6" s="51"/>
      <c r="E6" s="21">
        <f t="shared" ref="E6:J6" si="0">SUM(E5:E5)</f>
        <v>445223073</v>
      </c>
      <c r="F6" s="21">
        <f t="shared" si="0"/>
        <v>93995402</v>
      </c>
      <c r="G6" s="21">
        <f t="shared" si="0"/>
        <v>32184500.083333332</v>
      </c>
      <c r="H6" s="21">
        <f t="shared" si="0"/>
        <v>52736772.5</v>
      </c>
      <c r="I6" s="21">
        <f t="shared" si="0"/>
        <v>7800000</v>
      </c>
      <c r="J6" s="21">
        <f t="shared" si="0"/>
        <v>631939747.58333337</v>
      </c>
      <c r="K6" s="22"/>
    </row>
    <row r="7" spans="1:11" s="23" customFormat="1" ht="36.75" customHeight="1">
      <c r="A7" s="24"/>
      <c r="B7" s="19"/>
      <c r="C7" s="25"/>
      <c r="D7" s="26"/>
      <c r="E7" s="26"/>
      <c r="F7" s="24"/>
      <c r="G7" s="26"/>
      <c r="H7" s="26"/>
      <c r="I7" s="27" t="s">
        <v>45</v>
      </c>
      <c r="J7" s="28">
        <f>J6</f>
        <v>631939747.58333337</v>
      </c>
      <c r="K7" s="22"/>
    </row>
    <row r="8" spans="1:11" s="23" customFormat="1" ht="36.75" customHeight="1">
      <c r="A8" s="24"/>
      <c r="E8" s="29"/>
      <c r="F8" s="30"/>
      <c r="G8" s="31"/>
      <c r="I8" s="27" t="s">
        <v>46</v>
      </c>
      <c r="J8" s="28">
        <f>J7*9%</f>
        <v>56874577.282499999</v>
      </c>
      <c r="K8" s="22"/>
    </row>
    <row r="9" spans="1:11" s="23" customFormat="1" ht="36.75" customHeight="1">
      <c r="A9" s="32"/>
      <c r="B9" s="33"/>
      <c r="C9" s="33"/>
      <c r="D9" s="33"/>
      <c r="E9" s="34"/>
      <c r="F9" s="26"/>
      <c r="G9" s="34"/>
      <c r="H9" s="35"/>
      <c r="I9" s="36" t="s">
        <v>44</v>
      </c>
      <c r="J9" s="21">
        <f>J7+J8</f>
        <v>688814324.8658334</v>
      </c>
      <c r="K9" s="34"/>
    </row>
    <row r="10" spans="1:11" ht="24">
      <c r="D10" s="37"/>
      <c r="E10" s="37"/>
      <c r="H10" s="38"/>
      <c r="I10" s="39"/>
      <c r="J10" s="40"/>
    </row>
    <row r="11" spans="1:11" ht="26.25">
      <c r="B11" s="41"/>
      <c r="C11" s="41"/>
      <c r="D11" s="41"/>
      <c r="E11" s="41"/>
      <c r="F11" s="41"/>
      <c r="G11" s="41"/>
      <c r="H11" s="41"/>
      <c r="I11" s="42"/>
      <c r="J11" s="42"/>
      <c r="K11" s="42"/>
    </row>
    <row r="13" spans="1:11" ht="15.75" thickBot="1"/>
    <row r="14" spans="1:11" ht="129.94999999999999" customHeight="1" thickBot="1">
      <c r="A14" s="43"/>
      <c r="B14" s="52" t="s">
        <v>47</v>
      </c>
      <c r="C14" s="53"/>
      <c r="D14" s="54"/>
      <c r="E14" s="52" t="s">
        <v>48</v>
      </c>
      <c r="F14" s="53"/>
      <c r="G14" s="54"/>
      <c r="H14" s="55" t="s">
        <v>49</v>
      </c>
      <c r="I14" s="56"/>
      <c r="J14" s="57"/>
      <c r="K14" s="44"/>
    </row>
  </sheetData>
  <mergeCells count="5">
    <mergeCell ref="B1:J1"/>
    <mergeCell ref="C6:D6"/>
    <mergeCell ref="B14:D14"/>
    <mergeCell ref="E14:G14"/>
    <mergeCell ref="H14:J1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رفاهی </vt:lpstr>
      <vt:lpstr>توليد توسعه دارخوين آبان </vt:lpstr>
      <vt:lpstr>عیدی و سنوات </vt:lpstr>
      <vt:lpstr>جدول </vt:lpstr>
      <vt:lpstr>'جدول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2016-12-12T05:39:48Z</cp:lastPrinted>
  <dcterms:created xsi:type="dcterms:W3CDTF">2016-10-29T13:57:16Z</dcterms:created>
  <dcterms:modified xsi:type="dcterms:W3CDTF">2016-12-12T05:46:30Z</dcterms:modified>
</cp:coreProperties>
</file>