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قرارداد های فی مابین با شرکتها\صورت وضعیت سال 94\صورت وضعیت سال 94\تولید توسعه\دارخوین\دی دارخوین\"/>
    </mc:Choice>
  </mc:AlternateContent>
  <bookViews>
    <workbookView xWindow="0" yWindow="0" windowWidth="20400" windowHeight="9600" activeTab="4"/>
  </bookViews>
  <sheets>
    <sheet name="دي ماه توليد توسعه دارخوين " sheetId="1" r:id="rId1"/>
    <sheet name="رفاهیات میلاد حضرت رسول " sheetId="5" r:id="rId2"/>
    <sheet name="سنوات توليد توسعه دي ماه " sheetId="3" r:id="rId3"/>
    <sheet name="رفاهیات " sheetId="4" r:id="rId4"/>
    <sheet name="جدول  " sheetId="2" r:id="rId5"/>
  </sheets>
  <definedNames>
    <definedName name="_xlnm.Print_Area" localSheetId="4">'جدول  '!$A$1:$L$14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3" i="1" l="1"/>
  <c r="E33" i="5"/>
  <c r="H5" i="2" s="1"/>
  <c r="F35" i="4"/>
  <c r="C32" i="5" l="1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4" i="5"/>
  <c r="B4" i="5"/>
  <c r="A4" i="5"/>
  <c r="C3" i="5"/>
  <c r="B3" i="5"/>
  <c r="A3" i="5"/>
  <c r="C2" i="5"/>
  <c r="B2" i="5"/>
  <c r="A2" i="5"/>
  <c r="I5" i="2" l="1"/>
  <c r="G5" i="2"/>
  <c r="F5" i="2"/>
  <c r="E5" i="2"/>
  <c r="P33" i="3"/>
  <c r="Q33" i="3"/>
  <c r="R33" i="3"/>
  <c r="P3" i="3"/>
  <c r="Q3" i="3"/>
  <c r="R3" i="3"/>
  <c r="P4" i="3"/>
  <c r="Q4" i="3" s="1"/>
  <c r="R4" i="3"/>
  <c r="P5" i="3"/>
  <c r="Q5" i="3"/>
  <c r="R5" i="3"/>
  <c r="P6" i="3"/>
  <c r="Q6" i="3" s="1"/>
  <c r="R6" i="3"/>
  <c r="P7" i="3"/>
  <c r="Q7" i="3"/>
  <c r="R7" i="3"/>
  <c r="P8" i="3"/>
  <c r="Q8" i="3" s="1"/>
  <c r="R8" i="3"/>
  <c r="P9" i="3"/>
  <c r="Q9" i="3"/>
  <c r="R9" i="3"/>
  <c r="P10" i="3"/>
  <c r="Q10" i="3" s="1"/>
  <c r="R10" i="3"/>
  <c r="P11" i="3"/>
  <c r="Q11" i="3"/>
  <c r="R11" i="3"/>
  <c r="P12" i="3"/>
  <c r="Q12" i="3" s="1"/>
  <c r="R12" i="3"/>
  <c r="P13" i="3"/>
  <c r="Q13" i="3"/>
  <c r="R13" i="3"/>
  <c r="P14" i="3"/>
  <c r="Q14" i="3" s="1"/>
  <c r="R14" i="3"/>
  <c r="P15" i="3"/>
  <c r="Q15" i="3"/>
  <c r="R15" i="3"/>
  <c r="P16" i="3"/>
  <c r="Q16" i="3" s="1"/>
  <c r="R16" i="3"/>
  <c r="P17" i="3"/>
  <c r="Q17" i="3"/>
  <c r="R17" i="3"/>
  <c r="P18" i="3"/>
  <c r="Q18" i="3" s="1"/>
  <c r="R18" i="3"/>
  <c r="P19" i="3"/>
  <c r="Q19" i="3"/>
  <c r="R19" i="3"/>
  <c r="P20" i="3"/>
  <c r="Q20" i="3" s="1"/>
  <c r="R20" i="3"/>
  <c r="P21" i="3"/>
  <c r="Q21" i="3"/>
  <c r="R21" i="3"/>
  <c r="P22" i="3"/>
  <c r="Q22" i="3" s="1"/>
  <c r="R22" i="3"/>
  <c r="P23" i="3"/>
  <c r="Q23" i="3"/>
  <c r="R23" i="3"/>
  <c r="P24" i="3"/>
  <c r="Q24" i="3" s="1"/>
  <c r="R24" i="3"/>
  <c r="P25" i="3"/>
  <c r="Q25" i="3"/>
  <c r="R25" i="3"/>
  <c r="P26" i="3"/>
  <c r="Q26" i="3" s="1"/>
  <c r="R26" i="3"/>
  <c r="P27" i="3"/>
  <c r="Q27" i="3"/>
  <c r="R27" i="3"/>
  <c r="P28" i="3"/>
  <c r="Q28" i="3" s="1"/>
  <c r="R28" i="3"/>
  <c r="P29" i="3"/>
  <c r="Q29" i="3"/>
  <c r="R29" i="3"/>
  <c r="P30" i="3"/>
  <c r="Q30" i="3" s="1"/>
  <c r="R30" i="3"/>
  <c r="P31" i="3"/>
  <c r="Q31" i="3"/>
  <c r="R31" i="3"/>
  <c r="P32" i="3"/>
  <c r="Q32" i="3" s="1"/>
  <c r="R32" i="3"/>
  <c r="R2" i="3"/>
  <c r="Q2" i="3"/>
  <c r="P2" i="3"/>
  <c r="E33" i="3"/>
  <c r="F33" i="3"/>
  <c r="G33" i="3"/>
  <c r="H33" i="3"/>
  <c r="I33" i="3"/>
  <c r="J33" i="3"/>
  <c r="K33" i="3"/>
  <c r="L33" i="3"/>
  <c r="M33" i="3"/>
  <c r="N33" i="3"/>
  <c r="O33" i="3"/>
  <c r="D32" i="3"/>
  <c r="C32" i="3"/>
  <c r="B32" i="3"/>
  <c r="A32" i="3"/>
  <c r="D31" i="3"/>
  <c r="C31" i="3"/>
  <c r="B31" i="3"/>
  <c r="A31" i="3"/>
  <c r="D30" i="3"/>
  <c r="C30" i="3"/>
  <c r="B30" i="3"/>
  <c r="A30" i="3"/>
  <c r="D29" i="3"/>
  <c r="C29" i="3"/>
  <c r="B29" i="3"/>
  <c r="A29" i="3"/>
  <c r="D28" i="3"/>
  <c r="C28" i="3"/>
  <c r="B28" i="3"/>
  <c r="A28" i="3"/>
  <c r="D27" i="3"/>
  <c r="C27" i="3"/>
  <c r="B27" i="3"/>
  <c r="A27" i="3"/>
  <c r="D26" i="3"/>
  <c r="C26" i="3"/>
  <c r="B26" i="3"/>
  <c r="A26" i="3"/>
  <c r="D25" i="3"/>
  <c r="C25" i="3"/>
  <c r="B25" i="3"/>
  <c r="A25" i="3"/>
  <c r="D24" i="3"/>
  <c r="C24" i="3"/>
  <c r="B24" i="3"/>
  <c r="A24" i="3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13" i="3"/>
  <c r="C13" i="3"/>
  <c r="B13" i="3"/>
  <c r="A13" i="3"/>
  <c r="D12" i="3"/>
  <c r="C12" i="3"/>
  <c r="B12" i="3"/>
  <c r="A12" i="3"/>
  <c r="D11" i="3"/>
  <c r="C11" i="3"/>
  <c r="B11" i="3"/>
  <c r="A11" i="3"/>
  <c r="D10" i="3"/>
  <c r="C10" i="3"/>
  <c r="B10" i="3"/>
  <c r="A10" i="3"/>
  <c r="D9" i="3"/>
  <c r="C9" i="3"/>
  <c r="B9" i="3"/>
  <c r="A9" i="3"/>
  <c r="D8" i="3"/>
  <c r="C8" i="3"/>
  <c r="B8" i="3"/>
  <c r="A8" i="3"/>
  <c r="D7" i="3"/>
  <c r="C7" i="3"/>
  <c r="B7" i="3"/>
  <c r="A7" i="3"/>
  <c r="D6" i="3"/>
  <c r="C6" i="3"/>
  <c r="B6" i="3"/>
  <c r="A6" i="3"/>
  <c r="D5" i="3"/>
  <c r="C5" i="3"/>
  <c r="B5" i="3"/>
  <c r="A5" i="3"/>
  <c r="D4" i="3"/>
  <c r="C4" i="3"/>
  <c r="B4" i="3"/>
  <c r="A4" i="3"/>
  <c r="D3" i="3"/>
  <c r="C3" i="3"/>
  <c r="B3" i="3"/>
  <c r="A3" i="3"/>
  <c r="D2" i="3"/>
  <c r="C2" i="3"/>
  <c r="B2" i="3"/>
  <c r="A2" i="3"/>
  <c r="H6" i="2" l="1"/>
  <c r="F6" i="2"/>
  <c r="I6" i="2"/>
  <c r="G6" i="2"/>
  <c r="E6" i="2"/>
  <c r="J5" i="2" l="1"/>
  <c r="J6" i="2" s="1"/>
  <c r="K5" i="2" l="1"/>
  <c r="K6" i="2" s="1"/>
  <c r="K7" i="2" s="1"/>
  <c r="K8" i="2" s="1"/>
  <c r="K9" i="2" s="1"/>
  <c r="G33" i="1"/>
  <c r="F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F33" i="1"/>
  <c r="AG33" i="1"/>
  <c r="AH33" i="1"/>
  <c r="AI33" i="1"/>
  <c r="AJ33" i="1"/>
  <c r="E33" i="1"/>
  <c r="A32" i="1"/>
  <c r="B32" i="1"/>
  <c r="C32" i="1"/>
  <c r="D32" i="1"/>
  <c r="AD32" i="1"/>
  <c r="AE32" i="1"/>
  <c r="A22" i="1"/>
  <c r="B22" i="1"/>
  <c r="C22" i="1"/>
  <c r="D22" i="1"/>
  <c r="AD22" i="1"/>
  <c r="AE22" i="1"/>
  <c r="A23" i="1"/>
  <c r="B23" i="1"/>
  <c r="C23" i="1"/>
  <c r="D23" i="1"/>
  <c r="AD23" i="1"/>
  <c r="AE23" i="1"/>
  <c r="A24" i="1"/>
  <c r="B24" i="1"/>
  <c r="C24" i="1"/>
  <c r="D24" i="1"/>
  <c r="AD24" i="1"/>
  <c r="AE24" i="1"/>
  <c r="A25" i="1"/>
  <c r="B25" i="1"/>
  <c r="C25" i="1"/>
  <c r="D25" i="1"/>
  <c r="AD25" i="1"/>
  <c r="AE25" i="1"/>
  <c r="A26" i="1"/>
  <c r="B26" i="1"/>
  <c r="C26" i="1"/>
  <c r="D26" i="1"/>
  <c r="AD26" i="1"/>
  <c r="AE26" i="1"/>
  <c r="A27" i="1"/>
  <c r="B27" i="1"/>
  <c r="C27" i="1"/>
  <c r="D27" i="1"/>
  <c r="AD27" i="1"/>
  <c r="AE27" i="1"/>
  <c r="A28" i="1"/>
  <c r="B28" i="1"/>
  <c r="C28" i="1"/>
  <c r="D28" i="1"/>
  <c r="AD28" i="1"/>
  <c r="AE28" i="1"/>
  <c r="A29" i="1"/>
  <c r="B29" i="1"/>
  <c r="C29" i="1"/>
  <c r="D29" i="1"/>
  <c r="AD29" i="1"/>
  <c r="AE29" i="1"/>
  <c r="A30" i="1"/>
  <c r="B30" i="1"/>
  <c r="C30" i="1"/>
  <c r="D30" i="1"/>
  <c r="AD30" i="1"/>
  <c r="AE30" i="1"/>
  <c r="A31" i="1"/>
  <c r="B31" i="1"/>
  <c r="C31" i="1"/>
  <c r="D31" i="1"/>
  <c r="AD31" i="1"/>
  <c r="AE31" i="1"/>
  <c r="A12" i="1"/>
  <c r="B12" i="1"/>
  <c r="C12" i="1"/>
  <c r="D12" i="1"/>
  <c r="AD12" i="1"/>
  <c r="AE12" i="1"/>
  <c r="A13" i="1"/>
  <c r="B13" i="1"/>
  <c r="C13" i="1"/>
  <c r="D13" i="1"/>
  <c r="AD13" i="1"/>
  <c r="AE13" i="1"/>
  <c r="A14" i="1"/>
  <c r="B14" i="1"/>
  <c r="C14" i="1"/>
  <c r="D14" i="1"/>
  <c r="AD14" i="1"/>
  <c r="AE14" i="1"/>
  <c r="A15" i="1"/>
  <c r="B15" i="1"/>
  <c r="C15" i="1"/>
  <c r="D15" i="1"/>
  <c r="AD15" i="1"/>
  <c r="AE15" i="1"/>
  <c r="A16" i="1"/>
  <c r="B16" i="1"/>
  <c r="C16" i="1"/>
  <c r="D16" i="1"/>
  <c r="AD16" i="1"/>
  <c r="AE16" i="1"/>
  <c r="A17" i="1"/>
  <c r="B17" i="1"/>
  <c r="C17" i="1"/>
  <c r="D17" i="1"/>
  <c r="AD17" i="1"/>
  <c r="AE17" i="1"/>
  <c r="A18" i="1"/>
  <c r="B18" i="1"/>
  <c r="C18" i="1"/>
  <c r="D18" i="1"/>
  <c r="AD18" i="1"/>
  <c r="AE18" i="1"/>
  <c r="A19" i="1"/>
  <c r="B19" i="1"/>
  <c r="C19" i="1"/>
  <c r="D19" i="1"/>
  <c r="AD19" i="1"/>
  <c r="AE19" i="1"/>
  <c r="A20" i="1"/>
  <c r="B20" i="1"/>
  <c r="C20" i="1"/>
  <c r="D20" i="1"/>
  <c r="AD20" i="1"/>
  <c r="AE20" i="1"/>
  <c r="A21" i="1"/>
  <c r="B21" i="1"/>
  <c r="C21" i="1"/>
  <c r="D21" i="1"/>
  <c r="AD21" i="1"/>
  <c r="AE21" i="1"/>
  <c r="A2" i="1"/>
  <c r="B2" i="1"/>
  <c r="C2" i="1"/>
  <c r="D2" i="1"/>
  <c r="AD2" i="1"/>
  <c r="AE2" i="1"/>
  <c r="A3" i="1"/>
  <c r="B3" i="1"/>
  <c r="C3" i="1"/>
  <c r="D3" i="1"/>
  <c r="AD3" i="1"/>
  <c r="AE3" i="1"/>
  <c r="A4" i="1"/>
  <c r="B4" i="1"/>
  <c r="C4" i="1"/>
  <c r="D4" i="1"/>
  <c r="AD4" i="1"/>
  <c r="AE4" i="1"/>
  <c r="A5" i="1"/>
  <c r="B5" i="1"/>
  <c r="C5" i="1"/>
  <c r="D5" i="1"/>
  <c r="AD5" i="1"/>
  <c r="AE5" i="1"/>
  <c r="A6" i="1"/>
  <c r="B6" i="1"/>
  <c r="C6" i="1"/>
  <c r="D6" i="1"/>
  <c r="AD6" i="1"/>
  <c r="AE6" i="1"/>
  <c r="A7" i="1"/>
  <c r="B7" i="1"/>
  <c r="C7" i="1"/>
  <c r="D7" i="1"/>
  <c r="AD7" i="1"/>
  <c r="AE7" i="1"/>
  <c r="A8" i="1"/>
  <c r="B8" i="1"/>
  <c r="C8" i="1"/>
  <c r="D8" i="1"/>
  <c r="AD8" i="1"/>
  <c r="AE8" i="1"/>
  <c r="A9" i="1"/>
  <c r="B9" i="1"/>
  <c r="C9" i="1"/>
  <c r="D9" i="1"/>
  <c r="AD9" i="1"/>
  <c r="AE9" i="1"/>
  <c r="A10" i="1"/>
  <c r="B10" i="1"/>
  <c r="C10" i="1"/>
  <c r="D10" i="1"/>
  <c r="AD10" i="1"/>
  <c r="AE10" i="1"/>
  <c r="A11" i="1"/>
  <c r="B11" i="1"/>
  <c r="C11" i="1"/>
  <c r="D11" i="1"/>
  <c r="AD11" i="1"/>
  <c r="AE11" i="1"/>
  <c r="AE33" i="1" l="1"/>
  <c r="AD33" i="1"/>
</calcChain>
</file>

<file path=xl/sharedStrings.xml><?xml version="1.0" encoding="utf-8"?>
<sst xmlns="http://schemas.openxmlformats.org/spreadsheetml/2006/main" count="148" uniqueCount="104">
  <si>
    <t>كد ملي</t>
  </si>
  <si>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</si>
  <si>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</si>
  <si>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</si>
  <si>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</si>
  <si>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</si>
  <si>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</si>
  <si>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</si>
  <si>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</si>
  <si>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</si>
  <si>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حق ناهار</t>
  </si>
  <si>
    <t>اياب وذهاب</t>
  </si>
  <si>
    <t>فوق العاده مهد کودک</t>
  </si>
  <si>
    <t>تفاوت تطبيق</t>
  </si>
  <si>
    <t>مزد شغل</t>
  </si>
  <si>
    <t>مزد رتبه</t>
  </si>
  <si>
    <t>مزد سنوات</t>
  </si>
  <si>
    <t>مزد پست</t>
  </si>
  <si>
    <t>بيمه تامين اجتماعي - سهم كارمند</t>
  </si>
  <si>
    <t>مساعده</t>
  </si>
  <si>
    <t>ماليات</t>
  </si>
  <si>
    <t>جمع اقساط وام</t>
  </si>
  <si>
    <t>عضويت رفاه پارسيان</t>
  </si>
  <si>
    <t>بيمه تامين اجتماعي سهم كارفرما</t>
  </si>
  <si>
    <t>بيمه بيكاري</t>
  </si>
  <si>
    <t>كاركرد موثر</t>
  </si>
  <si>
    <t>خالص پرداختي</t>
  </si>
  <si>
    <t>جمع حقوق و مزايا</t>
  </si>
  <si>
    <t>جمع كسور</t>
  </si>
  <si>
    <t>شعبات سازمان تامين اجتماعي</t>
  </si>
  <si>
    <t>شماره بيمهء سازمان تامين اجتماعي</t>
  </si>
  <si>
    <t>باقيمانده‌ عضويت صندوق رفاه وپس انداز کارکنان</t>
  </si>
  <si>
    <t>مجموع اقساط‌عضويت صندوق رفاه وپس انداز کارکنان</t>
  </si>
  <si>
    <t>مبلغ‌عضويت صندوق رفاه وپس انداز کارکنان</t>
  </si>
  <si>
    <t xml:space="preserve"> مبلغ استقرارعضويت صندوق رفاه وپس انداز کارکنان</t>
  </si>
  <si>
    <t xml:space="preserve"> مبلغ قسط بيمه ايران شرکت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</si>
  <si>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</si>
  <si>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</si>
  <si>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</si>
  <si>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</si>
  <si>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</si>
  <si>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سنوات </t>
  </si>
  <si>
    <t xml:space="preserve">رفاهیات </t>
  </si>
  <si>
    <t xml:space="preserve">عیدی و پاداش </t>
  </si>
  <si>
    <t>سایر مزایا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</si>
  <si>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</si>
  <si>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</si>
  <si>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</si>
  <si>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</si>
  <si>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</si>
  <si>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</si>
  <si>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دی </t>
  </si>
  <si>
    <t xml:space="preserve">گزارش صورت وضعیت دی ماه 94پرسنل شرکت تولید توسعه انرژی اتمی (دارخوین) 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</si>
  <si>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</si>
  <si>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</si>
  <si>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</si>
  <si>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</si>
  <si>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</si>
  <si>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مزد پست</t>
  </si>
  <si>
    <t xml:space="preserve"> مبلغ در حكم سختي کار</t>
  </si>
  <si>
    <t xml:space="preserve"> مبلغ در حكم مزد سنوات</t>
  </si>
  <si>
    <t xml:space="preserve"> مبلغ در حكم ساير</t>
  </si>
  <si>
    <t xml:space="preserve"> مبلغ در حكم مزاياي ماندگاري پست</t>
  </si>
  <si>
    <t xml:space="preserve"> مبلغ در حكم تفاوت تطبيق</t>
  </si>
  <si>
    <t xml:space="preserve">حکم حقوقی </t>
  </si>
  <si>
    <t xml:space="preserve">عیدی </t>
  </si>
  <si>
    <t>كاركرد آذر94</t>
  </si>
  <si>
    <t>پاداش روز ولادت حضرت رسول</t>
  </si>
  <si>
    <t>یارانه ورزشی آذر94</t>
  </si>
  <si>
    <t>پرداختی</t>
  </si>
  <si>
    <t>توليد توسعه - دارخوين</t>
  </si>
  <si>
    <t>عيد آسماني</t>
  </si>
  <si>
    <t>كاظم آل بالدي</t>
  </si>
  <si>
    <t>عبداله البوبالد</t>
  </si>
  <si>
    <t>سعيد ال بوبالدي</t>
  </si>
  <si>
    <t>شريف آلبوبالدي</t>
  </si>
  <si>
    <t>يعقوب آلبوبالدي</t>
  </si>
  <si>
    <t>محمد البوغبيش</t>
  </si>
  <si>
    <t>عبدالامام بالدي</t>
  </si>
  <si>
    <t>حسين باوي</t>
  </si>
  <si>
    <t>عظيم باوي سويره</t>
  </si>
  <si>
    <t>عارف باوي فرد</t>
  </si>
  <si>
    <t>نجم باوي فرد</t>
  </si>
  <si>
    <t>سعيد بدوي</t>
  </si>
  <si>
    <t>عباس بدوي</t>
  </si>
  <si>
    <t>طاهر پورحزبه</t>
  </si>
  <si>
    <t>رحمه سياحي</t>
  </si>
  <si>
    <t>مرد سياحي</t>
  </si>
  <si>
    <t>رحيم عقباوي</t>
  </si>
  <si>
    <t>جمشيد فرحانيان</t>
  </si>
  <si>
    <t>مجتبي قنواتي زاده</t>
  </si>
  <si>
    <t>رضا محمدحسيني</t>
  </si>
  <si>
    <t>فاضل مقدم</t>
  </si>
  <si>
    <t>محمدامين نادري</t>
  </si>
  <si>
    <t>علي پورحزبه</t>
  </si>
  <si>
    <t>جاسم جامدي باوي</t>
  </si>
  <si>
    <t>مزعل جليزي</t>
  </si>
  <si>
    <t>فهد چاملي</t>
  </si>
  <si>
    <t>ايوب حويزاوي</t>
  </si>
  <si>
    <t>منصور خنفري راد</t>
  </si>
  <si>
    <t>جميل زرگاني</t>
  </si>
  <si>
    <t>علي ساري</t>
  </si>
  <si>
    <t>جمع کل</t>
  </si>
  <si>
    <t xml:space="preserve"> مبلغ قسط وام صندوق رفاه و پس انداز کارکنان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</si>
</sst>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5" formatCode="_-* #,##0_-;_-* #,##0\-;_-* &quot;-&quot;??_-;_-@_-"/>
  </numFmts>
  <fonts count="1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Tahoma"/>
      <family val="2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6"/>
      <name val="B Zar"/>
      <charset val="178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color rgb="FFFF0000"/>
      <name val="B Zar"/>
      <charset val="178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B Zar"/>
      <charset val="178"/>
    </font>
    <font>
      <b/>
      <sz val="14"/>
      <color rgb="FF0000FF"/>
      <name val="B Zar"/>
      <charset val="178"/>
    </font>
    <font>
      <sz val="14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1" applyNumberFormat="1" applyFont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5" fontId="9" fillId="2" borderId="0" xfId="1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left" vertical="center"/>
    </xf>
    <xf numFmtId="3" fontId="11" fillId="0" borderId="8" xfId="0" applyNumberFormat="1" applyFont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1" fillId="0" borderId="0" xfId="0" applyNumberFormat="1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65" fontId="12" fillId="2" borderId="0" xfId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" fontId="2" fillId="2" borderId="0" xfId="0" applyNumberFormat="1" applyFont="1" applyFill="1" applyBorder="1" applyAlignment="1">
      <alignment horizontal="left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right" vertical="top" wrapText="1"/>
    </xf>
    <xf numFmtId="0" fontId="14" fillId="2" borderId="12" xfId="0" applyFont="1" applyFill="1" applyBorder="1" applyAlignment="1">
      <alignment horizontal="right" vertical="top" wrapText="1"/>
    </xf>
    <xf numFmtId="0" fontId="14" fillId="2" borderId="13" xfId="0" applyFont="1" applyFill="1" applyBorder="1" applyAlignment="1">
      <alignment horizontal="right" vertical="top" wrapText="1"/>
    </xf>
    <xf numFmtId="3" fontId="14" fillId="2" borderId="11" xfId="0" applyNumberFormat="1" applyFont="1" applyFill="1" applyBorder="1" applyAlignment="1">
      <alignment horizontal="right" vertical="top" wrapText="1"/>
    </xf>
    <xf numFmtId="3" fontId="14" fillId="2" borderId="12" xfId="0" applyNumberFormat="1" applyFont="1" applyFill="1" applyBorder="1" applyAlignment="1">
      <alignment horizontal="right" vertical="top" wrapText="1"/>
    </xf>
    <xf numFmtId="3" fontId="14" fillId="2" borderId="13" xfId="0" applyNumberFormat="1" applyFont="1" applyFill="1" applyBorder="1" applyAlignment="1">
      <alignment horizontal="right" vertical="top" wrapText="1"/>
    </xf>
    <xf numFmtId="165" fontId="13" fillId="2" borderId="0" xfId="1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2" fillId="0" borderId="0" xfId="1" applyNumberFormat="1" applyFont="1"/>
    <xf numFmtId="0" fontId="5" fillId="0" borderId="0" xfId="0" applyFont="1"/>
    <xf numFmtId="165" fontId="5" fillId="0" borderId="0" xfId="1" applyNumberFormat="1" applyFont="1"/>
    <xf numFmtId="165" fontId="15" fillId="0" borderId="0" xfId="1" applyNumberFormat="1" applyFont="1"/>
    <xf numFmtId="0" fontId="16" fillId="0" borderId="0" xfId="0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17" fillId="0" borderId="0" xfId="0" applyFont="1"/>
    <xf numFmtId="165" fontId="15" fillId="0" borderId="0" xfId="0" applyNumberFormat="1" applyFont="1"/>
    <xf numFmtId="3" fontId="8" fillId="0" borderId="5" xfId="0" applyNumberFormat="1" applyFont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5" fontId="3" fillId="0" borderId="0" xfId="1" applyNumberFormat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rightToLeft="1" zoomScaleNormal="100" workbookViewId="0">
      <pane ySplit="1" topLeftCell="A2" activePane="bottomLeft" state="frozen"/>
      <selection pane="bottomLeft" activeCell="A32" sqref="A1:A32"/>
    </sheetView>
  </sheetViews>
  <sheetFormatPr defaultRowHeight="14.25"/>
  <cols>
    <col min="1" max="1" width="12.42578125" style="1" bestFit="1" customWidth="1"/>
    <col min="2" max="2" width="12.5703125" style="1" bestFit="1" customWidth="1"/>
    <col min="3" max="3" width="19.5703125" style="1" bestFit="1" customWidth="1"/>
    <col min="4" max="4" width="21" style="1" bestFit="1" customWidth="1"/>
    <col min="5" max="5" width="20" style="1" bestFit="1" customWidth="1"/>
    <col min="6" max="6" width="16" style="1" bestFit="1" customWidth="1"/>
    <col min="7" max="7" width="18.28515625" style="1" bestFit="1" customWidth="1"/>
    <col min="8" max="8" width="19.7109375" style="1" bestFit="1" customWidth="1"/>
    <col min="9" max="9" width="18.28515625" style="1" bestFit="1" customWidth="1"/>
    <col min="10" max="12" width="19.7109375" style="1" bestFit="1" customWidth="1"/>
    <col min="13" max="13" width="23" style="1" bestFit="1" customWidth="1"/>
    <col min="14" max="14" width="18.28515625" style="1" bestFit="1" customWidth="1"/>
    <col min="15" max="15" width="21.140625" style="1" bestFit="1" customWidth="1"/>
    <col min="16" max="16" width="18.28515625" style="1" bestFit="1" customWidth="1"/>
    <col min="17" max="17" width="19.7109375" style="1" bestFit="1" customWidth="1"/>
    <col min="18" max="18" width="18.28515625" style="1" bestFit="1" customWidth="1"/>
    <col min="19" max="19" width="36.28515625" style="1" bestFit="1" customWidth="1"/>
    <col min="20" max="20" width="9.7109375" style="1" bestFit="1" customWidth="1"/>
    <col min="21" max="21" width="18.28515625" style="1" bestFit="1" customWidth="1"/>
    <col min="22" max="22" width="19.7109375" style="1" bestFit="1" customWidth="1"/>
    <col min="23" max="23" width="22.5703125" style="1" bestFit="1" customWidth="1"/>
    <col min="24" max="24" width="35.7109375" style="1" bestFit="1" customWidth="1"/>
    <col min="25" max="25" width="19.7109375" style="1" bestFit="1" customWidth="1"/>
    <col min="26" max="26" width="16" style="1" bestFit="1" customWidth="1"/>
    <col min="27" max="28" width="21.140625" style="1" bestFit="1" customWidth="1"/>
    <col min="29" max="29" width="19.7109375" style="1" bestFit="1" customWidth="1"/>
    <col min="30" max="30" width="33.140625" style="1" bestFit="1" customWidth="1"/>
    <col min="31" max="31" width="38.7109375" style="1" bestFit="1" customWidth="1"/>
    <col min="32" max="32" width="50.28515625" style="1" bestFit="1" customWidth="1"/>
    <col min="33" max="33" width="55.28515625" style="1" bestFit="1" customWidth="1"/>
    <col min="34" max="34" width="45.28515625" style="1" bestFit="1" customWidth="1"/>
    <col min="35" max="35" width="54.42578125" style="1" bestFit="1" customWidth="1"/>
    <col min="36" max="36" width="30.7109375" style="1" bestFit="1" customWidth="1"/>
    <col min="37" max="37" width="48.5703125" style="56" bestFit="1" customWidth="1"/>
    <col min="38" max="38" width="24" style="1" bestFit="1" customWidth="1"/>
    <col min="39" max="39" width="21.5703125" style="1" bestFit="1" customWidth="1"/>
    <col min="40" max="40" width="26.5703125" style="1" bestFit="1" customWidth="1"/>
    <col min="41" max="41" width="16.5703125" style="1" bestFit="1" customWidth="1"/>
    <col min="42" max="42" width="25.7109375" style="1" bestFit="1" customWidth="1"/>
    <col min="43" max="16384" width="9.140625" style="1"/>
  </cols>
  <sheetData>
    <row r="1" spans="1:4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70" t="s">
        <v>103</v>
      </c>
      <c r="AL1" s="2"/>
      <c r="AM1" s="2"/>
      <c r="AN1" s="2"/>
      <c r="AO1" s="2"/>
      <c r="AP1" s="2"/>
    </row>
    <row r="2" spans="1:42">
      <c r="A2" s="1" t="str">
        <f>"1898353425"</f>
        <v>1898353425</v>
      </c>
      <c r="B2" s="1" t="str">
        <f>"9157041"</f>
        <v>9157041</v>
      </c>
      <c r="C2" s="1" t="str">
        <f>"عيد آسماني"</f>
        <v>عيد آسماني</v>
      </c>
      <c r="D2" s="1" t="str">
        <f>"توليد توسعه - دارخوين"</f>
        <v>توليد توسعه - دارخوين</v>
      </c>
      <c r="E2" s="1">
        <v>300</v>
      </c>
      <c r="F2" s="1">
        <v>13200</v>
      </c>
      <c r="G2" s="1">
        <v>333212</v>
      </c>
      <c r="H2" s="1">
        <v>0</v>
      </c>
      <c r="I2" s="1">
        <v>200000</v>
      </c>
      <c r="J2" s="1">
        <v>1100000</v>
      </c>
      <c r="K2" s="1">
        <v>1012000</v>
      </c>
      <c r="L2" s="1">
        <v>960000</v>
      </c>
      <c r="M2" s="1">
        <v>0</v>
      </c>
      <c r="N2" s="1">
        <v>161995</v>
      </c>
      <c r="O2" s="1">
        <v>8389590</v>
      </c>
      <c r="P2" s="1">
        <v>0</v>
      </c>
      <c r="Q2" s="1">
        <v>587952</v>
      </c>
      <c r="R2" s="1">
        <v>0</v>
      </c>
      <c r="S2" s="1">
        <v>821292</v>
      </c>
      <c r="T2" s="1">
        <v>0</v>
      </c>
      <c r="U2" s="1">
        <v>0</v>
      </c>
      <c r="V2" s="1">
        <v>833333</v>
      </c>
      <c r="W2" s="1">
        <v>650000</v>
      </c>
      <c r="X2" s="1">
        <v>2346550</v>
      </c>
      <c r="Y2" s="1">
        <v>351982</v>
      </c>
      <c r="Z2" s="1">
        <v>13200</v>
      </c>
      <c r="AA2" s="1">
        <v>10440124</v>
      </c>
      <c r="AB2" s="1">
        <v>12744749</v>
      </c>
      <c r="AC2" s="1">
        <v>2304625</v>
      </c>
      <c r="AD2" s="1" t="str">
        <f>"شعبه شادگان"</f>
        <v>شعبه شادگان</v>
      </c>
      <c r="AE2" s="1" t="str">
        <f>"50575808"</f>
        <v>50575808</v>
      </c>
      <c r="AF2" s="1">
        <v>52800000</v>
      </c>
      <c r="AG2" s="1">
        <v>7200000</v>
      </c>
      <c r="AH2" s="1">
        <v>60000000</v>
      </c>
      <c r="AI2" s="1">
        <v>60000000</v>
      </c>
      <c r="AJ2" s="1">
        <v>0</v>
      </c>
      <c r="AK2" s="56">
        <v>833333</v>
      </c>
    </row>
    <row r="3" spans="1:42">
      <c r="A3" s="1" t="str">
        <f>"1815836504"</f>
        <v>1815836504</v>
      </c>
      <c r="B3" s="1" t="str">
        <f>"9157042"</f>
        <v>9157042</v>
      </c>
      <c r="C3" s="1" t="str">
        <f>"کاظم آل بالدي"</f>
        <v>کاظم آل بالدي</v>
      </c>
      <c r="D3" s="1" t="str">
        <f>"توليد توسعه - دارخوين"</f>
        <v>توليد توسعه - دارخوين</v>
      </c>
      <c r="E3" s="1">
        <v>0</v>
      </c>
      <c r="F3" s="1">
        <v>13200</v>
      </c>
      <c r="G3" s="1">
        <v>0</v>
      </c>
      <c r="H3" s="1">
        <v>2849700</v>
      </c>
      <c r="I3" s="1">
        <v>200000</v>
      </c>
      <c r="J3" s="1">
        <v>1100000</v>
      </c>
      <c r="K3" s="1">
        <v>1012000</v>
      </c>
      <c r="L3" s="1">
        <v>960000</v>
      </c>
      <c r="M3" s="1">
        <v>0</v>
      </c>
      <c r="N3" s="1">
        <v>0</v>
      </c>
      <c r="O3" s="1">
        <v>9654930</v>
      </c>
      <c r="P3" s="1">
        <v>0</v>
      </c>
      <c r="Q3" s="1">
        <v>611952</v>
      </c>
      <c r="R3" s="1">
        <v>0</v>
      </c>
      <c r="S3" s="1">
        <v>876882</v>
      </c>
      <c r="T3" s="1">
        <v>0</v>
      </c>
      <c r="U3" s="1">
        <v>153303</v>
      </c>
      <c r="V3" s="1">
        <v>1388888</v>
      </c>
      <c r="W3" s="1">
        <v>650000</v>
      </c>
      <c r="X3" s="1">
        <v>2505376</v>
      </c>
      <c r="Y3" s="1">
        <v>375806</v>
      </c>
      <c r="Z3" s="1">
        <v>13200</v>
      </c>
      <c r="AA3" s="1">
        <v>13319509</v>
      </c>
      <c r="AB3" s="1">
        <v>16388582</v>
      </c>
      <c r="AC3" s="1">
        <v>3069073</v>
      </c>
      <c r="AD3" s="1" t="str">
        <f>"شعبه شادگان"</f>
        <v>شعبه شادگان</v>
      </c>
      <c r="AE3" s="1" t="str">
        <f>"57951643"</f>
        <v>57951643</v>
      </c>
      <c r="AF3" s="1">
        <v>52800000</v>
      </c>
      <c r="AG3" s="1">
        <v>7200000</v>
      </c>
      <c r="AH3" s="1">
        <v>60000000</v>
      </c>
      <c r="AI3" s="1">
        <v>60000000</v>
      </c>
      <c r="AJ3" s="1">
        <v>0</v>
      </c>
      <c r="AK3" s="56">
        <v>1388888</v>
      </c>
    </row>
    <row r="4" spans="1:42">
      <c r="A4" s="1" t="str">
        <f>"1899273670"</f>
        <v>1899273670</v>
      </c>
      <c r="B4" s="1" t="str">
        <f>"9157043"</f>
        <v>9157043</v>
      </c>
      <c r="C4" s="1" t="str">
        <f>"عبداله البوبالد"</f>
        <v>عبداله البوبالد</v>
      </c>
      <c r="D4" s="1" t="str">
        <f>"توليد توسعه - دارخوين"</f>
        <v>توليد توسعه - دارخوين</v>
      </c>
      <c r="E4" s="1">
        <v>0</v>
      </c>
      <c r="F4" s="1">
        <v>13200</v>
      </c>
      <c r="G4" s="1">
        <v>0</v>
      </c>
      <c r="H4" s="1">
        <v>712425</v>
      </c>
      <c r="I4" s="1">
        <v>200000</v>
      </c>
      <c r="J4" s="1">
        <v>1100000</v>
      </c>
      <c r="K4" s="1">
        <v>1012000</v>
      </c>
      <c r="L4" s="1">
        <v>960000</v>
      </c>
      <c r="M4" s="1">
        <v>0</v>
      </c>
      <c r="N4" s="1">
        <v>0</v>
      </c>
      <c r="O4" s="1">
        <v>10725600</v>
      </c>
      <c r="P4" s="1">
        <v>0</v>
      </c>
      <c r="Q4" s="1">
        <v>617952</v>
      </c>
      <c r="R4" s="1">
        <v>0</v>
      </c>
      <c r="S4" s="1">
        <v>952249</v>
      </c>
      <c r="T4" s="1">
        <v>0</v>
      </c>
      <c r="U4" s="1">
        <v>99195</v>
      </c>
      <c r="V4" s="1">
        <v>1388888</v>
      </c>
      <c r="W4" s="1">
        <v>650000</v>
      </c>
      <c r="X4" s="1">
        <v>2720710</v>
      </c>
      <c r="Y4" s="1">
        <v>408107</v>
      </c>
      <c r="Z4" s="1">
        <v>13200</v>
      </c>
      <c r="AA4" s="1">
        <v>12237645</v>
      </c>
      <c r="AB4" s="1">
        <v>15327977</v>
      </c>
      <c r="AC4" s="1">
        <v>3090332</v>
      </c>
      <c r="AD4" s="1" t="str">
        <f>"شعبه شادگان"</f>
        <v>شعبه شادگان</v>
      </c>
      <c r="AE4" s="1" t="str">
        <f>"57951654"</f>
        <v>57951654</v>
      </c>
      <c r="AF4" s="1">
        <v>52800000</v>
      </c>
      <c r="AG4" s="1">
        <v>7200000</v>
      </c>
      <c r="AH4" s="1">
        <v>60000000</v>
      </c>
      <c r="AI4" s="1">
        <v>60000000</v>
      </c>
      <c r="AJ4" s="1">
        <v>0</v>
      </c>
      <c r="AK4" s="56">
        <v>1388888</v>
      </c>
    </row>
    <row r="5" spans="1:42" ht="15">
      <c r="A5" s="1" t="str">
        <f>"1899355464"</f>
        <v>1899355464</v>
      </c>
      <c r="B5" s="1" t="str">
        <f>"9157044"</f>
        <v>9157044</v>
      </c>
      <c r="C5" s="1" t="str">
        <f>"سعيد ال بوبالدي"</f>
        <v>سعيد ال بوبالدي</v>
      </c>
      <c r="D5" s="1" t="str">
        <f>"توليد توسعه - دارخوين"</f>
        <v>توليد توسعه - دارخوين</v>
      </c>
      <c r="E5" s="1">
        <v>0</v>
      </c>
      <c r="F5" s="1">
        <v>13200</v>
      </c>
      <c r="G5" s="1">
        <v>0</v>
      </c>
      <c r="H5" s="1">
        <v>2849700</v>
      </c>
      <c r="I5" s="1">
        <v>200000</v>
      </c>
      <c r="J5" s="1">
        <v>1100000</v>
      </c>
      <c r="K5" s="1">
        <v>1012000</v>
      </c>
      <c r="L5" s="1">
        <v>960000</v>
      </c>
      <c r="M5" s="1">
        <v>0</v>
      </c>
      <c r="N5" s="1">
        <v>0</v>
      </c>
      <c r="O5" s="1">
        <v>9168270</v>
      </c>
      <c r="P5" s="1">
        <v>0</v>
      </c>
      <c r="Q5" s="1">
        <v>599952</v>
      </c>
      <c r="R5" s="1">
        <v>0</v>
      </c>
      <c r="S5" s="1">
        <v>841976</v>
      </c>
      <c r="T5" s="1">
        <v>0</v>
      </c>
      <c r="U5" s="1">
        <v>128868</v>
      </c>
      <c r="V5" s="1">
        <v>0</v>
      </c>
      <c r="W5" s="1">
        <v>0</v>
      </c>
      <c r="X5" s="1">
        <v>2405644</v>
      </c>
      <c r="Y5" s="1">
        <v>360847</v>
      </c>
      <c r="Z5" s="1">
        <v>13200</v>
      </c>
      <c r="AA5" s="1">
        <v>14919078</v>
      </c>
      <c r="AB5" s="1">
        <v>15889922</v>
      </c>
      <c r="AC5" s="1">
        <v>970844</v>
      </c>
      <c r="AD5" s="1" t="str">
        <f>"شعبه شادگان"</f>
        <v>شعبه شادگان</v>
      </c>
      <c r="AE5" s="1" t="str">
        <f>"56004180"</f>
        <v>56004180</v>
      </c>
      <c r="AK5" s="71"/>
    </row>
    <row r="6" spans="1:42">
      <c r="A6" s="1" t="str">
        <f>"1899355863"</f>
        <v>1899355863</v>
      </c>
      <c r="B6" s="1" t="str">
        <f>"9157045"</f>
        <v>9157045</v>
      </c>
      <c r="C6" s="1" t="str">
        <f>"شريف آلبوبالدي"</f>
        <v>شريف آلبوبالدي</v>
      </c>
      <c r="D6" s="1" t="str">
        <f>"توليد توسعه - دارخوين"</f>
        <v>توليد توسعه - دارخوين</v>
      </c>
      <c r="E6" s="1">
        <v>0</v>
      </c>
      <c r="F6" s="1">
        <v>13200</v>
      </c>
      <c r="G6" s="1">
        <v>0</v>
      </c>
      <c r="H6" s="1">
        <v>712425</v>
      </c>
      <c r="I6" s="1">
        <v>200000</v>
      </c>
      <c r="J6" s="1">
        <v>1100000</v>
      </c>
      <c r="K6" s="1">
        <v>1012000</v>
      </c>
      <c r="L6" s="1">
        <v>960000</v>
      </c>
      <c r="M6" s="1">
        <v>0</v>
      </c>
      <c r="N6" s="1">
        <v>0</v>
      </c>
      <c r="O6" s="1">
        <v>9168270</v>
      </c>
      <c r="P6" s="1">
        <v>0</v>
      </c>
      <c r="Q6" s="1">
        <v>599952</v>
      </c>
      <c r="R6" s="1">
        <v>0</v>
      </c>
      <c r="S6" s="1">
        <v>841976</v>
      </c>
      <c r="T6" s="1">
        <v>0</v>
      </c>
      <c r="U6" s="1">
        <v>22004</v>
      </c>
      <c r="V6" s="1">
        <v>1388888</v>
      </c>
      <c r="W6" s="1">
        <v>650000</v>
      </c>
      <c r="X6" s="1">
        <v>2405644</v>
      </c>
      <c r="Y6" s="1">
        <v>360847</v>
      </c>
      <c r="Z6" s="1">
        <v>13200</v>
      </c>
      <c r="AA6" s="1">
        <v>10849779</v>
      </c>
      <c r="AB6" s="1">
        <v>13752647</v>
      </c>
      <c r="AC6" s="1">
        <v>2902868</v>
      </c>
      <c r="AD6" s="1" t="str">
        <f>"شعبه شادگان"</f>
        <v>شعبه شادگان</v>
      </c>
      <c r="AE6" s="1" t="str">
        <f>"52544320"</f>
        <v>52544320</v>
      </c>
      <c r="AF6" s="1">
        <v>58800000</v>
      </c>
      <c r="AG6" s="1">
        <v>1200000</v>
      </c>
      <c r="AH6" s="1">
        <v>60000000</v>
      </c>
      <c r="AI6" s="1">
        <v>60000000</v>
      </c>
      <c r="AJ6" s="1">
        <v>0</v>
      </c>
      <c r="AK6" s="56">
        <v>1388888</v>
      </c>
    </row>
    <row r="7" spans="1:42">
      <c r="A7" s="1" t="str">
        <f>"1898305072"</f>
        <v>1898305072</v>
      </c>
      <c r="B7" s="1" t="str">
        <f>"9157046"</f>
        <v>9157046</v>
      </c>
      <c r="C7" s="1" t="str">
        <f>"يعقوب آلبوبالدي"</f>
        <v>يعقوب آلبوبالدي</v>
      </c>
      <c r="D7" s="1" t="str">
        <f>"توليد توسعه - دارخوين"</f>
        <v>توليد توسعه - دارخوين</v>
      </c>
      <c r="E7" s="1">
        <v>0</v>
      </c>
      <c r="F7" s="1">
        <v>13200</v>
      </c>
      <c r="G7" s="1">
        <v>0</v>
      </c>
      <c r="H7" s="1">
        <v>2137275</v>
      </c>
      <c r="I7" s="1">
        <v>200000</v>
      </c>
      <c r="J7" s="1">
        <v>1100000</v>
      </c>
      <c r="K7" s="1">
        <v>1012000</v>
      </c>
      <c r="L7" s="1">
        <v>960000</v>
      </c>
      <c r="M7" s="1">
        <v>0</v>
      </c>
      <c r="N7" s="1">
        <v>0</v>
      </c>
      <c r="O7" s="1">
        <v>11893590</v>
      </c>
      <c r="P7" s="1">
        <v>0</v>
      </c>
      <c r="Q7" s="1">
        <v>635952</v>
      </c>
      <c r="R7" s="1">
        <v>0</v>
      </c>
      <c r="S7" s="1">
        <v>1035268</v>
      </c>
      <c r="T7" s="1">
        <v>0</v>
      </c>
      <c r="U7" s="1">
        <v>228552</v>
      </c>
      <c r="V7" s="1">
        <v>1388888</v>
      </c>
      <c r="W7" s="1">
        <v>650000</v>
      </c>
      <c r="X7" s="1">
        <v>2957908</v>
      </c>
      <c r="Y7" s="1">
        <v>443686</v>
      </c>
      <c r="Z7" s="1">
        <v>13200</v>
      </c>
      <c r="AA7" s="1">
        <v>14636109</v>
      </c>
      <c r="AB7" s="1">
        <v>17938817</v>
      </c>
      <c r="AC7" s="1">
        <v>3302708</v>
      </c>
      <c r="AD7" s="1" t="str">
        <f>"شعبه شادگان"</f>
        <v>شعبه شادگان</v>
      </c>
      <c r="AE7" s="1" t="str">
        <f>"52545284"</f>
        <v>52545284</v>
      </c>
      <c r="AF7" s="1">
        <v>52800000</v>
      </c>
      <c r="AG7" s="1">
        <v>7200000</v>
      </c>
      <c r="AH7" s="1">
        <v>60000000</v>
      </c>
      <c r="AI7" s="1">
        <v>60000000</v>
      </c>
      <c r="AJ7" s="1">
        <v>0</v>
      </c>
      <c r="AK7" s="56">
        <v>1388888</v>
      </c>
    </row>
    <row r="8" spans="1:42">
      <c r="A8" s="1" t="str">
        <f>"1899638814"</f>
        <v>1899638814</v>
      </c>
      <c r="B8" s="1" t="str">
        <f>"9157047"</f>
        <v>9157047</v>
      </c>
      <c r="C8" s="1" t="str">
        <f>"محمد البوغبيش"</f>
        <v>محمد البوغبيش</v>
      </c>
      <c r="D8" s="1" t="str">
        <f>"توليد توسعه - دارخوين"</f>
        <v>توليد توسعه - دارخوين</v>
      </c>
      <c r="E8" s="1">
        <v>0</v>
      </c>
      <c r="F8" s="1">
        <v>13200</v>
      </c>
      <c r="G8" s="1">
        <v>0</v>
      </c>
      <c r="H8" s="1">
        <v>0</v>
      </c>
      <c r="I8" s="1">
        <v>200000</v>
      </c>
      <c r="J8" s="1">
        <v>1100000</v>
      </c>
      <c r="K8" s="1">
        <v>1012000</v>
      </c>
      <c r="L8" s="1">
        <v>960000</v>
      </c>
      <c r="M8" s="1">
        <v>0</v>
      </c>
      <c r="N8" s="1">
        <v>0</v>
      </c>
      <c r="O8" s="1">
        <v>11893590</v>
      </c>
      <c r="P8" s="1">
        <v>0</v>
      </c>
      <c r="Q8" s="1">
        <v>635952</v>
      </c>
      <c r="R8" s="1">
        <v>0</v>
      </c>
      <c r="S8" s="1">
        <v>1035268</v>
      </c>
      <c r="T8" s="1">
        <v>0</v>
      </c>
      <c r="U8" s="1">
        <v>121688</v>
      </c>
      <c r="V8" s="1">
        <v>1361111</v>
      </c>
      <c r="W8" s="1">
        <v>650000</v>
      </c>
      <c r="X8" s="1">
        <v>2957908</v>
      </c>
      <c r="Y8" s="1">
        <v>443686</v>
      </c>
      <c r="Z8" s="1">
        <v>13200</v>
      </c>
      <c r="AA8" s="1">
        <v>12633475</v>
      </c>
      <c r="AB8" s="1">
        <v>15801542</v>
      </c>
      <c r="AC8" s="1">
        <v>3168067</v>
      </c>
      <c r="AD8" s="1" t="str">
        <f>"شعبه شادگان"</f>
        <v>شعبه شادگان</v>
      </c>
      <c r="AE8" s="1" t="str">
        <f>"57958412"</f>
        <v>57958412</v>
      </c>
      <c r="AF8" s="1">
        <v>52800000</v>
      </c>
      <c r="AG8" s="1">
        <v>7200000</v>
      </c>
      <c r="AH8" s="1">
        <v>60000000</v>
      </c>
      <c r="AI8" s="1">
        <v>60000000</v>
      </c>
      <c r="AJ8" s="1">
        <v>0</v>
      </c>
      <c r="AK8" s="56">
        <v>1361111</v>
      </c>
    </row>
    <row r="9" spans="1:42">
      <c r="A9" s="1" t="str">
        <f>"1899506276"</f>
        <v>1899506276</v>
      </c>
      <c r="B9" s="1" t="str">
        <f>"9157049"</f>
        <v>9157049</v>
      </c>
      <c r="C9" s="1" t="str">
        <f>"عبدالامام بالدي"</f>
        <v>عبدالامام بالدي</v>
      </c>
      <c r="D9" s="1" t="str">
        <f>"توليد توسعه - دارخوين"</f>
        <v>توليد توسعه - دارخوين</v>
      </c>
      <c r="E9" s="1">
        <v>0</v>
      </c>
      <c r="F9" s="1">
        <v>13200</v>
      </c>
      <c r="G9" s="1">
        <v>0</v>
      </c>
      <c r="H9" s="1">
        <v>0</v>
      </c>
      <c r="I9" s="1">
        <v>200000</v>
      </c>
      <c r="J9" s="1">
        <v>1100000</v>
      </c>
      <c r="K9" s="1">
        <v>1012000</v>
      </c>
      <c r="L9" s="1">
        <v>960000</v>
      </c>
      <c r="M9" s="1">
        <v>0</v>
      </c>
      <c r="N9" s="1">
        <v>0</v>
      </c>
      <c r="O9" s="1">
        <v>10725600</v>
      </c>
      <c r="P9" s="1">
        <v>0</v>
      </c>
      <c r="Q9" s="1">
        <v>617952</v>
      </c>
      <c r="R9" s="1">
        <v>1051200</v>
      </c>
      <c r="S9" s="1">
        <v>1025833</v>
      </c>
      <c r="T9" s="1">
        <v>0</v>
      </c>
      <c r="U9" s="1">
        <v>115083</v>
      </c>
      <c r="V9" s="1">
        <v>2258888</v>
      </c>
      <c r="W9" s="1">
        <v>650000</v>
      </c>
      <c r="X9" s="1">
        <v>2930950</v>
      </c>
      <c r="Y9" s="1">
        <v>439643</v>
      </c>
      <c r="Z9" s="1">
        <v>13200</v>
      </c>
      <c r="AA9" s="1">
        <v>11616948</v>
      </c>
      <c r="AB9" s="1">
        <v>15666752</v>
      </c>
      <c r="AC9" s="1">
        <v>4049804</v>
      </c>
      <c r="AD9" s="1" t="str">
        <f>"شعبه شادگان"</f>
        <v>شعبه شادگان</v>
      </c>
      <c r="AE9" s="1" t="str">
        <f>"50135194"</f>
        <v>50135194</v>
      </c>
      <c r="AF9" s="1">
        <v>52800000</v>
      </c>
      <c r="AG9" s="1">
        <v>7200000</v>
      </c>
      <c r="AH9" s="1">
        <v>60000000</v>
      </c>
      <c r="AI9" s="1">
        <v>60000000</v>
      </c>
      <c r="AJ9" s="1">
        <v>870000</v>
      </c>
      <c r="AK9" s="56">
        <v>1388888</v>
      </c>
    </row>
    <row r="10" spans="1:42" ht="15">
      <c r="A10" s="1" t="str">
        <f>"1899732608"</f>
        <v>1899732608</v>
      </c>
      <c r="B10" s="1" t="str">
        <f>"9157050"</f>
        <v>9157050</v>
      </c>
      <c r="C10" s="1" t="str">
        <f>"حسين باوي"</f>
        <v>حسين باوي</v>
      </c>
      <c r="D10" s="1" t="str">
        <f>"توليد توسعه - دارخوين"</f>
        <v>توليد توسعه - دارخوين</v>
      </c>
      <c r="E10" s="1">
        <v>0</v>
      </c>
      <c r="F10" s="1">
        <v>13200</v>
      </c>
      <c r="G10" s="1">
        <v>0</v>
      </c>
      <c r="H10" s="1">
        <v>2849700</v>
      </c>
      <c r="I10" s="1">
        <v>200000</v>
      </c>
      <c r="J10" s="1">
        <v>1100000</v>
      </c>
      <c r="K10" s="1">
        <v>1012000</v>
      </c>
      <c r="L10" s="1">
        <v>960000</v>
      </c>
      <c r="M10" s="1">
        <v>0</v>
      </c>
      <c r="N10" s="1">
        <v>0</v>
      </c>
      <c r="O10" s="1">
        <v>10141620</v>
      </c>
      <c r="P10" s="1">
        <v>0</v>
      </c>
      <c r="Q10" s="1">
        <v>611952</v>
      </c>
      <c r="R10" s="1">
        <v>0</v>
      </c>
      <c r="S10" s="1">
        <v>910950</v>
      </c>
      <c r="T10" s="1">
        <v>0</v>
      </c>
      <c r="U10" s="1">
        <v>177151</v>
      </c>
      <c r="V10" s="1">
        <v>0</v>
      </c>
      <c r="W10" s="1">
        <v>650000</v>
      </c>
      <c r="X10" s="1">
        <v>2602714</v>
      </c>
      <c r="Y10" s="1">
        <v>390407</v>
      </c>
      <c r="Z10" s="1">
        <v>13200</v>
      </c>
      <c r="AA10" s="1">
        <v>15137171</v>
      </c>
      <c r="AB10" s="1">
        <v>16875272</v>
      </c>
      <c r="AC10" s="1">
        <v>1738101</v>
      </c>
      <c r="AD10" s="1" t="str">
        <f>"شعبه شادگان"</f>
        <v>شعبه شادگان</v>
      </c>
      <c r="AE10" s="1" t="str">
        <f>"57952049"</f>
        <v>57952049</v>
      </c>
      <c r="AK10" s="71"/>
    </row>
    <row r="11" spans="1:42">
      <c r="A11" s="1" t="str">
        <f>"1819866211"</f>
        <v>1819866211</v>
      </c>
      <c r="B11" s="1" t="str">
        <f>"9157053"</f>
        <v>9157053</v>
      </c>
      <c r="C11" s="1" t="str">
        <f>"عظيم باوي سويره"</f>
        <v>عظيم باوي سويره</v>
      </c>
      <c r="D11" s="1" t="str">
        <f>"توليد توسعه - دارخوين"</f>
        <v>توليد توسعه - دارخوين</v>
      </c>
      <c r="E11" s="1">
        <v>0</v>
      </c>
      <c r="F11" s="1">
        <v>13200</v>
      </c>
      <c r="G11" s="1">
        <v>0</v>
      </c>
      <c r="H11" s="1">
        <v>712425</v>
      </c>
      <c r="I11" s="1">
        <v>200000</v>
      </c>
      <c r="J11" s="1">
        <v>1100000</v>
      </c>
      <c r="K11" s="1">
        <v>1012000</v>
      </c>
      <c r="L11" s="1">
        <v>960000</v>
      </c>
      <c r="M11" s="1">
        <v>0</v>
      </c>
      <c r="N11" s="1">
        <v>420358</v>
      </c>
      <c r="O11" s="1">
        <v>8000250</v>
      </c>
      <c r="P11" s="1">
        <v>291990</v>
      </c>
      <c r="Q11" s="1">
        <v>581952</v>
      </c>
      <c r="R11" s="1">
        <v>0</v>
      </c>
      <c r="S11" s="1">
        <v>808819</v>
      </c>
      <c r="T11" s="1">
        <v>0</v>
      </c>
      <c r="U11" s="1">
        <v>0</v>
      </c>
      <c r="V11" s="1">
        <v>0</v>
      </c>
      <c r="W11" s="1">
        <v>650000</v>
      </c>
      <c r="X11" s="1">
        <v>2310910</v>
      </c>
      <c r="Y11" s="1">
        <v>346637</v>
      </c>
      <c r="Z11" s="1">
        <v>13200</v>
      </c>
      <c r="AA11" s="1">
        <v>11820156</v>
      </c>
      <c r="AB11" s="1">
        <v>13278975</v>
      </c>
      <c r="AC11" s="1">
        <v>1458819</v>
      </c>
      <c r="AD11" s="1" t="str">
        <f>"شعبه شادگان"</f>
        <v>شعبه شادگان</v>
      </c>
      <c r="AE11" s="1" t="str">
        <f>"57962120"</f>
        <v>57962120</v>
      </c>
      <c r="AF11" s="1">
        <v>52800000</v>
      </c>
      <c r="AG11" s="1">
        <v>7200000</v>
      </c>
      <c r="AH11" s="1">
        <v>60000000</v>
      </c>
      <c r="AI11" s="1">
        <v>60000000</v>
      </c>
      <c r="AJ11" s="1">
        <v>0</v>
      </c>
      <c r="AK11" s="56">
        <v>0</v>
      </c>
    </row>
    <row r="12" spans="1:42">
      <c r="A12" s="1" t="str">
        <f>"1899538844"</f>
        <v>1899538844</v>
      </c>
      <c r="B12" s="1" t="str">
        <f>"9157054"</f>
        <v>9157054</v>
      </c>
      <c r="C12" s="1" t="str">
        <f>"عارف باوي فرد"</f>
        <v>عارف باوي فرد</v>
      </c>
      <c r="D12" s="1" t="str">
        <f>"توليد توسعه - دارخوين"</f>
        <v>توليد توسعه - دارخوين</v>
      </c>
      <c r="E12" s="1">
        <v>0</v>
      </c>
      <c r="F12" s="1">
        <v>13200</v>
      </c>
      <c r="G12" s="1">
        <v>0</v>
      </c>
      <c r="H12" s="1">
        <v>0</v>
      </c>
      <c r="I12" s="1">
        <v>200000</v>
      </c>
      <c r="J12" s="1">
        <v>1100000</v>
      </c>
      <c r="K12" s="1">
        <v>1012000</v>
      </c>
      <c r="L12" s="1">
        <v>960000</v>
      </c>
      <c r="M12" s="1">
        <v>0</v>
      </c>
      <c r="N12" s="1">
        <v>0</v>
      </c>
      <c r="O12" s="1">
        <v>8778930</v>
      </c>
      <c r="P12" s="1">
        <v>389340</v>
      </c>
      <c r="Q12" s="1">
        <v>593952</v>
      </c>
      <c r="R12" s="1">
        <v>0</v>
      </c>
      <c r="S12" s="1">
        <v>841556</v>
      </c>
      <c r="T12" s="1">
        <v>0</v>
      </c>
      <c r="U12" s="1">
        <v>0</v>
      </c>
      <c r="V12" s="1">
        <v>1388888</v>
      </c>
      <c r="W12" s="1">
        <v>650000</v>
      </c>
      <c r="X12" s="1">
        <v>2404444</v>
      </c>
      <c r="Y12" s="1">
        <v>360667</v>
      </c>
      <c r="Z12" s="1">
        <v>13200</v>
      </c>
      <c r="AA12" s="1">
        <v>10153778</v>
      </c>
      <c r="AB12" s="1">
        <v>13034222</v>
      </c>
      <c r="AC12" s="1">
        <v>2880444</v>
      </c>
      <c r="AD12" s="1" t="str">
        <f>"شعبه شادگان"</f>
        <v>شعبه شادگان</v>
      </c>
      <c r="AE12" s="1" t="str">
        <f>"52703310"</f>
        <v>52703310</v>
      </c>
      <c r="AF12" s="1">
        <v>52800000</v>
      </c>
      <c r="AG12" s="1">
        <v>7200000</v>
      </c>
      <c r="AH12" s="1">
        <v>60000000</v>
      </c>
      <c r="AI12" s="1">
        <v>60000000</v>
      </c>
      <c r="AJ12" s="1">
        <v>0</v>
      </c>
      <c r="AK12" s="56">
        <v>1388888</v>
      </c>
    </row>
    <row r="13" spans="1:42">
      <c r="A13" s="1" t="str">
        <f>"1899506071"</f>
        <v>1899506071</v>
      </c>
      <c r="B13" s="1" t="str">
        <f>"9157055"</f>
        <v>9157055</v>
      </c>
      <c r="C13" s="1" t="str">
        <f>"نجم باوي فرد"</f>
        <v>نجم باوي فرد</v>
      </c>
      <c r="D13" s="1" t="str">
        <f>"توليد توسعه - دارخوين"</f>
        <v>توليد توسعه - دارخوين</v>
      </c>
      <c r="E13" s="1">
        <v>0</v>
      </c>
      <c r="F13" s="1">
        <v>13200</v>
      </c>
      <c r="G13" s="1">
        <v>0</v>
      </c>
      <c r="H13" s="1">
        <v>712425</v>
      </c>
      <c r="I13" s="1">
        <v>200000</v>
      </c>
      <c r="J13" s="1">
        <v>1100000</v>
      </c>
      <c r="K13" s="1">
        <v>1012000</v>
      </c>
      <c r="L13" s="1">
        <v>960000</v>
      </c>
      <c r="M13" s="1">
        <v>0</v>
      </c>
      <c r="N13" s="1">
        <v>0</v>
      </c>
      <c r="O13" s="1">
        <v>9168270</v>
      </c>
      <c r="P13" s="1">
        <v>0</v>
      </c>
      <c r="Q13" s="1">
        <v>599952</v>
      </c>
      <c r="R13" s="1">
        <v>0</v>
      </c>
      <c r="S13" s="1">
        <v>841976</v>
      </c>
      <c r="T13" s="1">
        <v>0</v>
      </c>
      <c r="U13" s="1">
        <v>22005</v>
      </c>
      <c r="V13" s="1">
        <v>1388888</v>
      </c>
      <c r="W13" s="1">
        <v>650000</v>
      </c>
      <c r="X13" s="1">
        <v>2405644</v>
      </c>
      <c r="Y13" s="1">
        <v>360847</v>
      </c>
      <c r="Z13" s="1">
        <v>13200</v>
      </c>
      <c r="AA13" s="1">
        <v>10849778</v>
      </c>
      <c r="AB13" s="1">
        <v>13752647</v>
      </c>
      <c r="AC13" s="1">
        <v>2902869</v>
      </c>
      <c r="AD13" s="1" t="str">
        <f>"شعبه شادگان"</f>
        <v>شعبه شادگان</v>
      </c>
      <c r="AE13" s="1" t="str">
        <f>"52554911"</f>
        <v>52554911</v>
      </c>
      <c r="AF13" s="1">
        <v>52800000</v>
      </c>
      <c r="AG13" s="1">
        <v>7200000</v>
      </c>
      <c r="AH13" s="1">
        <v>60000000</v>
      </c>
      <c r="AI13" s="1">
        <v>60000000</v>
      </c>
      <c r="AJ13" s="1">
        <v>0</v>
      </c>
      <c r="AK13" s="56">
        <v>1388888</v>
      </c>
    </row>
    <row r="14" spans="1:42">
      <c r="A14" s="1" t="str">
        <f>"1756907420"</f>
        <v>1756907420</v>
      </c>
      <c r="B14" s="1" t="str">
        <f>"9157056"</f>
        <v>9157056</v>
      </c>
      <c r="C14" s="1" t="str">
        <f>"سعيد بدوي"</f>
        <v>سعيد بدوي</v>
      </c>
      <c r="D14" s="1" t="str">
        <f>"توليد توسعه - دارخوين"</f>
        <v>توليد توسعه - دارخوين</v>
      </c>
      <c r="E14" s="1">
        <v>0</v>
      </c>
      <c r="F14" s="1">
        <v>13200</v>
      </c>
      <c r="G14" s="1">
        <v>0</v>
      </c>
      <c r="H14" s="1">
        <v>1424850</v>
      </c>
      <c r="I14" s="1">
        <v>200000</v>
      </c>
      <c r="J14" s="1">
        <v>1100000</v>
      </c>
      <c r="K14" s="1">
        <v>1012000</v>
      </c>
      <c r="L14" s="1">
        <v>960000</v>
      </c>
      <c r="M14" s="1">
        <v>0</v>
      </c>
      <c r="N14" s="1">
        <v>243008</v>
      </c>
      <c r="O14" s="1">
        <v>8778930</v>
      </c>
      <c r="P14" s="1">
        <v>0</v>
      </c>
      <c r="Q14" s="1">
        <v>593952</v>
      </c>
      <c r="R14" s="1">
        <v>0</v>
      </c>
      <c r="S14" s="1">
        <v>831312</v>
      </c>
      <c r="T14" s="1">
        <v>0</v>
      </c>
      <c r="U14" s="1">
        <v>50161</v>
      </c>
      <c r="V14" s="1">
        <v>1388888</v>
      </c>
      <c r="W14" s="1">
        <v>650000</v>
      </c>
      <c r="X14" s="1">
        <v>2375178</v>
      </c>
      <c r="Y14" s="1">
        <v>356277</v>
      </c>
      <c r="Z14" s="1">
        <v>13200</v>
      </c>
      <c r="AA14" s="1">
        <v>11392379</v>
      </c>
      <c r="AB14" s="1">
        <v>14312740</v>
      </c>
      <c r="AC14" s="1">
        <v>2920361</v>
      </c>
      <c r="AD14" s="1" t="str">
        <f>"شعبه شادگان"</f>
        <v>شعبه شادگان</v>
      </c>
      <c r="AE14" s="1" t="str">
        <f>"50354983"</f>
        <v>50354983</v>
      </c>
      <c r="AF14" s="1">
        <v>58800000</v>
      </c>
      <c r="AG14" s="1">
        <v>1200000</v>
      </c>
      <c r="AH14" s="1">
        <v>60000000</v>
      </c>
      <c r="AI14" s="1">
        <v>60000000</v>
      </c>
      <c r="AJ14" s="1">
        <v>0</v>
      </c>
      <c r="AK14" s="56">
        <v>1388888</v>
      </c>
    </row>
    <row r="15" spans="1:42">
      <c r="A15" s="1" t="str">
        <f>"1899175687"</f>
        <v>1899175687</v>
      </c>
      <c r="B15" s="1" t="str">
        <f>"9157057"</f>
        <v>9157057</v>
      </c>
      <c r="C15" s="1" t="str">
        <f>"عباس بدوي"</f>
        <v>عباس بدوي</v>
      </c>
      <c r="D15" s="1" t="str">
        <f>"توليد توسعه - دارخوين"</f>
        <v>توليد توسعه - دارخوين</v>
      </c>
      <c r="E15" s="1">
        <v>0</v>
      </c>
      <c r="F15" s="1">
        <v>13200</v>
      </c>
      <c r="G15" s="1">
        <v>0</v>
      </c>
      <c r="H15" s="1">
        <v>2849700</v>
      </c>
      <c r="I15" s="1">
        <v>200000</v>
      </c>
      <c r="J15" s="1">
        <v>1100000</v>
      </c>
      <c r="K15" s="1">
        <v>1012000</v>
      </c>
      <c r="L15" s="1">
        <v>960000</v>
      </c>
      <c r="M15" s="1">
        <v>0</v>
      </c>
      <c r="N15" s="1">
        <v>0</v>
      </c>
      <c r="O15" s="1">
        <v>10141620</v>
      </c>
      <c r="P15" s="1">
        <v>0</v>
      </c>
      <c r="Q15" s="1">
        <v>611952</v>
      </c>
      <c r="R15" s="1">
        <v>0</v>
      </c>
      <c r="S15" s="1">
        <v>910950</v>
      </c>
      <c r="T15" s="1">
        <v>0</v>
      </c>
      <c r="U15" s="1">
        <v>177150</v>
      </c>
      <c r="V15" s="1">
        <v>0</v>
      </c>
      <c r="W15" s="1">
        <v>650000</v>
      </c>
      <c r="X15" s="1">
        <v>2602714</v>
      </c>
      <c r="Y15" s="1">
        <v>390407</v>
      </c>
      <c r="Z15" s="1">
        <v>13200</v>
      </c>
      <c r="AA15" s="1">
        <v>15137172</v>
      </c>
      <c r="AB15" s="1">
        <v>16875272</v>
      </c>
      <c r="AC15" s="1">
        <v>1738100</v>
      </c>
      <c r="AD15" s="1" t="str">
        <f>"شعبه شادگان"</f>
        <v>شعبه شادگان</v>
      </c>
      <c r="AE15" s="1" t="str">
        <f>"50546913"</f>
        <v>50546913</v>
      </c>
      <c r="AF15" s="1">
        <v>52800000</v>
      </c>
      <c r="AG15" s="1">
        <v>7200000</v>
      </c>
      <c r="AH15" s="1">
        <v>60000000</v>
      </c>
      <c r="AI15" s="1">
        <v>60000000</v>
      </c>
      <c r="AJ15" s="1">
        <v>0</v>
      </c>
      <c r="AK15" s="56">
        <v>0</v>
      </c>
    </row>
    <row r="16" spans="1:42" ht="15">
      <c r="A16" s="1" t="str">
        <f>"1899731547"</f>
        <v>1899731547</v>
      </c>
      <c r="B16" s="1" t="str">
        <f>"9157058"</f>
        <v>9157058</v>
      </c>
      <c r="C16" s="1" t="str">
        <f>"طاهر پورحزبه"</f>
        <v>طاهر پورحزبه</v>
      </c>
      <c r="D16" s="1" t="str">
        <f>"توليد توسعه - دارخوين"</f>
        <v>توليد توسعه - دارخوين</v>
      </c>
      <c r="E16" s="1">
        <v>0</v>
      </c>
      <c r="F16" s="1">
        <v>13200</v>
      </c>
      <c r="G16" s="1">
        <v>0</v>
      </c>
      <c r="H16" s="1">
        <v>0</v>
      </c>
      <c r="I16" s="1">
        <v>200000</v>
      </c>
      <c r="J16" s="1">
        <v>1100000</v>
      </c>
      <c r="K16" s="1">
        <v>1012000</v>
      </c>
      <c r="L16" s="1">
        <v>960000</v>
      </c>
      <c r="M16" s="1">
        <v>0</v>
      </c>
      <c r="N16" s="1">
        <v>0</v>
      </c>
      <c r="O16" s="1">
        <v>10141620</v>
      </c>
      <c r="P16" s="1">
        <v>0</v>
      </c>
      <c r="Q16" s="1">
        <v>611952</v>
      </c>
      <c r="R16" s="1">
        <v>0</v>
      </c>
      <c r="S16" s="1">
        <v>910950</v>
      </c>
      <c r="T16" s="1">
        <v>0</v>
      </c>
      <c r="U16" s="1">
        <v>34666</v>
      </c>
      <c r="V16" s="1">
        <v>0</v>
      </c>
      <c r="W16" s="1">
        <v>0</v>
      </c>
      <c r="X16" s="1">
        <v>2602714</v>
      </c>
      <c r="Y16" s="1">
        <v>390407</v>
      </c>
      <c r="Z16" s="1">
        <v>13200</v>
      </c>
      <c r="AA16" s="1">
        <v>13079956</v>
      </c>
      <c r="AB16" s="1">
        <v>14025572</v>
      </c>
      <c r="AC16" s="1">
        <v>945616</v>
      </c>
      <c r="AD16" s="1" t="str">
        <f>"شعبه شادگان"</f>
        <v>شعبه شادگان</v>
      </c>
      <c r="AE16" s="1" t="str">
        <f>"52537454"</f>
        <v>52537454</v>
      </c>
      <c r="AK16" s="71"/>
    </row>
    <row r="17" spans="1:37">
      <c r="A17" s="1" t="str">
        <f>"1899518411"</f>
        <v>1899518411</v>
      </c>
      <c r="B17" s="1" t="str">
        <f>"9157059"</f>
        <v>9157059</v>
      </c>
      <c r="C17" s="1" t="str">
        <f>"رحمه سياحي"</f>
        <v>رحمه سياحي</v>
      </c>
      <c r="D17" s="1" t="str">
        <f>"توليد توسعه - دارخوين"</f>
        <v>توليد توسعه - دارخوين</v>
      </c>
      <c r="E17" s="1">
        <v>120</v>
      </c>
      <c r="F17" s="1">
        <v>13200</v>
      </c>
      <c r="G17" s="1">
        <v>132252</v>
      </c>
      <c r="H17" s="1">
        <v>1424850</v>
      </c>
      <c r="I17" s="1">
        <v>200000</v>
      </c>
      <c r="J17" s="1">
        <v>1100000</v>
      </c>
      <c r="K17" s="1">
        <v>1012000</v>
      </c>
      <c r="L17" s="1">
        <v>960000</v>
      </c>
      <c r="M17" s="1">
        <v>0</v>
      </c>
      <c r="N17" s="1">
        <v>194529</v>
      </c>
      <c r="O17" s="1">
        <v>8000250</v>
      </c>
      <c r="P17" s="1">
        <v>291990</v>
      </c>
      <c r="Q17" s="1">
        <v>581952</v>
      </c>
      <c r="R17" s="1">
        <v>0</v>
      </c>
      <c r="S17" s="1">
        <v>802268</v>
      </c>
      <c r="T17" s="1">
        <v>0</v>
      </c>
      <c r="U17" s="1">
        <v>29830</v>
      </c>
      <c r="V17" s="1">
        <v>1388888</v>
      </c>
      <c r="W17" s="1">
        <v>650000</v>
      </c>
      <c r="X17" s="1">
        <v>2292195</v>
      </c>
      <c r="Y17" s="1">
        <v>343829</v>
      </c>
      <c r="Z17" s="1">
        <v>13200</v>
      </c>
      <c r="AA17" s="1">
        <v>11026837</v>
      </c>
      <c r="AB17" s="1">
        <v>13897823</v>
      </c>
      <c r="AC17" s="1">
        <v>2870986</v>
      </c>
      <c r="AD17" s="1" t="str">
        <f>"شعبه شادگان"</f>
        <v>شعبه شادگان</v>
      </c>
      <c r="AE17" s="1" t="str">
        <f>"57963719"</f>
        <v>57963719</v>
      </c>
      <c r="AF17" s="1">
        <v>52800000</v>
      </c>
      <c r="AG17" s="1">
        <v>7200000</v>
      </c>
      <c r="AH17" s="1">
        <v>60000000</v>
      </c>
      <c r="AI17" s="1">
        <v>60000000</v>
      </c>
      <c r="AJ17" s="1">
        <v>0</v>
      </c>
      <c r="AK17" s="56">
        <v>1388888</v>
      </c>
    </row>
    <row r="18" spans="1:37">
      <c r="A18" s="1" t="str">
        <f>"1898493121"</f>
        <v>1898493121</v>
      </c>
      <c r="B18" s="1" t="str">
        <f>"9157060"</f>
        <v>9157060</v>
      </c>
      <c r="C18" s="1" t="str">
        <f>"مرد سياحي"</f>
        <v>مرد سياحي</v>
      </c>
      <c r="D18" s="1" t="str">
        <f>"توليد توسعه - دارخوين"</f>
        <v>توليد توسعه - دارخوين</v>
      </c>
      <c r="E18" s="1">
        <v>0</v>
      </c>
      <c r="F18" s="1">
        <v>13200</v>
      </c>
      <c r="G18" s="1">
        <v>0</v>
      </c>
      <c r="H18" s="1">
        <v>1424850</v>
      </c>
      <c r="I18" s="1">
        <v>200000</v>
      </c>
      <c r="J18" s="1">
        <v>1100000</v>
      </c>
      <c r="K18" s="1">
        <v>1012000</v>
      </c>
      <c r="L18" s="1">
        <v>960000</v>
      </c>
      <c r="M18" s="1">
        <v>0</v>
      </c>
      <c r="N18" s="1">
        <v>724813</v>
      </c>
      <c r="O18" s="1">
        <v>8000250</v>
      </c>
      <c r="P18" s="1">
        <v>0</v>
      </c>
      <c r="Q18" s="1">
        <v>581952</v>
      </c>
      <c r="R18" s="1">
        <v>0</v>
      </c>
      <c r="S18" s="1">
        <v>809691</v>
      </c>
      <c r="T18" s="1">
        <v>0</v>
      </c>
      <c r="U18" s="1">
        <v>35026</v>
      </c>
      <c r="V18" s="1">
        <v>1388888</v>
      </c>
      <c r="W18" s="1">
        <v>650000</v>
      </c>
      <c r="X18" s="1">
        <v>2313403</v>
      </c>
      <c r="Y18" s="1">
        <v>347010</v>
      </c>
      <c r="Z18" s="1">
        <v>13200</v>
      </c>
      <c r="AA18" s="1">
        <v>11120260</v>
      </c>
      <c r="AB18" s="1">
        <v>14003865</v>
      </c>
      <c r="AC18" s="1">
        <v>2883605</v>
      </c>
      <c r="AD18" s="1" t="str">
        <f>"شعبه شادگان"</f>
        <v>شعبه شادگان</v>
      </c>
      <c r="AE18" s="1" t="str">
        <f>"57787686"</f>
        <v>57787686</v>
      </c>
      <c r="AF18" s="1">
        <v>52800000</v>
      </c>
      <c r="AG18" s="1">
        <v>7200000</v>
      </c>
      <c r="AH18" s="1">
        <v>60000000</v>
      </c>
      <c r="AI18" s="1">
        <v>60000000</v>
      </c>
      <c r="AJ18" s="1">
        <v>0</v>
      </c>
      <c r="AK18" s="56">
        <v>1388888</v>
      </c>
    </row>
    <row r="19" spans="1:37">
      <c r="A19" s="1" t="str">
        <f>"1899331425"</f>
        <v>1899331425</v>
      </c>
      <c r="B19" s="1" t="str">
        <f>"9157065"</f>
        <v>9157065</v>
      </c>
      <c r="C19" s="1" t="str">
        <f>"رحيم عقباوي"</f>
        <v>رحيم عقباوي</v>
      </c>
      <c r="D19" s="1" t="str">
        <f>"توليد توسعه - دارخوين"</f>
        <v>توليد توسعه - دارخوين</v>
      </c>
      <c r="E19" s="1">
        <v>1800</v>
      </c>
      <c r="F19" s="1">
        <v>13200</v>
      </c>
      <c r="G19" s="1">
        <v>2136799</v>
      </c>
      <c r="H19" s="1">
        <v>2137275</v>
      </c>
      <c r="I19" s="1">
        <v>200000</v>
      </c>
      <c r="J19" s="1">
        <v>1100000</v>
      </c>
      <c r="K19" s="1">
        <v>1012000</v>
      </c>
      <c r="L19" s="1">
        <v>960000</v>
      </c>
      <c r="M19" s="1">
        <v>0</v>
      </c>
      <c r="N19" s="1">
        <v>0</v>
      </c>
      <c r="O19" s="1">
        <v>9168270</v>
      </c>
      <c r="P19" s="1">
        <v>0</v>
      </c>
      <c r="Q19" s="1">
        <v>599952</v>
      </c>
      <c r="R19" s="1">
        <v>0</v>
      </c>
      <c r="S19" s="1">
        <v>991551</v>
      </c>
      <c r="T19" s="1">
        <v>0</v>
      </c>
      <c r="U19" s="1">
        <v>197950</v>
      </c>
      <c r="V19" s="1">
        <v>0</v>
      </c>
      <c r="W19" s="1">
        <v>650000</v>
      </c>
      <c r="X19" s="1">
        <v>2833004</v>
      </c>
      <c r="Y19" s="1">
        <v>424951</v>
      </c>
      <c r="Z19" s="1">
        <v>13200</v>
      </c>
      <c r="AA19" s="1">
        <v>15474795</v>
      </c>
      <c r="AB19" s="1">
        <v>17314296</v>
      </c>
      <c r="AC19" s="1">
        <v>1839501</v>
      </c>
      <c r="AD19" s="1" t="str">
        <f>"شعبه شادگان"</f>
        <v>شعبه شادگان</v>
      </c>
      <c r="AE19" s="1" t="str">
        <f>"57950611"</f>
        <v>57950611</v>
      </c>
      <c r="AF19" s="1">
        <v>52800000</v>
      </c>
      <c r="AG19" s="1">
        <v>7200000</v>
      </c>
      <c r="AH19" s="1">
        <v>60000000</v>
      </c>
      <c r="AI19" s="1">
        <v>60000000</v>
      </c>
      <c r="AJ19" s="1">
        <v>0</v>
      </c>
      <c r="AK19" s="56">
        <v>0</v>
      </c>
    </row>
    <row r="20" spans="1:37" ht="15">
      <c r="A20" s="1" t="str">
        <f>"1753520290"</f>
        <v>1753520290</v>
      </c>
      <c r="B20" s="1" t="str">
        <f>"9157066"</f>
        <v>9157066</v>
      </c>
      <c r="C20" s="1" t="str">
        <f>"جمشيد فرحانيان"</f>
        <v>جمشيد فرحانيان</v>
      </c>
      <c r="D20" s="1" t="str">
        <f>"توليد توسعه - دارخوين"</f>
        <v>توليد توسعه - دارخوين</v>
      </c>
      <c r="E20" s="1">
        <v>0</v>
      </c>
      <c r="F20" s="1">
        <v>13200</v>
      </c>
      <c r="G20" s="1">
        <v>0</v>
      </c>
      <c r="H20" s="1">
        <v>2849700</v>
      </c>
      <c r="I20" s="1">
        <v>200000</v>
      </c>
      <c r="J20" s="1">
        <v>1100000</v>
      </c>
      <c r="K20" s="1">
        <v>1012000</v>
      </c>
      <c r="L20" s="1">
        <v>960000</v>
      </c>
      <c r="M20" s="1">
        <v>0</v>
      </c>
      <c r="N20" s="1">
        <v>0</v>
      </c>
      <c r="O20" s="1">
        <v>9654930</v>
      </c>
      <c r="P20" s="1">
        <v>0</v>
      </c>
      <c r="Q20" s="1">
        <v>605952</v>
      </c>
      <c r="R20" s="1">
        <v>0</v>
      </c>
      <c r="S20" s="1">
        <v>876462</v>
      </c>
      <c r="T20" s="1">
        <v>0</v>
      </c>
      <c r="U20" s="1">
        <v>153008</v>
      </c>
      <c r="V20" s="1">
        <v>0</v>
      </c>
      <c r="W20" s="1">
        <v>650000</v>
      </c>
      <c r="X20" s="1">
        <v>2504176</v>
      </c>
      <c r="Y20" s="1">
        <v>375626</v>
      </c>
      <c r="Z20" s="1">
        <v>13200</v>
      </c>
      <c r="AA20" s="1">
        <v>14703112</v>
      </c>
      <c r="AB20" s="1">
        <v>16382582</v>
      </c>
      <c r="AC20" s="1">
        <v>1679470</v>
      </c>
      <c r="AD20" s="1" t="str">
        <f>"شعبه شادگان"</f>
        <v>شعبه شادگان</v>
      </c>
      <c r="AE20" s="1" t="str">
        <f>"57951656"</f>
        <v>57951656</v>
      </c>
      <c r="AK20" s="71"/>
    </row>
    <row r="21" spans="1:37">
      <c r="A21" s="1" t="str">
        <f>"1899514686"</f>
        <v>1899514686</v>
      </c>
      <c r="B21" s="1" t="str">
        <f>"9157068"</f>
        <v>9157068</v>
      </c>
      <c r="C21" s="1" t="str">
        <f>"مجتبي قنواتي زاده"</f>
        <v>مجتبي قنواتي زاده</v>
      </c>
      <c r="D21" s="1" t="str">
        <f>"توليد توسعه - دارخوين"</f>
        <v>توليد توسعه - دارخوين</v>
      </c>
      <c r="E21" s="1">
        <v>0</v>
      </c>
      <c r="F21" s="1">
        <v>13200</v>
      </c>
      <c r="G21" s="1">
        <v>0</v>
      </c>
      <c r="H21" s="1">
        <v>1424850</v>
      </c>
      <c r="I21" s="1">
        <v>200000</v>
      </c>
      <c r="J21" s="1">
        <v>1100000</v>
      </c>
      <c r="K21" s="1">
        <v>1012000</v>
      </c>
      <c r="L21" s="1">
        <v>960000</v>
      </c>
      <c r="M21" s="1">
        <v>0</v>
      </c>
      <c r="N21" s="1">
        <v>0</v>
      </c>
      <c r="O21" s="1">
        <v>9168270</v>
      </c>
      <c r="P21" s="1">
        <v>0</v>
      </c>
      <c r="Q21" s="1">
        <v>599952</v>
      </c>
      <c r="R21" s="1">
        <v>0</v>
      </c>
      <c r="S21" s="1">
        <v>841976</v>
      </c>
      <c r="T21" s="1">
        <v>0</v>
      </c>
      <c r="U21" s="1">
        <v>57625</v>
      </c>
      <c r="V21" s="1">
        <v>1388888</v>
      </c>
      <c r="W21" s="1">
        <v>650000</v>
      </c>
      <c r="X21" s="1">
        <v>2405644</v>
      </c>
      <c r="Y21" s="1">
        <v>360847</v>
      </c>
      <c r="Z21" s="1">
        <v>13200</v>
      </c>
      <c r="AA21" s="1">
        <v>11526583</v>
      </c>
      <c r="AB21" s="1">
        <v>14465072</v>
      </c>
      <c r="AC21" s="1">
        <v>2938489</v>
      </c>
      <c r="AD21" s="1" t="str">
        <f>"شعبه شادگان"</f>
        <v>شعبه شادگان</v>
      </c>
      <c r="AE21" s="1" t="str">
        <f>"57964338"</f>
        <v>57964338</v>
      </c>
      <c r="AF21" s="1">
        <v>52800000</v>
      </c>
      <c r="AG21" s="1">
        <v>7200000</v>
      </c>
      <c r="AH21" s="1">
        <v>60000000</v>
      </c>
      <c r="AI21" s="1">
        <v>60000000</v>
      </c>
      <c r="AJ21" s="1">
        <v>0</v>
      </c>
      <c r="AK21" s="56">
        <v>1388888</v>
      </c>
    </row>
    <row r="22" spans="1:37">
      <c r="A22" s="1" t="str">
        <f>"2002862974"</f>
        <v>2002862974</v>
      </c>
      <c r="B22" s="1" t="str">
        <f>"9157069"</f>
        <v>9157069</v>
      </c>
      <c r="C22" s="1" t="str">
        <f>"رضا محمدحسيني"</f>
        <v>رضا محمدحسيني</v>
      </c>
      <c r="D22" s="1" t="str">
        <f>"توليد توسعه - دارخوين"</f>
        <v>توليد توسعه - دارخوين</v>
      </c>
      <c r="E22" s="1">
        <v>0</v>
      </c>
      <c r="F22" s="1">
        <v>13200</v>
      </c>
      <c r="G22" s="1">
        <v>0</v>
      </c>
      <c r="H22" s="1">
        <v>712425</v>
      </c>
      <c r="I22" s="1">
        <v>200000</v>
      </c>
      <c r="J22" s="1">
        <v>1100000</v>
      </c>
      <c r="K22" s="1">
        <v>1012000</v>
      </c>
      <c r="L22" s="1">
        <v>960000</v>
      </c>
      <c r="M22" s="1">
        <v>0</v>
      </c>
      <c r="N22" s="1">
        <v>0</v>
      </c>
      <c r="O22" s="1">
        <v>11893590</v>
      </c>
      <c r="P22" s="1">
        <v>0</v>
      </c>
      <c r="Q22" s="1">
        <v>635952</v>
      </c>
      <c r="R22" s="1">
        <v>0</v>
      </c>
      <c r="S22" s="1">
        <v>1035268</v>
      </c>
      <c r="T22" s="1">
        <v>0</v>
      </c>
      <c r="U22" s="1">
        <v>157309</v>
      </c>
      <c r="V22" s="1">
        <v>1823888</v>
      </c>
      <c r="W22" s="1">
        <v>650000</v>
      </c>
      <c r="X22" s="1">
        <v>2957908</v>
      </c>
      <c r="Y22" s="1">
        <v>443686</v>
      </c>
      <c r="Z22" s="1">
        <v>13200</v>
      </c>
      <c r="AA22" s="1">
        <v>12847502</v>
      </c>
      <c r="AB22" s="1">
        <v>16513967</v>
      </c>
      <c r="AC22" s="1">
        <v>3666465</v>
      </c>
      <c r="AD22" s="1" t="str">
        <f>"شعبه شادگان"</f>
        <v>شعبه شادگان</v>
      </c>
      <c r="AE22" s="1" t="str">
        <f>"57964159"</f>
        <v>57964159</v>
      </c>
      <c r="AF22" s="1">
        <v>52800000</v>
      </c>
      <c r="AG22" s="1">
        <v>7200000</v>
      </c>
      <c r="AH22" s="1">
        <v>60000000</v>
      </c>
      <c r="AI22" s="1">
        <v>60000000</v>
      </c>
      <c r="AJ22" s="1">
        <v>435000</v>
      </c>
      <c r="AK22" s="56">
        <v>1388888</v>
      </c>
    </row>
    <row r="23" spans="1:37" ht="15">
      <c r="A23" s="1" t="str">
        <f>"1899228454"</f>
        <v>1899228454</v>
      </c>
      <c r="B23" s="1" t="str">
        <f>"9157070"</f>
        <v>9157070</v>
      </c>
      <c r="C23" s="1" t="str">
        <f>"فاضل مقدم"</f>
        <v>فاضل مقدم</v>
      </c>
      <c r="D23" s="1" t="str">
        <f>"توليد توسعه - دارخوين"</f>
        <v>توليد توسعه - دارخوين</v>
      </c>
      <c r="E23" s="1">
        <v>0</v>
      </c>
      <c r="F23" s="1">
        <v>13200</v>
      </c>
      <c r="G23" s="1">
        <v>0</v>
      </c>
      <c r="H23" s="1">
        <v>2137275</v>
      </c>
      <c r="I23" s="1">
        <v>200000</v>
      </c>
      <c r="J23" s="1">
        <v>1100000</v>
      </c>
      <c r="K23" s="1">
        <v>1012000</v>
      </c>
      <c r="L23" s="1">
        <v>960000</v>
      </c>
      <c r="M23" s="1">
        <v>0</v>
      </c>
      <c r="N23" s="1">
        <v>0</v>
      </c>
      <c r="O23" s="1">
        <v>9654930</v>
      </c>
      <c r="P23" s="1">
        <v>0</v>
      </c>
      <c r="Q23" s="1">
        <v>605952</v>
      </c>
      <c r="R23" s="1">
        <v>0</v>
      </c>
      <c r="S23" s="1">
        <v>876462</v>
      </c>
      <c r="T23" s="1">
        <v>0</v>
      </c>
      <c r="U23" s="1">
        <v>117387</v>
      </c>
      <c r="V23" s="1">
        <v>0</v>
      </c>
      <c r="W23" s="1">
        <v>0</v>
      </c>
      <c r="X23" s="1">
        <v>2504176</v>
      </c>
      <c r="Y23" s="1">
        <v>375626</v>
      </c>
      <c r="Z23" s="1">
        <v>13200</v>
      </c>
      <c r="AA23" s="1">
        <v>14676308</v>
      </c>
      <c r="AB23" s="1">
        <v>15670157</v>
      </c>
      <c r="AC23" s="1">
        <v>993849</v>
      </c>
      <c r="AD23" s="1" t="str">
        <f>"شعبه شادگان"</f>
        <v>شعبه شادگان</v>
      </c>
      <c r="AE23" s="1" t="str">
        <f>"76306655"</f>
        <v>76306655</v>
      </c>
      <c r="AK23" s="71"/>
    </row>
    <row r="24" spans="1:37">
      <c r="A24" s="1" t="str">
        <f>"1890091383"</f>
        <v>1890091383</v>
      </c>
      <c r="B24" s="1" t="str">
        <f>"9157072"</f>
        <v>9157072</v>
      </c>
      <c r="C24" s="1" t="str">
        <f>"محمدامين نادري"</f>
        <v>محمدامين نادري</v>
      </c>
      <c r="D24" s="1" t="str">
        <f>"توليد توسعه - دارخوين"</f>
        <v>توليد توسعه - دارخوين</v>
      </c>
      <c r="E24" s="1">
        <v>0</v>
      </c>
      <c r="F24" s="1">
        <v>13200</v>
      </c>
      <c r="G24" s="1">
        <v>0</v>
      </c>
      <c r="H24" s="1">
        <v>712425</v>
      </c>
      <c r="I24" s="1">
        <v>200000</v>
      </c>
      <c r="J24" s="1">
        <v>1100000</v>
      </c>
      <c r="K24" s="1">
        <v>1012000</v>
      </c>
      <c r="L24" s="1">
        <v>960000</v>
      </c>
      <c r="M24" s="1">
        <v>0</v>
      </c>
      <c r="N24" s="1">
        <v>0</v>
      </c>
      <c r="O24" s="1">
        <v>8778930</v>
      </c>
      <c r="P24" s="1">
        <v>0</v>
      </c>
      <c r="Q24" s="1">
        <v>599952</v>
      </c>
      <c r="R24" s="1">
        <v>0</v>
      </c>
      <c r="S24" s="1">
        <v>814722</v>
      </c>
      <c r="T24" s="1">
        <v>0</v>
      </c>
      <c r="U24" s="1">
        <v>2926</v>
      </c>
      <c r="V24" s="1">
        <v>1388888</v>
      </c>
      <c r="W24" s="1">
        <v>650000</v>
      </c>
      <c r="X24" s="1">
        <v>2327776</v>
      </c>
      <c r="Y24" s="1">
        <v>349166</v>
      </c>
      <c r="Z24" s="1">
        <v>13200</v>
      </c>
      <c r="AA24" s="1">
        <v>10506771</v>
      </c>
      <c r="AB24" s="1">
        <v>13363307</v>
      </c>
      <c r="AC24" s="1">
        <v>2856536</v>
      </c>
      <c r="AD24" s="1" t="str">
        <f>"شعبه شادگان"</f>
        <v>شعبه شادگان</v>
      </c>
      <c r="AE24" s="1" t="str">
        <f>"57959895"</f>
        <v>57959895</v>
      </c>
      <c r="AF24" s="1">
        <v>52800000</v>
      </c>
      <c r="AG24" s="1">
        <v>7200000</v>
      </c>
      <c r="AH24" s="1">
        <v>60000000</v>
      </c>
      <c r="AI24" s="1">
        <v>60000000</v>
      </c>
      <c r="AJ24" s="1">
        <v>0</v>
      </c>
      <c r="AK24" s="56">
        <v>1388888</v>
      </c>
    </row>
    <row r="25" spans="1:37">
      <c r="A25" s="1" t="str">
        <f>"1898392870"</f>
        <v>1898392870</v>
      </c>
      <c r="B25" s="1" t="str">
        <f>"9157075"</f>
        <v>9157075</v>
      </c>
      <c r="C25" s="1" t="str">
        <f>"علي پورحزبه"</f>
        <v>علي پورحزبه</v>
      </c>
      <c r="D25" s="1" t="str">
        <f>"توليد توسعه - دارخوين"</f>
        <v>توليد توسعه - دارخوين</v>
      </c>
      <c r="E25" s="1">
        <v>0</v>
      </c>
      <c r="F25" s="1">
        <v>13200</v>
      </c>
      <c r="G25" s="1">
        <v>0</v>
      </c>
      <c r="H25" s="1">
        <v>712425</v>
      </c>
      <c r="I25" s="1">
        <v>200000</v>
      </c>
      <c r="J25" s="1">
        <v>1100000</v>
      </c>
      <c r="K25" s="1">
        <v>1012000</v>
      </c>
      <c r="L25" s="1">
        <v>960000</v>
      </c>
      <c r="M25" s="1">
        <v>0</v>
      </c>
      <c r="N25" s="1">
        <v>46155</v>
      </c>
      <c r="O25" s="1">
        <v>9168270</v>
      </c>
      <c r="P25" s="1">
        <v>0</v>
      </c>
      <c r="Q25" s="1">
        <v>593952</v>
      </c>
      <c r="R25" s="1">
        <v>0</v>
      </c>
      <c r="S25" s="1">
        <v>844786</v>
      </c>
      <c r="T25" s="1">
        <v>0</v>
      </c>
      <c r="U25" s="1">
        <v>23972</v>
      </c>
      <c r="V25" s="1">
        <v>1388888</v>
      </c>
      <c r="W25" s="1">
        <v>650000</v>
      </c>
      <c r="X25" s="1">
        <v>2413675</v>
      </c>
      <c r="Y25" s="1">
        <v>362051</v>
      </c>
      <c r="Z25" s="1">
        <v>13200</v>
      </c>
      <c r="AA25" s="1">
        <v>10885156</v>
      </c>
      <c r="AB25" s="1">
        <v>13792802</v>
      </c>
      <c r="AC25" s="1">
        <v>2907646</v>
      </c>
      <c r="AD25" s="1" t="str">
        <f>"شعبه شادگان"</f>
        <v>شعبه شادگان</v>
      </c>
      <c r="AE25" s="1" t="str">
        <f>"52551779"</f>
        <v>52551779</v>
      </c>
      <c r="AF25" s="1">
        <v>52800000</v>
      </c>
      <c r="AG25" s="1">
        <v>7200000</v>
      </c>
      <c r="AH25" s="1">
        <v>60000000</v>
      </c>
      <c r="AI25" s="1">
        <v>60000000</v>
      </c>
      <c r="AJ25" s="1">
        <v>0</v>
      </c>
      <c r="AK25" s="56">
        <v>1388888</v>
      </c>
    </row>
    <row r="26" spans="1:37">
      <c r="A26" s="1" t="str">
        <f>"1899501312"</f>
        <v>1899501312</v>
      </c>
      <c r="B26" s="1" t="str">
        <f>"9157077"</f>
        <v>9157077</v>
      </c>
      <c r="C26" s="1" t="str">
        <f>"جاسم جامدي باوي"</f>
        <v>جاسم جامدي باوي</v>
      </c>
      <c r="D26" s="1" t="str">
        <f>"توليد توسعه - دارخوين"</f>
        <v>توليد توسعه - دارخوين</v>
      </c>
      <c r="E26" s="1">
        <v>0</v>
      </c>
      <c r="F26" s="1">
        <v>13200</v>
      </c>
      <c r="G26" s="1">
        <v>0</v>
      </c>
      <c r="H26" s="1">
        <v>1424850</v>
      </c>
      <c r="I26" s="1">
        <v>200000</v>
      </c>
      <c r="J26" s="1">
        <v>1100000</v>
      </c>
      <c r="K26" s="1">
        <v>1012000</v>
      </c>
      <c r="L26" s="1">
        <v>960000</v>
      </c>
      <c r="M26" s="1">
        <v>0</v>
      </c>
      <c r="N26" s="1">
        <v>0</v>
      </c>
      <c r="O26" s="1">
        <v>8778930</v>
      </c>
      <c r="P26" s="1">
        <v>389340</v>
      </c>
      <c r="Q26" s="1">
        <v>593952</v>
      </c>
      <c r="R26" s="1">
        <v>0</v>
      </c>
      <c r="S26" s="1">
        <v>841556</v>
      </c>
      <c r="T26" s="1">
        <v>0</v>
      </c>
      <c r="U26" s="1">
        <v>57331</v>
      </c>
      <c r="V26" s="1">
        <v>1388888</v>
      </c>
      <c r="W26" s="1">
        <v>650000</v>
      </c>
      <c r="X26" s="1">
        <v>2404444</v>
      </c>
      <c r="Y26" s="1">
        <v>360667</v>
      </c>
      <c r="Z26" s="1">
        <v>13200</v>
      </c>
      <c r="AA26" s="1">
        <v>11521297</v>
      </c>
      <c r="AB26" s="1">
        <v>14459072</v>
      </c>
      <c r="AC26" s="1">
        <v>2937775</v>
      </c>
      <c r="AD26" s="1" t="str">
        <f>"شعبه شادگان"</f>
        <v>شعبه شادگان</v>
      </c>
      <c r="AE26" s="1" t="str">
        <f>"57963718"</f>
        <v>57963718</v>
      </c>
      <c r="AF26" s="1">
        <v>52800000</v>
      </c>
      <c r="AG26" s="1">
        <v>7200000</v>
      </c>
      <c r="AH26" s="1">
        <v>60000000</v>
      </c>
      <c r="AI26" s="1">
        <v>60000000</v>
      </c>
      <c r="AJ26" s="1">
        <v>0</v>
      </c>
      <c r="AK26" s="56">
        <v>1388888</v>
      </c>
    </row>
    <row r="27" spans="1:37">
      <c r="A27" s="1" t="str">
        <f>"1989031072"</f>
        <v>1989031072</v>
      </c>
      <c r="B27" s="1" t="str">
        <f>"9157079"</f>
        <v>9157079</v>
      </c>
      <c r="C27" s="1" t="str">
        <f>"مزعل جليزي"</f>
        <v>مزعل جليزي</v>
      </c>
      <c r="D27" s="1" t="str">
        <f>"توليد توسعه - دارخوين"</f>
        <v>توليد توسعه - دارخوين</v>
      </c>
      <c r="E27" s="1">
        <v>600</v>
      </c>
      <c r="F27" s="1">
        <v>13200</v>
      </c>
      <c r="G27" s="1">
        <v>784115</v>
      </c>
      <c r="H27" s="1">
        <v>2849700</v>
      </c>
      <c r="I27" s="1">
        <v>200000</v>
      </c>
      <c r="J27" s="1">
        <v>1100000</v>
      </c>
      <c r="K27" s="1">
        <v>1012000</v>
      </c>
      <c r="L27" s="1">
        <v>960000</v>
      </c>
      <c r="M27" s="1">
        <v>0</v>
      </c>
      <c r="N27" s="1">
        <v>0</v>
      </c>
      <c r="O27" s="1">
        <v>10141620</v>
      </c>
      <c r="P27" s="1">
        <v>0</v>
      </c>
      <c r="Q27" s="1">
        <v>611952</v>
      </c>
      <c r="R27" s="1">
        <v>0</v>
      </c>
      <c r="S27" s="1">
        <v>965838</v>
      </c>
      <c r="T27" s="1">
        <v>0</v>
      </c>
      <c r="U27" s="1">
        <v>215572</v>
      </c>
      <c r="V27" s="1">
        <v>1388888</v>
      </c>
      <c r="W27" s="1">
        <v>650000</v>
      </c>
      <c r="X27" s="1">
        <v>2759537</v>
      </c>
      <c r="Y27" s="1">
        <v>413931</v>
      </c>
      <c r="Z27" s="1">
        <v>13200</v>
      </c>
      <c r="AA27" s="1">
        <v>14439089</v>
      </c>
      <c r="AB27" s="1">
        <v>17659387</v>
      </c>
      <c r="AC27" s="1">
        <v>3220298</v>
      </c>
      <c r="AD27" s="1" t="str">
        <f>"شعبه شادگان"</f>
        <v>شعبه شادگان</v>
      </c>
      <c r="AE27" s="1" t="str">
        <f>"50090371"</f>
        <v>50090371</v>
      </c>
      <c r="AF27" s="1">
        <v>52800000</v>
      </c>
      <c r="AG27" s="1">
        <v>7200000</v>
      </c>
      <c r="AH27" s="1">
        <v>60000000</v>
      </c>
      <c r="AI27" s="1">
        <v>60000000</v>
      </c>
      <c r="AJ27" s="1">
        <v>0</v>
      </c>
      <c r="AK27" s="56">
        <v>1388888</v>
      </c>
    </row>
    <row r="28" spans="1:37">
      <c r="A28" s="1" t="str">
        <f>"1898446938"</f>
        <v>1898446938</v>
      </c>
      <c r="B28" s="1" t="str">
        <f>"9157081"</f>
        <v>9157081</v>
      </c>
      <c r="C28" s="1" t="str">
        <f>"فهد چاملي"</f>
        <v>فهد چاملي</v>
      </c>
      <c r="D28" s="1" t="str">
        <f>"توليد توسعه - دارخوين"</f>
        <v>توليد توسعه - دارخوين</v>
      </c>
      <c r="E28" s="1">
        <v>0</v>
      </c>
      <c r="F28" s="1">
        <v>13200</v>
      </c>
      <c r="G28" s="1">
        <v>0</v>
      </c>
      <c r="H28" s="1">
        <v>1424850</v>
      </c>
      <c r="I28" s="1">
        <v>200000</v>
      </c>
      <c r="J28" s="1">
        <v>1100000</v>
      </c>
      <c r="K28" s="1">
        <v>1012000</v>
      </c>
      <c r="L28" s="1">
        <v>960000</v>
      </c>
      <c r="M28" s="1">
        <v>0</v>
      </c>
      <c r="N28" s="1">
        <v>0</v>
      </c>
      <c r="O28" s="1">
        <v>8778930</v>
      </c>
      <c r="P28" s="1">
        <v>0</v>
      </c>
      <c r="Q28" s="1">
        <v>599952</v>
      </c>
      <c r="R28" s="1">
        <v>0</v>
      </c>
      <c r="S28" s="1">
        <v>814722</v>
      </c>
      <c r="T28" s="1">
        <v>0</v>
      </c>
      <c r="U28" s="1">
        <v>38548</v>
      </c>
      <c r="V28" s="1">
        <v>435000</v>
      </c>
      <c r="W28" s="1">
        <v>650000</v>
      </c>
      <c r="X28" s="1">
        <v>2327776</v>
      </c>
      <c r="Y28" s="1">
        <v>349166</v>
      </c>
      <c r="Z28" s="1">
        <v>13200</v>
      </c>
      <c r="AA28" s="1">
        <v>12137462</v>
      </c>
      <c r="AB28" s="1">
        <v>14075732</v>
      </c>
      <c r="AC28" s="1">
        <v>1938270</v>
      </c>
      <c r="AD28" s="1" t="str">
        <f>"شعبه شادگان"</f>
        <v>شعبه شادگان</v>
      </c>
      <c r="AE28" s="1" t="str">
        <f>"57961939"</f>
        <v>57961939</v>
      </c>
      <c r="AF28" s="1">
        <v>0</v>
      </c>
      <c r="AG28" s="1">
        <v>0</v>
      </c>
      <c r="AH28" s="1">
        <v>0</v>
      </c>
      <c r="AI28" s="1">
        <v>0</v>
      </c>
      <c r="AJ28" s="1">
        <v>435000</v>
      </c>
      <c r="AK28" s="56">
        <v>0</v>
      </c>
    </row>
    <row r="29" spans="1:37">
      <c r="A29" s="1" t="str">
        <f>"1899556291"</f>
        <v>1899556291</v>
      </c>
      <c r="B29" s="1" t="str">
        <f>"9157084"</f>
        <v>9157084</v>
      </c>
      <c r="C29" s="1" t="str">
        <f>"ايوب حويزاوي"</f>
        <v>ايوب حويزاوي</v>
      </c>
      <c r="D29" s="1" t="str">
        <f>"توليد توسعه - دارخوين"</f>
        <v>توليد توسعه - دارخوين</v>
      </c>
      <c r="E29" s="1">
        <v>0</v>
      </c>
      <c r="F29" s="1">
        <v>13200</v>
      </c>
      <c r="G29" s="1">
        <v>0</v>
      </c>
      <c r="H29" s="1">
        <v>1424850</v>
      </c>
      <c r="I29" s="1">
        <v>200000</v>
      </c>
      <c r="J29" s="1">
        <v>1100000</v>
      </c>
      <c r="K29" s="1">
        <v>1012000</v>
      </c>
      <c r="L29" s="1">
        <v>960000</v>
      </c>
      <c r="M29" s="1">
        <v>0</v>
      </c>
      <c r="N29" s="1">
        <v>0</v>
      </c>
      <c r="O29" s="1">
        <v>9168270</v>
      </c>
      <c r="P29" s="1">
        <v>0</v>
      </c>
      <c r="Q29" s="1">
        <v>585315</v>
      </c>
      <c r="R29" s="1">
        <v>0</v>
      </c>
      <c r="S29" s="1">
        <v>840951</v>
      </c>
      <c r="T29" s="1">
        <v>0</v>
      </c>
      <c r="U29" s="1">
        <v>56908</v>
      </c>
      <c r="V29" s="1">
        <v>833333</v>
      </c>
      <c r="W29" s="1">
        <v>650000</v>
      </c>
      <c r="X29" s="1">
        <v>2402717</v>
      </c>
      <c r="Y29" s="1">
        <v>360408</v>
      </c>
      <c r="Z29" s="1">
        <v>13200</v>
      </c>
      <c r="AA29" s="1">
        <v>12069243</v>
      </c>
      <c r="AB29" s="1">
        <v>14450435</v>
      </c>
      <c r="AC29" s="1">
        <v>2381192</v>
      </c>
      <c r="AD29" s="1" t="str">
        <f>"شعبه شادگان"</f>
        <v>شعبه شادگان</v>
      </c>
      <c r="AE29" s="1" t="str">
        <f>"57955080"</f>
        <v>57955080</v>
      </c>
      <c r="AF29" s="1">
        <v>52800000</v>
      </c>
      <c r="AG29" s="1">
        <v>7200000</v>
      </c>
      <c r="AH29" s="1">
        <v>60000000</v>
      </c>
      <c r="AI29" s="1">
        <v>60000000</v>
      </c>
      <c r="AJ29" s="1">
        <v>0</v>
      </c>
      <c r="AK29" s="56">
        <v>833333</v>
      </c>
    </row>
    <row r="30" spans="1:37">
      <c r="A30" s="1" t="str">
        <f>"1899527184"</f>
        <v>1899527184</v>
      </c>
      <c r="B30" s="1" t="str">
        <f>"9157089"</f>
        <v>9157089</v>
      </c>
      <c r="C30" s="1" t="str">
        <f>"منصور خنفري راد"</f>
        <v>منصور خنفري راد</v>
      </c>
      <c r="D30" s="1" t="str">
        <f>"توليد توسعه - دارخوين"</f>
        <v>توليد توسعه - دارخوين</v>
      </c>
      <c r="E30" s="1">
        <v>0</v>
      </c>
      <c r="F30" s="1">
        <v>13200</v>
      </c>
      <c r="G30" s="1">
        <v>0</v>
      </c>
      <c r="H30" s="1">
        <v>1424850</v>
      </c>
      <c r="I30" s="1">
        <v>200000</v>
      </c>
      <c r="J30" s="1">
        <v>1100000</v>
      </c>
      <c r="K30" s="1">
        <v>1012000</v>
      </c>
      <c r="L30" s="1">
        <v>960000</v>
      </c>
      <c r="M30" s="1">
        <v>0</v>
      </c>
      <c r="N30" s="1">
        <v>0</v>
      </c>
      <c r="O30" s="1">
        <v>10725600</v>
      </c>
      <c r="P30" s="1">
        <v>0</v>
      </c>
      <c r="Q30" s="1">
        <v>617952</v>
      </c>
      <c r="R30" s="1">
        <v>0</v>
      </c>
      <c r="S30" s="1">
        <v>952249</v>
      </c>
      <c r="T30" s="1">
        <v>0</v>
      </c>
      <c r="U30" s="1">
        <v>134816</v>
      </c>
      <c r="V30" s="1">
        <v>2693888</v>
      </c>
      <c r="W30" s="1">
        <v>650000</v>
      </c>
      <c r="X30" s="1">
        <v>2720710</v>
      </c>
      <c r="Y30" s="1">
        <v>408107</v>
      </c>
      <c r="Z30" s="1">
        <v>13200</v>
      </c>
      <c r="AA30" s="1">
        <v>11609449</v>
      </c>
      <c r="AB30" s="1">
        <v>16040402</v>
      </c>
      <c r="AC30" s="1">
        <v>4430953</v>
      </c>
      <c r="AD30" s="1" t="str">
        <f>"شعبه شادگان"</f>
        <v>شعبه شادگان</v>
      </c>
      <c r="AE30" s="1" t="str">
        <f>"57962868"</f>
        <v>57962868</v>
      </c>
      <c r="AF30" s="1">
        <v>52800000</v>
      </c>
      <c r="AG30" s="1">
        <v>7200000</v>
      </c>
      <c r="AH30" s="1">
        <v>60000000</v>
      </c>
      <c r="AI30" s="1">
        <v>60000000</v>
      </c>
      <c r="AJ30" s="1">
        <v>1305000</v>
      </c>
      <c r="AK30" s="56">
        <v>1388888</v>
      </c>
    </row>
    <row r="31" spans="1:37">
      <c r="A31" s="1" t="str">
        <f>"5269699109"</f>
        <v>5269699109</v>
      </c>
      <c r="B31" s="1" t="str">
        <f>"9157090"</f>
        <v>9157090</v>
      </c>
      <c r="C31" s="1" t="str">
        <f>"جميل زرگاني"</f>
        <v>جميل زرگاني</v>
      </c>
      <c r="D31" s="1" t="str">
        <f>"توليد توسعه - دارخوين"</f>
        <v>توليد توسعه - دارخوين</v>
      </c>
      <c r="E31" s="1">
        <v>0</v>
      </c>
      <c r="F31" s="1">
        <v>13200</v>
      </c>
      <c r="G31" s="1">
        <v>0</v>
      </c>
      <c r="H31" s="1">
        <v>1424850</v>
      </c>
      <c r="I31" s="1">
        <v>200000</v>
      </c>
      <c r="J31" s="1">
        <v>1100000</v>
      </c>
      <c r="K31" s="1">
        <v>1012000</v>
      </c>
      <c r="L31" s="1">
        <v>960000</v>
      </c>
      <c r="M31" s="1">
        <v>0</v>
      </c>
      <c r="N31" s="1">
        <v>0</v>
      </c>
      <c r="O31" s="1">
        <v>10725600</v>
      </c>
      <c r="P31" s="1">
        <v>0</v>
      </c>
      <c r="Q31" s="1">
        <v>617952</v>
      </c>
      <c r="R31" s="1">
        <v>0</v>
      </c>
      <c r="S31" s="1">
        <v>952249</v>
      </c>
      <c r="T31" s="1">
        <v>0</v>
      </c>
      <c r="U31" s="1">
        <v>134817</v>
      </c>
      <c r="V31" s="1">
        <v>2693888</v>
      </c>
      <c r="W31" s="1">
        <v>650000</v>
      </c>
      <c r="X31" s="1">
        <v>2720710</v>
      </c>
      <c r="Y31" s="1">
        <v>408107</v>
      </c>
      <c r="Z31" s="1">
        <v>13200</v>
      </c>
      <c r="AA31" s="1">
        <v>11609448</v>
      </c>
      <c r="AB31" s="1">
        <v>16040402</v>
      </c>
      <c r="AC31" s="1">
        <v>4430954</v>
      </c>
      <c r="AD31" s="1" t="str">
        <f>"شعبه شادگان"</f>
        <v>شعبه شادگان</v>
      </c>
      <c r="AE31" s="1" t="str">
        <f>"57959541"</f>
        <v>57959541</v>
      </c>
      <c r="AF31" s="1">
        <v>52800000</v>
      </c>
      <c r="AG31" s="1">
        <v>7200000</v>
      </c>
      <c r="AH31" s="1">
        <v>60000000</v>
      </c>
      <c r="AI31" s="1">
        <v>60000000</v>
      </c>
      <c r="AJ31" s="1">
        <v>1305000</v>
      </c>
      <c r="AK31" s="56">
        <v>1388888</v>
      </c>
    </row>
    <row r="32" spans="1:37">
      <c r="A32" s="1" t="str">
        <f>"1899886222"</f>
        <v>1899886222</v>
      </c>
      <c r="B32" s="1" t="str">
        <f>"9157091"</f>
        <v>9157091</v>
      </c>
      <c r="C32" s="1" t="str">
        <f>"علي ساري"</f>
        <v>علي ساري</v>
      </c>
      <c r="D32" s="1" t="str">
        <f>"توليد توسعه - دارخوين"</f>
        <v>توليد توسعه - دارخوين</v>
      </c>
      <c r="E32" s="1">
        <v>0</v>
      </c>
      <c r="F32" s="1">
        <v>13200</v>
      </c>
      <c r="G32" s="1">
        <v>0</v>
      </c>
      <c r="H32" s="1">
        <v>712425</v>
      </c>
      <c r="I32" s="1">
        <v>200000</v>
      </c>
      <c r="J32" s="1">
        <v>1100000</v>
      </c>
      <c r="K32" s="1">
        <v>1012000</v>
      </c>
      <c r="L32" s="1">
        <v>960000</v>
      </c>
      <c r="M32" s="1">
        <v>0</v>
      </c>
      <c r="N32" s="1">
        <v>16448</v>
      </c>
      <c r="O32" s="1">
        <v>8778930</v>
      </c>
      <c r="P32" s="1">
        <v>0</v>
      </c>
      <c r="Q32" s="1">
        <v>593952</v>
      </c>
      <c r="R32" s="1">
        <v>0</v>
      </c>
      <c r="S32" s="1">
        <v>815453</v>
      </c>
      <c r="T32" s="1">
        <v>0</v>
      </c>
      <c r="U32" s="1">
        <v>3439</v>
      </c>
      <c r="V32" s="1">
        <v>1388888</v>
      </c>
      <c r="W32" s="1">
        <v>650000</v>
      </c>
      <c r="X32" s="1">
        <v>2329866</v>
      </c>
      <c r="Y32" s="1">
        <v>349480</v>
      </c>
      <c r="Z32" s="1">
        <v>13200</v>
      </c>
      <c r="AA32" s="1">
        <v>10515975</v>
      </c>
      <c r="AB32" s="1">
        <v>13373755</v>
      </c>
      <c r="AC32" s="1">
        <v>2857780</v>
      </c>
      <c r="AD32" s="1" t="str">
        <f>"شعبه شادگان"</f>
        <v>شعبه شادگان</v>
      </c>
      <c r="AE32" s="1" t="str">
        <f>"52564961"</f>
        <v>52564961</v>
      </c>
      <c r="AF32" s="1">
        <v>52800000</v>
      </c>
      <c r="AG32" s="1">
        <v>7200000</v>
      </c>
      <c r="AH32" s="1">
        <v>60000000</v>
      </c>
      <c r="AI32" s="1">
        <v>60000000</v>
      </c>
      <c r="AJ32" s="1">
        <v>0</v>
      </c>
      <c r="AK32" s="56">
        <v>1388888</v>
      </c>
    </row>
    <row r="33" spans="5:42">
      <c r="E33" s="3">
        <f>SUM(E2:E32)</f>
        <v>2820</v>
      </c>
      <c r="F33" s="3">
        <f t="shared" ref="F33:S33" si="0">SUM(F2:F32)</f>
        <v>409200</v>
      </c>
      <c r="G33" s="3">
        <f>SUM(G2:G32)</f>
        <v>3386378</v>
      </c>
      <c r="H33" s="3">
        <f t="shared" si="0"/>
        <v>42033075</v>
      </c>
      <c r="I33" s="3">
        <f t="shared" si="0"/>
        <v>6200000</v>
      </c>
      <c r="J33" s="3">
        <f t="shared" si="0"/>
        <v>34100000</v>
      </c>
      <c r="K33" s="3">
        <f t="shared" si="0"/>
        <v>31372000</v>
      </c>
      <c r="L33" s="3">
        <f t="shared" si="0"/>
        <v>29760000</v>
      </c>
      <c r="M33" s="3">
        <f t="shared" si="0"/>
        <v>0</v>
      </c>
      <c r="N33" s="3">
        <f t="shared" si="0"/>
        <v>1807306</v>
      </c>
      <c r="O33" s="3">
        <f t="shared" si="0"/>
        <v>297356250</v>
      </c>
      <c r="P33" s="3">
        <f t="shared" si="0"/>
        <v>1362660</v>
      </c>
      <c r="Q33" s="3">
        <f t="shared" si="0"/>
        <v>18739875</v>
      </c>
      <c r="R33" s="3">
        <f t="shared" si="0"/>
        <v>1051200</v>
      </c>
      <c r="S33" s="3">
        <f t="shared" si="0"/>
        <v>27563461</v>
      </c>
      <c r="T33" s="3">
        <f t="shared" ref="T33:AE33" si="1">SUM(T2:T32)</f>
        <v>0</v>
      </c>
      <c r="U33" s="3">
        <f t="shared" si="1"/>
        <v>2746290</v>
      </c>
      <c r="V33" s="3">
        <f t="shared" si="1"/>
        <v>33766649</v>
      </c>
      <c r="W33" s="3">
        <f t="shared" si="1"/>
        <v>18200000</v>
      </c>
      <c r="X33" s="3">
        <f t="shared" si="1"/>
        <v>78752725</v>
      </c>
      <c r="Y33" s="3">
        <f t="shared" si="1"/>
        <v>11812911</v>
      </c>
      <c r="Z33" s="3">
        <f t="shared" si="1"/>
        <v>409200</v>
      </c>
      <c r="AA33" s="3">
        <f t="shared" si="1"/>
        <v>384892344</v>
      </c>
      <c r="AB33" s="3">
        <f t="shared" si="1"/>
        <v>467168744</v>
      </c>
      <c r="AC33" s="3">
        <f t="shared" si="1"/>
        <v>82276400</v>
      </c>
      <c r="AD33" s="3">
        <f t="shared" si="1"/>
        <v>0</v>
      </c>
      <c r="AE33" s="3">
        <f t="shared" si="1"/>
        <v>0</v>
      </c>
      <c r="AF33" s="3">
        <f t="shared" ref="AF33:AP33" si="2">SUM(AF2:AF32)</f>
        <v>1332000000</v>
      </c>
      <c r="AG33" s="3">
        <f t="shared" si="2"/>
        <v>168000000</v>
      </c>
      <c r="AH33" s="3">
        <f t="shared" si="2"/>
        <v>1500000000</v>
      </c>
      <c r="AI33" s="3">
        <f t="shared" si="2"/>
        <v>1500000000</v>
      </c>
      <c r="AJ33" s="3">
        <f t="shared" si="2"/>
        <v>4350000</v>
      </c>
      <c r="AK33" s="3">
        <f t="shared" si="2"/>
        <v>29416649</v>
      </c>
      <c r="AL33" s="3"/>
      <c r="AM33" s="3"/>
      <c r="AN33" s="3"/>
      <c r="AO33" s="3"/>
      <c r="AP33" s="3"/>
    </row>
    <row r="36" spans="5:42" s="3" customFormat="1">
      <c r="E36" s="3">
        <v>2820</v>
      </c>
      <c r="F36" s="3">
        <v>409200</v>
      </c>
      <c r="G36" s="3">
        <v>3386378</v>
      </c>
      <c r="H36" s="3">
        <v>42033075</v>
      </c>
      <c r="I36" s="3">
        <v>6200000</v>
      </c>
      <c r="J36" s="3">
        <v>34100000</v>
      </c>
      <c r="K36" s="3">
        <v>31372000</v>
      </c>
      <c r="L36" s="3">
        <v>29760000</v>
      </c>
      <c r="M36" s="3">
        <v>0</v>
      </c>
      <c r="N36" s="3">
        <v>1807306</v>
      </c>
      <c r="O36" s="3">
        <v>297356250</v>
      </c>
      <c r="P36" s="3">
        <v>1362660</v>
      </c>
      <c r="Q36" s="3">
        <v>18739875</v>
      </c>
      <c r="R36" s="3">
        <v>1051200</v>
      </c>
      <c r="S36" s="3">
        <v>27563461</v>
      </c>
      <c r="T36" s="3">
        <v>0</v>
      </c>
      <c r="U36" s="3">
        <v>2746290</v>
      </c>
      <c r="V36" s="3">
        <v>33766649</v>
      </c>
      <c r="W36" s="3">
        <v>18200000</v>
      </c>
      <c r="X36" s="3">
        <v>78752725</v>
      </c>
      <c r="Y36" s="3">
        <v>11812911</v>
      </c>
      <c r="Z36" s="3">
        <v>409200</v>
      </c>
      <c r="AA36" s="3">
        <v>384892344</v>
      </c>
      <c r="AB36" s="3">
        <v>467168744</v>
      </c>
      <c r="AC36" s="3">
        <v>82276400</v>
      </c>
      <c r="AD36" s="3">
        <v>0</v>
      </c>
      <c r="AE36" s="3">
        <v>0</v>
      </c>
      <c r="AF36" s="3">
        <v>1332000000</v>
      </c>
      <c r="AG36" s="3">
        <v>168000000</v>
      </c>
      <c r="AH36" s="3">
        <v>1500000000</v>
      </c>
      <c r="AI36" s="3">
        <v>1500000000</v>
      </c>
      <c r="AJ36" s="3">
        <v>4350000</v>
      </c>
      <c r="AK36" s="3">
        <v>29416649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rightToLeft="1" topLeftCell="A28" workbookViewId="0">
      <selection activeCell="C2" sqref="C2"/>
    </sheetView>
  </sheetViews>
  <sheetFormatPr defaultRowHeight="18.75"/>
  <cols>
    <col min="1" max="1" width="20.140625" style="62" bestFit="1" customWidth="1"/>
    <col min="2" max="2" width="11.85546875" style="62" bestFit="1" customWidth="1"/>
    <col min="3" max="3" width="19.85546875" style="62" bestFit="1" customWidth="1"/>
    <col min="4" max="4" width="15.42578125" style="62" bestFit="1" customWidth="1"/>
    <col min="5" max="5" width="35.5703125" style="62" bestFit="1" customWidth="1"/>
    <col min="6" max="6" width="14.28515625" style="62" customWidth="1"/>
    <col min="7" max="7" width="13" style="62" bestFit="1" customWidth="1"/>
    <col min="8" max="8" width="12.42578125" style="62" bestFit="1" customWidth="1"/>
    <col min="9" max="9" width="8.42578125" style="62" bestFit="1" customWidth="1"/>
    <col min="10" max="10" width="6.42578125" style="62" bestFit="1" customWidth="1"/>
    <col min="11" max="11" width="13.85546875" style="62" bestFit="1" customWidth="1"/>
    <col min="12" max="12" width="9.28515625" style="62" bestFit="1" customWidth="1"/>
    <col min="13" max="13" width="7.85546875" style="62" bestFit="1" customWidth="1"/>
    <col min="14" max="14" width="10.42578125" style="62" bestFit="1" customWidth="1"/>
    <col min="15" max="16384" width="9.140625" style="62"/>
  </cols>
  <sheetData>
    <row r="1" spans="1:14" ht="24.75">
      <c r="A1" s="60" t="s">
        <v>3</v>
      </c>
      <c r="B1" s="60" t="s">
        <v>1</v>
      </c>
      <c r="C1" s="60" t="s">
        <v>2</v>
      </c>
      <c r="D1" s="60" t="s">
        <v>66</v>
      </c>
      <c r="E1" s="61" t="s">
        <v>67</v>
      </c>
      <c r="F1" s="4"/>
      <c r="G1" s="4"/>
      <c r="H1" s="4"/>
      <c r="I1" s="4"/>
      <c r="J1" s="4"/>
      <c r="K1" s="4"/>
      <c r="L1" s="4"/>
      <c r="M1" s="4"/>
      <c r="N1" s="4"/>
    </row>
    <row r="2" spans="1:14" ht="24.75">
      <c r="A2" s="4" t="str">
        <f t="shared" ref="A2:A32" si="0">"توليد توسعه - دارخوين"</f>
        <v>توليد توسعه - دارخوين</v>
      </c>
      <c r="B2" s="4" t="str">
        <f>"9157041"</f>
        <v>9157041</v>
      </c>
      <c r="C2" s="4" t="str">
        <f>"عيد آسماني"</f>
        <v>عيد آسماني</v>
      </c>
      <c r="D2" s="4">
        <v>30</v>
      </c>
      <c r="E2" s="6">
        <v>3000000</v>
      </c>
      <c r="F2" s="4"/>
      <c r="G2" s="4"/>
      <c r="H2" s="4"/>
      <c r="I2" s="4"/>
      <c r="J2" s="4"/>
      <c r="K2" s="4"/>
      <c r="L2" s="4"/>
      <c r="M2" s="4"/>
      <c r="N2" s="4"/>
    </row>
    <row r="3" spans="1:14" ht="24.75">
      <c r="A3" s="4" t="str">
        <f t="shared" si="0"/>
        <v>توليد توسعه - دارخوين</v>
      </c>
      <c r="B3" s="4" t="str">
        <f>"9157042"</f>
        <v>9157042</v>
      </c>
      <c r="C3" s="4" t="str">
        <f>"كاظم آل بالدي"</f>
        <v>كاظم آل بالدي</v>
      </c>
      <c r="D3" s="4">
        <v>30</v>
      </c>
      <c r="E3" s="6">
        <v>3000000</v>
      </c>
      <c r="F3" s="4"/>
      <c r="G3" s="4"/>
      <c r="H3" s="4"/>
      <c r="I3" s="4"/>
      <c r="J3" s="4"/>
      <c r="K3" s="4"/>
      <c r="L3" s="4"/>
      <c r="M3" s="4"/>
      <c r="N3" s="4"/>
    </row>
    <row r="4" spans="1:14" ht="24.75">
      <c r="A4" s="4" t="str">
        <f t="shared" si="0"/>
        <v>توليد توسعه - دارخوين</v>
      </c>
      <c r="B4" s="4" t="str">
        <f>"9157043"</f>
        <v>9157043</v>
      </c>
      <c r="C4" s="4" t="str">
        <f>"عبداله البوبالد"</f>
        <v>عبداله البوبالد</v>
      </c>
      <c r="D4" s="4">
        <v>30</v>
      </c>
      <c r="E4" s="6">
        <v>3000000</v>
      </c>
      <c r="F4" s="4"/>
      <c r="G4" s="4"/>
      <c r="H4" s="4"/>
      <c r="I4" s="4"/>
      <c r="J4" s="4"/>
      <c r="K4" s="4"/>
      <c r="L4" s="4"/>
      <c r="M4" s="4"/>
      <c r="N4" s="4"/>
    </row>
    <row r="5" spans="1:14" ht="24.75">
      <c r="A5" s="4" t="str">
        <f t="shared" si="0"/>
        <v>توليد توسعه - دارخوين</v>
      </c>
      <c r="B5" s="4" t="str">
        <f>"9157044"</f>
        <v>9157044</v>
      </c>
      <c r="C5" s="4" t="str">
        <f>"سعيد ال بوبالدي"</f>
        <v>سعيد ال بوبالدي</v>
      </c>
      <c r="D5" s="4">
        <v>30</v>
      </c>
      <c r="E5" s="6">
        <v>3000000</v>
      </c>
      <c r="F5" s="4"/>
      <c r="G5" s="4"/>
      <c r="H5" s="4"/>
      <c r="I5" s="4"/>
      <c r="J5" s="4"/>
      <c r="K5" s="4"/>
      <c r="L5" s="4"/>
      <c r="M5" s="4"/>
      <c r="N5" s="4"/>
    </row>
    <row r="6" spans="1:14" ht="24.75">
      <c r="A6" s="4" t="str">
        <f t="shared" si="0"/>
        <v>توليد توسعه - دارخوين</v>
      </c>
      <c r="B6" s="4" t="str">
        <f>"9157045"</f>
        <v>9157045</v>
      </c>
      <c r="C6" s="4" t="str">
        <f>"شريف آلبوبالدي"</f>
        <v>شريف آلبوبالدي</v>
      </c>
      <c r="D6" s="4">
        <v>30</v>
      </c>
      <c r="E6" s="6">
        <v>3000000</v>
      </c>
      <c r="F6" s="4"/>
      <c r="G6" s="4"/>
      <c r="H6" s="4"/>
      <c r="I6" s="4"/>
      <c r="J6" s="4"/>
      <c r="K6" s="4"/>
      <c r="L6" s="4"/>
      <c r="M6" s="4"/>
      <c r="N6" s="4"/>
    </row>
    <row r="7" spans="1:14" ht="24.75">
      <c r="A7" s="4" t="str">
        <f t="shared" si="0"/>
        <v>توليد توسعه - دارخوين</v>
      </c>
      <c r="B7" s="4" t="str">
        <f>"9157046"</f>
        <v>9157046</v>
      </c>
      <c r="C7" s="4" t="str">
        <f>"يعقوب آلبوبالدي"</f>
        <v>يعقوب آلبوبالدي</v>
      </c>
      <c r="D7" s="4">
        <v>30</v>
      </c>
      <c r="E7" s="6">
        <v>3000000</v>
      </c>
      <c r="F7" s="4"/>
      <c r="G7" s="4"/>
      <c r="H7" s="4"/>
      <c r="I7" s="4"/>
      <c r="J7" s="4"/>
      <c r="K7" s="4"/>
      <c r="L7" s="4"/>
      <c r="M7" s="4"/>
      <c r="N7" s="4"/>
    </row>
    <row r="8" spans="1:14" ht="24.75">
      <c r="A8" s="4" t="str">
        <f t="shared" si="0"/>
        <v>توليد توسعه - دارخوين</v>
      </c>
      <c r="B8" s="4" t="str">
        <f>"9157047"</f>
        <v>9157047</v>
      </c>
      <c r="C8" s="4" t="str">
        <f>"محمد البوغبيش"</f>
        <v>محمد البوغبيش</v>
      </c>
      <c r="D8" s="4">
        <v>30</v>
      </c>
      <c r="E8" s="6">
        <v>3000000</v>
      </c>
      <c r="F8" s="4"/>
      <c r="G8" s="4"/>
      <c r="H8" s="4"/>
      <c r="I8" s="4"/>
      <c r="J8" s="4"/>
      <c r="K8" s="4"/>
      <c r="L8" s="4"/>
      <c r="M8" s="4"/>
      <c r="N8" s="4"/>
    </row>
    <row r="9" spans="1:14" ht="24.75">
      <c r="A9" s="4" t="str">
        <f t="shared" si="0"/>
        <v>توليد توسعه - دارخوين</v>
      </c>
      <c r="B9" s="4" t="str">
        <f>"9157049"</f>
        <v>9157049</v>
      </c>
      <c r="C9" s="4" t="str">
        <f>"عبدالامام بالدي"</f>
        <v>عبدالامام بالدي</v>
      </c>
      <c r="D9" s="4">
        <v>30</v>
      </c>
      <c r="E9" s="6">
        <v>3000000</v>
      </c>
      <c r="F9" s="4"/>
      <c r="G9" s="4"/>
      <c r="H9" s="4"/>
      <c r="I9" s="4"/>
      <c r="J9" s="4"/>
      <c r="K9" s="4"/>
      <c r="L9" s="4"/>
      <c r="M9" s="4"/>
      <c r="N9" s="4"/>
    </row>
    <row r="10" spans="1:14" ht="24.75">
      <c r="A10" s="4" t="str">
        <f t="shared" si="0"/>
        <v>توليد توسعه - دارخوين</v>
      </c>
      <c r="B10" s="4" t="str">
        <f>"9157050"</f>
        <v>9157050</v>
      </c>
      <c r="C10" s="4" t="str">
        <f>"حسين باوي"</f>
        <v>حسين باوي</v>
      </c>
      <c r="D10" s="4">
        <v>30</v>
      </c>
      <c r="E10" s="6">
        <v>3000000</v>
      </c>
      <c r="F10" s="4"/>
      <c r="G10" s="4"/>
      <c r="H10" s="4"/>
      <c r="I10" s="4"/>
      <c r="J10" s="4"/>
      <c r="K10" s="4"/>
      <c r="L10" s="4"/>
      <c r="M10" s="4"/>
      <c r="N10" s="4"/>
    </row>
    <row r="11" spans="1:14" ht="24.75">
      <c r="A11" s="4" t="str">
        <f t="shared" si="0"/>
        <v>توليد توسعه - دارخوين</v>
      </c>
      <c r="B11" s="4" t="str">
        <f>"9157053"</f>
        <v>9157053</v>
      </c>
      <c r="C11" s="4" t="str">
        <f>"عظيم باوي سويره"</f>
        <v>عظيم باوي سويره</v>
      </c>
      <c r="D11" s="4">
        <v>30</v>
      </c>
      <c r="E11" s="6">
        <v>3000000</v>
      </c>
      <c r="F11" s="4"/>
      <c r="G11" s="4"/>
      <c r="H11" s="4"/>
      <c r="I11" s="4"/>
      <c r="J11" s="4"/>
      <c r="K11" s="4"/>
      <c r="L11" s="4"/>
      <c r="M11" s="4"/>
      <c r="N11" s="4"/>
    </row>
    <row r="12" spans="1:14" ht="24.75">
      <c r="A12" s="4" t="str">
        <f t="shared" si="0"/>
        <v>توليد توسعه - دارخوين</v>
      </c>
      <c r="B12" s="4" t="str">
        <f>"9157054"</f>
        <v>9157054</v>
      </c>
      <c r="C12" s="4" t="str">
        <f>"عارف باوي فرد"</f>
        <v>عارف باوي فرد</v>
      </c>
      <c r="D12" s="4">
        <v>30</v>
      </c>
      <c r="E12" s="6">
        <v>3000000</v>
      </c>
      <c r="F12" s="4"/>
      <c r="G12" s="4"/>
      <c r="H12" s="4"/>
      <c r="I12" s="4"/>
      <c r="J12" s="4"/>
      <c r="K12" s="4"/>
      <c r="L12" s="4"/>
      <c r="M12" s="4"/>
      <c r="N12" s="4"/>
    </row>
    <row r="13" spans="1:14" ht="24.75">
      <c r="A13" s="4" t="str">
        <f t="shared" si="0"/>
        <v>توليد توسعه - دارخوين</v>
      </c>
      <c r="B13" s="4" t="str">
        <f>"9157055"</f>
        <v>9157055</v>
      </c>
      <c r="C13" s="4" t="str">
        <f>"نجم باوي فرد"</f>
        <v>نجم باوي فرد</v>
      </c>
      <c r="D13" s="4">
        <v>30</v>
      </c>
      <c r="E13" s="6">
        <v>3000000</v>
      </c>
      <c r="F13" s="4"/>
      <c r="G13" s="4"/>
      <c r="H13" s="4"/>
      <c r="I13" s="4"/>
      <c r="J13" s="4"/>
      <c r="K13" s="4"/>
      <c r="L13" s="4"/>
      <c r="M13" s="4"/>
      <c r="N13" s="4"/>
    </row>
    <row r="14" spans="1:14" ht="24.75">
      <c r="A14" s="4" t="str">
        <f t="shared" si="0"/>
        <v>توليد توسعه - دارخوين</v>
      </c>
      <c r="B14" s="4" t="str">
        <f>"9157056"</f>
        <v>9157056</v>
      </c>
      <c r="C14" s="4" t="str">
        <f>"سعيد بدوي"</f>
        <v>سعيد بدوي</v>
      </c>
      <c r="D14" s="4">
        <v>30</v>
      </c>
      <c r="E14" s="6">
        <v>3000000</v>
      </c>
      <c r="F14" s="4"/>
      <c r="G14" s="4"/>
      <c r="H14" s="4"/>
      <c r="I14" s="4"/>
      <c r="J14" s="4"/>
      <c r="K14" s="4"/>
      <c r="L14" s="4"/>
      <c r="M14" s="4"/>
      <c r="N14" s="4"/>
    </row>
    <row r="15" spans="1:14" ht="24.75">
      <c r="A15" s="4" t="str">
        <f t="shared" si="0"/>
        <v>توليد توسعه - دارخوين</v>
      </c>
      <c r="B15" s="4" t="str">
        <f>"9157057"</f>
        <v>9157057</v>
      </c>
      <c r="C15" s="4" t="str">
        <f>"عباس بدوي"</f>
        <v>عباس بدوي</v>
      </c>
      <c r="D15" s="4">
        <v>30</v>
      </c>
      <c r="E15" s="6">
        <v>3000000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 ht="24.75">
      <c r="A16" s="4" t="str">
        <f t="shared" si="0"/>
        <v>توليد توسعه - دارخوين</v>
      </c>
      <c r="B16" s="4" t="str">
        <f>"9157058"</f>
        <v>9157058</v>
      </c>
      <c r="C16" s="4" t="str">
        <f>"طاهر پورحزبه"</f>
        <v>طاهر پورحزبه</v>
      </c>
      <c r="D16" s="4">
        <v>30</v>
      </c>
      <c r="E16" s="6">
        <v>3000000</v>
      </c>
      <c r="F16" s="4"/>
      <c r="G16" s="4"/>
      <c r="H16" s="4"/>
      <c r="I16" s="4"/>
      <c r="J16" s="4"/>
      <c r="K16" s="4"/>
      <c r="L16" s="4"/>
      <c r="M16" s="4"/>
      <c r="N16" s="4"/>
    </row>
    <row r="17" spans="1:14" ht="24.75">
      <c r="A17" s="4" t="str">
        <f t="shared" si="0"/>
        <v>توليد توسعه - دارخوين</v>
      </c>
      <c r="B17" s="4" t="str">
        <f>"9157059"</f>
        <v>9157059</v>
      </c>
      <c r="C17" s="4" t="str">
        <f>"رحمه سياحي"</f>
        <v>رحمه سياحي</v>
      </c>
      <c r="D17" s="4">
        <v>30</v>
      </c>
      <c r="E17" s="6">
        <v>3000000</v>
      </c>
      <c r="F17" s="4"/>
      <c r="G17" s="4"/>
      <c r="H17" s="4"/>
      <c r="I17" s="4"/>
      <c r="J17" s="4"/>
      <c r="K17" s="4"/>
      <c r="L17" s="4"/>
      <c r="M17" s="4"/>
      <c r="N17" s="4"/>
    </row>
    <row r="18" spans="1:14" ht="24.75">
      <c r="A18" s="4" t="str">
        <f t="shared" si="0"/>
        <v>توليد توسعه - دارخوين</v>
      </c>
      <c r="B18" s="4" t="str">
        <f>"9157060"</f>
        <v>9157060</v>
      </c>
      <c r="C18" s="4" t="str">
        <f>"مرد سياحي"</f>
        <v>مرد سياحي</v>
      </c>
      <c r="D18" s="4">
        <v>30</v>
      </c>
      <c r="E18" s="6">
        <v>3000000</v>
      </c>
      <c r="F18" s="4"/>
      <c r="G18" s="4"/>
      <c r="H18" s="4"/>
      <c r="I18" s="4"/>
      <c r="J18" s="4"/>
      <c r="K18" s="4"/>
      <c r="L18" s="4"/>
      <c r="M18" s="4"/>
      <c r="N18" s="4"/>
    </row>
    <row r="19" spans="1:14" ht="24.75">
      <c r="A19" s="4" t="str">
        <f t="shared" si="0"/>
        <v>توليد توسعه - دارخوين</v>
      </c>
      <c r="B19" s="4" t="str">
        <f>"9157065"</f>
        <v>9157065</v>
      </c>
      <c r="C19" s="4" t="str">
        <f>"رحيم عقباوي"</f>
        <v>رحيم عقباوي</v>
      </c>
      <c r="D19" s="4">
        <v>30</v>
      </c>
      <c r="E19" s="6">
        <v>3000000</v>
      </c>
      <c r="F19" s="4"/>
      <c r="G19" s="4"/>
      <c r="H19" s="4"/>
      <c r="I19" s="4"/>
      <c r="J19" s="4"/>
      <c r="K19" s="4"/>
      <c r="L19" s="4"/>
      <c r="M19" s="4"/>
      <c r="N19" s="4"/>
    </row>
    <row r="20" spans="1:14" ht="24.75">
      <c r="A20" s="4" t="str">
        <f t="shared" si="0"/>
        <v>توليد توسعه - دارخوين</v>
      </c>
      <c r="B20" s="4" t="str">
        <f>"9157066"</f>
        <v>9157066</v>
      </c>
      <c r="C20" s="4" t="str">
        <f>"جمشيد فرحانيان"</f>
        <v>جمشيد فرحانيان</v>
      </c>
      <c r="D20" s="4">
        <v>30</v>
      </c>
      <c r="E20" s="6">
        <v>3000000</v>
      </c>
      <c r="F20" s="4"/>
      <c r="G20" s="4"/>
      <c r="H20" s="4"/>
      <c r="I20" s="4"/>
      <c r="J20" s="4"/>
      <c r="K20" s="4"/>
      <c r="L20" s="4"/>
      <c r="M20" s="4"/>
      <c r="N20" s="4"/>
    </row>
    <row r="21" spans="1:14" ht="24.75">
      <c r="A21" s="4" t="str">
        <f t="shared" si="0"/>
        <v>توليد توسعه - دارخوين</v>
      </c>
      <c r="B21" s="4" t="str">
        <f>"9157068"</f>
        <v>9157068</v>
      </c>
      <c r="C21" s="4" t="str">
        <f>"مجتبي قنواتي زاده"</f>
        <v>مجتبي قنواتي زاده</v>
      </c>
      <c r="D21" s="4">
        <v>30</v>
      </c>
      <c r="E21" s="6">
        <v>3000000</v>
      </c>
      <c r="F21" s="4"/>
      <c r="G21" s="4"/>
      <c r="H21" s="4"/>
      <c r="I21" s="4"/>
      <c r="J21" s="4"/>
      <c r="K21" s="4"/>
      <c r="L21" s="4"/>
      <c r="M21" s="4"/>
      <c r="N21" s="4"/>
    </row>
    <row r="22" spans="1:14" ht="24.75">
      <c r="A22" s="4" t="str">
        <f t="shared" si="0"/>
        <v>توليد توسعه - دارخوين</v>
      </c>
      <c r="B22" s="4" t="str">
        <f>"9157069"</f>
        <v>9157069</v>
      </c>
      <c r="C22" s="4" t="str">
        <f>"رضا محمدحسيني"</f>
        <v>رضا محمدحسيني</v>
      </c>
      <c r="D22" s="4">
        <v>30</v>
      </c>
      <c r="E22" s="6">
        <v>3000000</v>
      </c>
      <c r="F22" s="4"/>
      <c r="G22" s="4"/>
      <c r="H22" s="4"/>
      <c r="I22" s="4"/>
      <c r="J22" s="4"/>
      <c r="K22" s="4"/>
      <c r="L22" s="4"/>
      <c r="M22" s="4"/>
      <c r="N22" s="4"/>
    </row>
    <row r="23" spans="1:14" ht="24.75">
      <c r="A23" s="4" t="str">
        <f t="shared" si="0"/>
        <v>توليد توسعه - دارخوين</v>
      </c>
      <c r="B23" s="4" t="str">
        <f>"9157070"</f>
        <v>9157070</v>
      </c>
      <c r="C23" s="4" t="str">
        <f>"فاضل مقدم"</f>
        <v>فاضل مقدم</v>
      </c>
      <c r="D23" s="4">
        <v>30</v>
      </c>
      <c r="E23" s="6">
        <v>3000000</v>
      </c>
      <c r="F23" s="4"/>
      <c r="G23" s="4"/>
      <c r="H23" s="4"/>
      <c r="I23" s="4"/>
      <c r="J23" s="4"/>
      <c r="K23" s="4"/>
      <c r="L23" s="4"/>
      <c r="M23" s="4"/>
      <c r="N23" s="4"/>
    </row>
    <row r="24" spans="1:14" ht="24.75">
      <c r="A24" s="4" t="str">
        <f t="shared" si="0"/>
        <v>توليد توسعه - دارخوين</v>
      </c>
      <c r="B24" s="4" t="str">
        <f>"9157072"</f>
        <v>9157072</v>
      </c>
      <c r="C24" s="4" t="str">
        <f>"محمدامين نادري"</f>
        <v>محمدامين نادري</v>
      </c>
      <c r="D24" s="4">
        <v>30</v>
      </c>
      <c r="E24" s="6">
        <v>3000000</v>
      </c>
      <c r="F24" s="4"/>
      <c r="G24" s="4"/>
      <c r="H24" s="4"/>
      <c r="I24" s="4"/>
      <c r="J24" s="4"/>
      <c r="K24" s="4"/>
      <c r="L24" s="4"/>
      <c r="M24" s="4"/>
      <c r="N24" s="4"/>
    </row>
    <row r="25" spans="1:14" ht="24.75">
      <c r="A25" s="4" t="str">
        <f t="shared" si="0"/>
        <v>توليد توسعه - دارخوين</v>
      </c>
      <c r="B25" s="4" t="str">
        <f>"9157075"</f>
        <v>9157075</v>
      </c>
      <c r="C25" s="4" t="str">
        <f>"علي پورحزبه"</f>
        <v>علي پورحزبه</v>
      </c>
      <c r="D25" s="4">
        <v>30</v>
      </c>
      <c r="E25" s="6">
        <v>3000000</v>
      </c>
      <c r="F25" s="4"/>
      <c r="G25" s="4"/>
      <c r="H25" s="4"/>
      <c r="I25" s="4"/>
      <c r="J25" s="4"/>
      <c r="K25" s="4"/>
      <c r="L25" s="4"/>
      <c r="M25" s="4"/>
      <c r="N25" s="4"/>
    </row>
    <row r="26" spans="1:14" ht="24.75">
      <c r="A26" s="4" t="str">
        <f t="shared" si="0"/>
        <v>توليد توسعه - دارخوين</v>
      </c>
      <c r="B26" s="4" t="str">
        <f>"9157077"</f>
        <v>9157077</v>
      </c>
      <c r="C26" s="4" t="str">
        <f>"جاسم جامدي باوي"</f>
        <v>جاسم جامدي باوي</v>
      </c>
      <c r="D26" s="4">
        <v>30</v>
      </c>
      <c r="E26" s="6">
        <v>3000000</v>
      </c>
      <c r="F26" s="4"/>
      <c r="G26" s="4"/>
      <c r="H26" s="4"/>
      <c r="I26" s="4"/>
      <c r="J26" s="4"/>
      <c r="K26" s="4"/>
      <c r="L26" s="4"/>
      <c r="M26" s="4"/>
      <c r="N26" s="4"/>
    </row>
    <row r="27" spans="1:14" ht="24.75">
      <c r="A27" s="4" t="str">
        <f t="shared" si="0"/>
        <v>توليد توسعه - دارخوين</v>
      </c>
      <c r="B27" s="4" t="str">
        <f>"9157079"</f>
        <v>9157079</v>
      </c>
      <c r="C27" s="4" t="str">
        <f>"مزعل جليزي"</f>
        <v>مزعل جليزي</v>
      </c>
      <c r="D27" s="4">
        <v>30</v>
      </c>
      <c r="E27" s="6">
        <v>3000000</v>
      </c>
      <c r="F27" s="4"/>
      <c r="G27" s="4"/>
      <c r="H27" s="4"/>
      <c r="I27" s="4"/>
      <c r="J27" s="4"/>
      <c r="K27" s="4"/>
      <c r="L27" s="4"/>
      <c r="M27" s="4"/>
      <c r="N27" s="4"/>
    </row>
    <row r="28" spans="1:14" ht="24.75">
      <c r="A28" s="4" t="str">
        <f t="shared" si="0"/>
        <v>توليد توسعه - دارخوين</v>
      </c>
      <c r="B28" s="4" t="str">
        <f>"9157081"</f>
        <v>9157081</v>
      </c>
      <c r="C28" s="4" t="str">
        <f>"فهد چاملي"</f>
        <v>فهد چاملي</v>
      </c>
      <c r="D28" s="4">
        <v>30</v>
      </c>
      <c r="E28" s="6">
        <v>3000000</v>
      </c>
      <c r="F28" s="4"/>
      <c r="G28" s="4"/>
      <c r="H28" s="4"/>
      <c r="I28" s="4"/>
      <c r="J28" s="4"/>
      <c r="K28" s="4"/>
      <c r="L28" s="4"/>
      <c r="M28" s="4"/>
      <c r="N28" s="4"/>
    </row>
    <row r="29" spans="1:14" ht="24.75">
      <c r="A29" s="4" t="str">
        <f t="shared" si="0"/>
        <v>توليد توسعه - دارخوين</v>
      </c>
      <c r="B29" s="4" t="str">
        <f>"9157084"</f>
        <v>9157084</v>
      </c>
      <c r="C29" s="4" t="str">
        <f>"ايوب حويزاوي"</f>
        <v>ايوب حويزاوي</v>
      </c>
      <c r="D29" s="4">
        <v>30</v>
      </c>
      <c r="E29" s="6">
        <v>3000000</v>
      </c>
      <c r="F29" s="4"/>
      <c r="G29" s="4"/>
      <c r="H29" s="4"/>
      <c r="I29" s="4"/>
      <c r="J29" s="4"/>
      <c r="K29" s="4"/>
      <c r="L29" s="4"/>
      <c r="M29" s="4"/>
      <c r="N29" s="4"/>
    </row>
    <row r="30" spans="1:14" ht="24.75">
      <c r="A30" s="4" t="str">
        <f t="shared" si="0"/>
        <v>توليد توسعه - دارخوين</v>
      </c>
      <c r="B30" s="4" t="str">
        <f>"9157089"</f>
        <v>9157089</v>
      </c>
      <c r="C30" s="4" t="str">
        <f>"منصور خنفري راد"</f>
        <v>منصور خنفري راد</v>
      </c>
      <c r="D30" s="4">
        <v>30</v>
      </c>
      <c r="E30" s="6">
        <v>3000000</v>
      </c>
      <c r="F30" s="4"/>
      <c r="G30" s="4"/>
      <c r="H30" s="4"/>
      <c r="I30" s="4"/>
      <c r="J30" s="4"/>
      <c r="K30" s="4"/>
      <c r="L30" s="4"/>
      <c r="M30" s="4"/>
      <c r="N30" s="4"/>
    </row>
    <row r="31" spans="1:14" ht="24.75">
      <c r="A31" s="4" t="str">
        <f t="shared" si="0"/>
        <v>توليد توسعه - دارخوين</v>
      </c>
      <c r="B31" s="4" t="str">
        <f>"9157090"</f>
        <v>9157090</v>
      </c>
      <c r="C31" s="4" t="str">
        <f>"جميل زرگاني"</f>
        <v>جميل زرگاني</v>
      </c>
      <c r="D31" s="4">
        <v>30</v>
      </c>
      <c r="E31" s="6">
        <v>3000000</v>
      </c>
      <c r="F31" s="4"/>
      <c r="G31" s="4"/>
      <c r="H31" s="4"/>
      <c r="I31" s="4"/>
      <c r="J31" s="4"/>
      <c r="K31" s="4"/>
      <c r="L31" s="4"/>
      <c r="M31" s="4"/>
      <c r="N31" s="4"/>
    </row>
    <row r="32" spans="1:14" ht="24.75">
      <c r="A32" s="4" t="str">
        <f t="shared" si="0"/>
        <v>توليد توسعه - دارخوين</v>
      </c>
      <c r="B32" s="4" t="str">
        <f>"9157091"</f>
        <v>9157091</v>
      </c>
      <c r="C32" s="4" t="str">
        <f>"علي ساري"</f>
        <v>علي ساري</v>
      </c>
      <c r="D32" s="4">
        <v>30</v>
      </c>
      <c r="E32" s="6">
        <v>3000000</v>
      </c>
      <c r="F32" s="4"/>
      <c r="G32" s="4"/>
      <c r="H32" s="4"/>
      <c r="I32" s="4"/>
      <c r="J32" s="4"/>
      <c r="K32" s="4"/>
      <c r="L32" s="4"/>
      <c r="M32" s="4"/>
      <c r="N32" s="4"/>
    </row>
    <row r="33" spans="4:5" ht="24">
      <c r="D33" s="63" t="s">
        <v>102</v>
      </c>
      <c r="E33" s="63">
        <f>SUM(E2:E32)</f>
        <v>93000000</v>
      </c>
    </row>
  </sheetData>
  <conditionalFormatting sqref="B1:B32 I1:I3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rightToLeft="1" topLeftCell="J1" zoomScale="70" zoomScaleNormal="70" workbookViewId="0">
      <selection activeCell="P2" sqref="P2:P32"/>
    </sheetView>
  </sheetViews>
  <sheetFormatPr defaultRowHeight="14.25"/>
  <cols>
    <col min="1" max="1" width="12.42578125" style="1" bestFit="1" customWidth="1"/>
    <col min="2" max="2" width="12.5703125" style="1" bestFit="1" customWidth="1"/>
    <col min="3" max="3" width="26.28515625" style="1" bestFit="1" customWidth="1"/>
    <col min="4" max="4" width="21" style="1" bestFit="1" customWidth="1"/>
    <col min="5" max="5" width="25.42578125" style="1" bestFit="1" customWidth="1"/>
    <col min="6" max="6" width="23.7109375" style="1" bestFit="1" customWidth="1"/>
    <col min="7" max="7" width="26.42578125" style="1" bestFit="1" customWidth="1"/>
    <col min="8" max="8" width="24.42578125" style="1" bestFit="1" customWidth="1"/>
    <col min="9" max="9" width="23.140625" style="1" bestFit="1" customWidth="1"/>
    <col min="10" max="10" width="24.42578125" style="1" bestFit="1" customWidth="1"/>
    <col min="11" max="11" width="25.5703125" style="1" bestFit="1" customWidth="1"/>
    <col min="12" max="12" width="26.140625" style="1" bestFit="1" customWidth="1"/>
    <col min="13" max="13" width="19.7109375" style="1" bestFit="1" customWidth="1"/>
    <col min="14" max="14" width="37.42578125" style="1" bestFit="1" customWidth="1"/>
    <col min="15" max="15" width="28.140625" style="1" bestFit="1" customWidth="1"/>
    <col min="16" max="16" width="27" style="1" bestFit="1" customWidth="1"/>
    <col min="17" max="17" width="27.5703125" style="1" bestFit="1" customWidth="1"/>
    <col min="18" max="18" width="30.7109375" style="1" bestFit="1" customWidth="1"/>
    <col min="19" max="19" width="25.85546875" style="1" bestFit="1" customWidth="1"/>
    <col min="20" max="20" width="29.28515625" style="1" bestFit="1" customWidth="1"/>
    <col min="21" max="21" width="30.140625" style="1" bestFit="1" customWidth="1"/>
    <col min="22" max="22" width="25.140625" style="1" bestFit="1" customWidth="1"/>
    <col min="23" max="16384" width="9.140625" style="1"/>
  </cols>
  <sheetData>
    <row r="1" spans="1:22">
      <c r="A1" s="2" t="s">
        <v>0</v>
      </c>
      <c r="B1" s="2" t="s">
        <v>1</v>
      </c>
      <c r="C1" s="2" t="s">
        <v>2</v>
      </c>
      <c r="D1" s="2" t="s">
        <v>3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  <c r="L1" s="2" t="s">
        <v>60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41</v>
      </c>
      <c r="R1" s="2" t="s">
        <v>65</v>
      </c>
      <c r="S1" s="2"/>
      <c r="T1" s="2"/>
      <c r="U1" s="2"/>
      <c r="V1" s="2"/>
    </row>
    <row r="2" spans="1:22">
      <c r="A2" s="1" t="str">
        <f>"1898353425"</f>
        <v>1898353425</v>
      </c>
      <c r="B2" s="1" t="str">
        <f>"9157041"</f>
        <v>9157041</v>
      </c>
      <c r="C2" s="1" t="str">
        <f>"عيد آسماني"</f>
        <v>عيد آسماني</v>
      </c>
      <c r="D2" s="1" t="str">
        <f t="shared" ref="D2:D32" si="0">"توليد توسعه - دارخوين"</f>
        <v>توليد توسعه - دارخوين</v>
      </c>
      <c r="E2" s="1">
        <v>1100000</v>
      </c>
      <c r="F2" s="1">
        <v>0</v>
      </c>
      <c r="G2" s="1">
        <v>200000</v>
      </c>
      <c r="H2" s="1">
        <v>8389590</v>
      </c>
      <c r="I2" s="1">
        <v>0</v>
      </c>
      <c r="J2" s="1">
        <v>0</v>
      </c>
      <c r="K2" s="1">
        <v>0</v>
      </c>
      <c r="L2" s="1">
        <v>587952</v>
      </c>
      <c r="M2" s="1">
        <v>0</v>
      </c>
      <c r="N2" s="1">
        <v>0</v>
      </c>
      <c r="O2" s="1">
        <v>161995</v>
      </c>
      <c r="P2" s="56">
        <f>SUM(E2:O2)</f>
        <v>10439537</v>
      </c>
      <c r="Q2" s="56">
        <f>P2/12</f>
        <v>869961.41666666663</v>
      </c>
      <c r="R2" s="56">
        <f>IF(P2*2&gt;=21372750,21372750,P2*2)/12</f>
        <v>1739922.8333333333</v>
      </c>
    </row>
    <row r="3" spans="1:22">
      <c r="A3" s="1" t="str">
        <f>"1815836504"</f>
        <v>1815836504</v>
      </c>
      <c r="B3" s="1" t="str">
        <f>"9157042"</f>
        <v>9157042</v>
      </c>
      <c r="C3" s="1" t="str">
        <f>"کاظم آل بالدي"</f>
        <v>کاظم آل بالدي</v>
      </c>
      <c r="D3" s="1" t="str">
        <f t="shared" si="0"/>
        <v>توليد توسعه - دارخوين</v>
      </c>
      <c r="E3" s="1">
        <v>1100000</v>
      </c>
      <c r="F3" s="1">
        <v>2849700</v>
      </c>
      <c r="G3" s="1">
        <v>200000</v>
      </c>
      <c r="H3" s="1">
        <v>9654930</v>
      </c>
      <c r="I3" s="1">
        <v>0</v>
      </c>
      <c r="J3" s="1">
        <v>0</v>
      </c>
      <c r="K3" s="1">
        <v>0</v>
      </c>
      <c r="L3" s="1">
        <v>611952</v>
      </c>
      <c r="M3" s="1">
        <v>0</v>
      </c>
      <c r="N3" s="1">
        <v>0</v>
      </c>
      <c r="O3" s="1">
        <v>0</v>
      </c>
      <c r="P3" s="56">
        <f t="shared" ref="P3:P33" si="1">SUM(E3:O3)</f>
        <v>14416582</v>
      </c>
      <c r="Q3" s="56">
        <f t="shared" ref="Q3:Q33" si="2">P3/12</f>
        <v>1201381.8333333333</v>
      </c>
      <c r="R3" s="56">
        <f t="shared" ref="R3:R33" si="3">IF(P3*2&gt;=21372750,21372750,P3*2)/12</f>
        <v>1781062.5</v>
      </c>
    </row>
    <row r="4" spans="1:22">
      <c r="A4" s="1" t="str">
        <f>"1899273670"</f>
        <v>1899273670</v>
      </c>
      <c r="B4" s="1" t="str">
        <f>"9157043"</f>
        <v>9157043</v>
      </c>
      <c r="C4" s="1" t="str">
        <f>"عبداله البوبالد"</f>
        <v>عبداله البوبالد</v>
      </c>
      <c r="D4" s="1" t="str">
        <f t="shared" si="0"/>
        <v>توليد توسعه - دارخوين</v>
      </c>
      <c r="E4" s="1">
        <v>1100000</v>
      </c>
      <c r="F4" s="1">
        <v>712425</v>
      </c>
      <c r="G4" s="1">
        <v>200000</v>
      </c>
      <c r="H4" s="1">
        <v>10725600</v>
      </c>
      <c r="I4" s="1">
        <v>0</v>
      </c>
      <c r="J4" s="1">
        <v>0</v>
      </c>
      <c r="K4" s="1">
        <v>0</v>
      </c>
      <c r="L4" s="1">
        <v>617952</v>
      </c>
      <c r="M4" s="1">
        <v>0</v>
      </c>
      <c r="N4" s="1">
        <v>0</v>
      </c>
      <c r="O4" s="1">
        <v>0</v>
      </c>
      <c r="P4" s="56">
        <f t="shared" si="1"/>
        <v>13355977</v>
      </c>
      <c r="Q4" s="56">
        <f t="shared" si="2"/>
        <v>1112998.0833333333</v>
      </c>
      <c r="R4" s="56">
        <f t="shared" si="3"/>
        <v>1781062.5</v>
      </c>
    </row>
    <row r="5" spans="1:22">
      <c r="A5" s="1" t="str">
        <f>"1899355464"</f>
        <v>1899355464</v>
      </c>
      <c r="B5" s="1" t="str">
        <f>"9157044"</f>
        <v>9157044</v>
      </c>
      <c r="C5" s="1" t="str">
        <f>"سعيد ال بوبالدي"</f>
        <v>سعيد ال بوبالدي</v>
      </c>
      <c r="D5" s="1" t="str">
        <f t="shared" si="0"/>
        <v>توليد توسعه - دارخوين</v>
      </c>
      <c r="E5" s="1">
        <v>1100000</v>
      </c>
      <c r="F5" s="1">
        <v>2849700</v>
      </c>
      <c r="G5" s="1">
        <v>200000</v>
      </c>
      <c r="H5" s="1">
        <v>9168270</v>
      </c>
      <c r="I5" s="1">
        <v>0</v>
      </c>
      <c r="J5" s="1">
        <v>0</v>
      </c>
      <c r="K5" s="1">
        <v>0</v>
      </c>
      <c r="L5" s="1">
        <v>599952</v>
      </c>
      <c r="M5" s="1">
        <v>0</v>
      </c>
      <c r="N5" s="1">
        <v>0</v>
      </c>
      <c r="O5" s="1">
        <v>0</v>
      </c>
      <c r="P5" s="56">
        <f t="shared" si="1"/>
        <v>13917922</v>
      </c>
      <c r="Q5" s="56">
        <f t="shared" si="2"/>
        <v>1159826.8333333333</v>
      </c>
      <c r="R5" s="56">
        <f t="shared" si="3"/>
        <v>1781062.5</v>
      </c>
    </row>
    <row r="6" spans="1:22">
      <c r="A6" s="1" t="str">
        <f>"1899355863"</f>
        <v>1899355863</v>
      </c>
      <c r="B6" s="1" t="str">
        <f>"9157045"</f>
        <v>9157045</v>
      </c>
      <c r="C6" s="1" t="str">
        <f>"شريف آلبوبالدي"</f>
        <v>شريف آلبوبالدي</v>
      </c>
      <c r="D6" s="1" t="str">
        <f t="shared" si="0"/>
        <v>توليد توسعه - دارخوين</v>
      </c>
      <c r="E6" s="1">
        <v>1100000</v>
      </c>
      <c r="F6" s="1">
        <v>712425</v>
      </c>
      <c r="G6" s="1">
        <v>200000</v>
      </c>
      <c r="H6" s="1">
        <v>9168270</v>
      </c>
      <c r="I6" s="1">
        <v>0</v>
      </c>
      <c r="J6" s="1">
        <v>0</v>
      </c>
      <c r="K6" s="1">
        <v>0</v>
      </c>
      <c r="L6" s="1">
        <v>599952</v>
      </c>
      <c r="M6" s="1">
        <v>0</v>
      </c>
      <c r="N6" s="1">
        <v>0</v>
      </c>
      <c r="O6" s="1">
        <v>0</v>
      </c>
      <c r="P6" s="56">
        <f t="shared" si="1"/>
        <v>11780647</v>
      </c>
      <c r="Q6" s="56">
        <f t="shared" si="2"/>
        <v>981720.58333333337</v>
      </c>
      <c r="R6" s="56">
        <f t="shared" si="3"/>
        <v>1781062.5</v>
      </c>
    </row>
    <row r="7" spans="1:22">
      <c r="A7" s="1" t="str">
        <f>"1898305072"</f>
        <v>1898305072</v>
      </c>
      <c r="B7" s="1" t="str">
        <f>"9157046"</f>
        <v>9157046</v>
      </c>
      <c r="C7" s="1" t="str">
        <f>"يعقوب آلبوبالدي"</f>
        <v>يعقوب آلبوبالدي</v>
      </c>
      <c r="D7" s="1" t="str">
        <f t="shared" si="0"/>
        <v>توليد توسعه - دارخوين</v>
      </c>
      <c r="E7" s="1">
        <v>1100000</v>
      </c>
      <c r="F7" s="1">
        <v>2137275</v>
      </c>
      <c r="G7" s="1">
        <v>200000</v>
      </c>
      <c r="H7" s="1">
        <v>11893590</v>
      </c>
      <c r="I7" s="1">
        <v>0</v>
      </c>
      <c r="J7" s="1">
        <v>0</v>
      </c>
      <c r="K7" s="1">
        <v>0</v>
      </c>
      <c r="L7" s="1">
        <v>635952</v>
      </c>
      <c r="M7" s="1">
        <v>0</v>
      </c>
      <c r="N7" s="1">
        <v>0</v>
      </c>
      <c r="O7" s="1">
        <v>0</v>
      </c>
      <c r="P7" s="56">
        <f t="shared" si="1"/>
        <v>15966817</v>
      </c>
      <c r="Q7" s="56">
        <f t="shared" si="2"/>
        <v>1330568.0833333333</v>
      </c>
      <c r="R7" s="56">
        <f t="shared" si="3"/>
        <v>1781062.5</v>
      </c>
    </row>
    <row r="8" spans="1:22">
      <c r="A8" s="1" t="str">
        <f>"1899638814"</f>
        <v>1899638814</v>
      </c>
      <c r="B8" s="1" t="str">
        <f>"9157047"</f>
        <v>9157047</v>
      </c>
      <c r="C8" s="1" t="str">
        <f>"محمد البوغبيش"</f>
        <v>محمد البوغبيش</v>
      </c>
      <c r="D8" s="1" t="str">
        <f t="shared" si="0"/>
        <v>توليد توسعه - دارخوين</v>
      </c>
      <c r="E8" s="1">
        <v>1100000</v>
      </c>
      <c r="F8" s="1">
        <v>0</v>
      </c>
      <c r="G8" s="1">
        <v>200000</v>
      </c>
      <c r="H8" s="1">
        <v>11893590</v>
      </c>
      <c r="I8" s="1">
        <v>0</v>
      </c>
      <c r="J8" s="1">
        <v>0</v>
      </c>
      <c r="K8" s="1">
        <v>0</v>
      </c>
      <c r="L8" s="1">
        <v>635952</v>
      </c>
      <c r="M8" s="1">
        <v>0</v>
      </c>
      <c r="N8" s="1">
        <v>0</v>
      </c>
      <c r="O8" s="1">
        <v>0</v>
      </c>
      <c r="P8" s="56">
        <f t="shared" si="1"/>
        <v>13829542</v>
      </c>
      <c r="Q8" s="56">
        <f t="shared" si="2"/>
        <v>1152461.8333333333</v>
      </c>
      <c r="R8" s="56">
        <f t="shared" si="3"/>
        <v>1781062.5</v>
      </c>
    </row>
    <row r="9" spans="1:22">
      <c r="A9" s="1" t="str">
        <f>"1899506276"</f>
        <v>1899506276</v>
      </c>
      <c r="B9" s="1" t="str">
        <f>"9157049"</f>
        <v>9157049</v>
      </c>
      <c r="C9" s="1" t="str">
        <f>"عبدالامام بالدي"</f>
        <v>عبدالامام بالدي</v>
      </c>
      <c r="D9" s="1" t="str">
        <f t="shared" si="0"/>
        <v>توليد توسعه - دارخوين</v>
      </c>
      <c r="E9" s="1">
        <v>1100000</v>
      </c>
      <c r="F9" s="1">
        <v>0</v>
      </c>
      <c r="G9" s="1">
        <v>200000</v>
      </c>
      <c r="H9" s="1">
        <v>10725600</v>
      </c>
      <c r="I9" s="1">
        <v>0</v>
      </c>
      <c r="J9" s="1">
        <v>1051200</v>
      </c>
      <c r="K9" s="1">
        <v>0</v>
      </c>
      <c r="L9" s="1">
        <v>617952</v>
      </c>
      <c r="M9" s="1">
        <v>0</v>
      </c>
      <c r="N9" s="1">
        <v>0</v>
      </c>
      <c r="O9" s="1">
        <v>0</v>
      </c>
      <c r="P9" s="56">
        <f t="shared" si="1"/>
        <v>13694752</v>
      </c>
      <c r="Q9" s="56">
        <f t="shared" si="2"/>
        <v>1141229.3333333333</v>
      </c>
      <c r="R9" s="56">
        <f t="shared" si="3"/>
        <v>1781062.5</v>
      </c>
    </row>
    <row r="10" spans="1:22">
      <c r="A10" s="1" t="str">
        <f>"1899732608"</f>
        <v>1899732608</v>
      </c>
      <c r="B10" s="1" t="str">
        <f>"9157050"</f>
        <v>9157050</v>
      </c>
      <c r="C10" s="1" t="str">
        <f>"حسين باوي"</f>
        <v>حسين باوي</v>
      </c>
      <c r="D10" s="1" t="str">
        <f t="shared" si="0"/>
        <v>توليد توسعه - دارخوين</v>
      </c>
      <c r="E10" s="1">
        <v>1100000</v>
      </c>
      <c r="F10" s="1">
        <v>2849700</v>
      </c>
      <c r="G10" s="1">
        <v>200000</v>
      </c>
      <c r="H10" s="1">
        <v>10141620</v>
      </c>
      <c r="I10" s="1">
        <v>0</v>
      </c>
      <c r="J10" s="1">
        <v>0</v>
      </c>
      <c r="K10" s="1">
        <v>0</v>
      </c>
      <c r="L10" s="1">
        <v>611952</v>
      </c>
      <c r="M10" s="1">
        <v>0</v>
      </c>
      <c r="N10" s="1">
        <v>0</v>
      </c>
      <c r="O10" s="1">
        <v>0</v>
      </c>
      <c r="P10" s="56">
        <f t="shared" si="1"/>
        <v>14903272</v>
      </c>
      <c r="Q10" s="56">
        <f t="shared" si="2"/>
        <v>1241939.3333333333</v>
      </c>
      <c r="R10" s="56">
        <f t="shared" si="3"/>
        <v>1781062.5</v>
      </c>
    </row>
    <row r="11" spans="1:22">
      <c r="A11" s="1" t="str">
        <f>"1819866211"</f>
        <v>1819866211</v>
      </c>
      <c r="B11" s="1" t="str">
        <f>"9157053"</f>
        <v>9157053</v>
      </c>
      <c r="C11" s="1" t="str">
        <f>"عظيم باوي سويره"</f>
        <v>عظيم باوي سويره</v>
      </c>
      <c r="D11" s="1" t="str">
        <f t="shared" si="0"/>
        <v>توليد توسعه - دارخوين</v>
      </c>
      <c r="E11" s="1">
        <v>1100000</v>
      </c>
      <c r="F11" s="1">
        <v>712425</v>
      </c>
      <c r="G11" s="1">
        <v>200000</v>
      </c>
      <c r="H11" s="1">
        <v>8000250</v>
      </c>
      <c r="I11" s="1">
        <v>291990</v>
      </c>
      <c r="J11" s="1">
        <v>0</v>
      </c>
      <c r="K11" s="1">
        <v>0</v>
      </c>
      <c r="L11" s="1">
        <v>581952</v>
      </c>
      <c r="M11" s="1">
        <v>0</v>
      </c>
      <c r="N11" s="1">
        <v>0</v>
      </c>
      <c r="O11" s="1">
        <v>420358</v>
      </c>
      <c r="P11" s="56">
        <f t="shared" si="1"/>
        <v>11306975</v>
      </c>
      <c r="Q11" s="56">
        <f t="shared" si="2"/>
        <v>942247.91666666663</v>
      </c>
      <c r="R11" s="56">
        <f t="shared" si="3"/>
        <v>1781062.5</v>
      </c>
    </row>
    <row r="12" spans="1:22">
      <c r="A12" s="1" t="str">
        <f>"1899538844"</f>
        <v>1899538844</v>
      </c>
      <c r="B12" s="1" t="str">
        <f>"9157054"</f>
        <v>9157054</v>
      </c>
      <c r="C12" s="1" t="str">
        <f>"عارف باوي فرد"</f>
        <v>عارف باوي فرد</v>
      </c>
      <c r="D12" s="1" t="str">
        <f t="shared" si="0"/>
        <v>توليد توسعه - دارخوين</v>
      </c>
      <c r="E12" s="1">
        <v>1100000</v>
      </c>
      <c r="F12" s="1">
        <v>0</v>
      </c>
      <c r="G12" s="1">
        <v>200000</v>
      </c>
      <c r="H12" s="1">
        <v>8778930</v>
      </c>
      <c r="I12" s="1">
        <v>389340</v>
      </c>
      <c r="J12" s="1">
        <v>0</v>
      </c>
      <c r="K12" s="1">
        <v>0</v>
      </c>
      <c r="L12" s="1">
        <v>593952</v>
      </c>
      <c r="M12" s="1">
        <v>0</v>
      </c>
      <c r="N12" s="1">
        <v>0</v>
      </c>
      <c r="O12" s="1">
        <v>0</v>
      </c>
      <c r="P12" s="56">
        <f t="shared" si="1"/>
        <v>11062222</v>
      </c>
      <c r="Q12" s="56">
        <f t="shared" si="2"/>
        <v>921851.83333333337</v>
      </c>
      <c r="R12" s="56">
        <f t="shared" si="3"/>
        <v>1781062.5</v>
      </c>
    </row>
    <row r="13" spans="1:22">
      <c r="A13" s="1" t="str">
        <f>"1899506071"</f>
        <v>1899506071</v>
      </c>
      <c r="B13" s="1" t="str">
        <f>"9157055"</f>
        <v>9157055</v>
      </c>
      <c r="C13" s="1" t="str">
        <f>"نجم باوي فرد"</f>
        <v>نجم باوي فرد</v>
      </c>
      <c r="D13" s="1" t="str">
        <f t="shared" si="0"/>
        <v>توليد توسعه - دارخوين</v>
      </c>
      <c r="E13" s="1">
        <v>1100000</v>
      </c>
      <c r="F13" s="1">
        <v>712425</v>
      </c>
      <c r="G13" s="1">
        <v>200000</v>
      </c>
      <c r="H13" s="1">
        <v>9168270</v>
      </c>
      <c r="I13" s="1">
        <v>0</v>
      </c>
      <c r="J13" s="1">
        <v>0</v>
      </c>
      <c r="K13" s="1">
        <v>0</v>
      </c>
      <c r="L13" s="1">
        <v>599952</v>
      </c>
      <c r="M13" s="1">
        <v>0</v>
      </c>
      <c r="N13" s="1">
        <v>0</v>
      </c>
      <c r="O13" s="1">
        <v>0</v>
      </c>
      <c r="P13" s="56">
        <f t="shared" si="1"/>
        <v>11780647</v>
      </c>
      <c r="Q13" s="56">
        <f t="shared" si="2"/>
        <v>981720.58333333337</v>
      </c>
      <c r="R13" s="56">
        <f t="shared" si="3"/>
        <v>1781062.5</v>
      </c>
    </row>
    <row r="14" spans="1:22">
      <c r="A14" s="1" t="str">
        <f>"1756907420"</f>
        <v>1756907420</v>
      </c>
      <c r="B14" s="1" t="str">
        <f>"9157056"</f>
        <v>9157056</v>
      </c>
      <c r="C14" s="1" t="str">
        <f>"سعيد بدوي"</f>
        <v>سعيد بدوي</v>
      </c>
      <c r="D14" s="1" t="str">
        <f t="shared" si="0"/>
        <v>توليد توسعه - دارخوين</v>
      </c>
      <c r="E14" s="1">
        <v>1100000</v>
      </c>
      <c r="F14" s="1">
        <v>1424850</v>
      </c>
      <c r="G14" s="1">
        <v>200000</v>
      </c>
      <c r="H14" s="1">
        <v>8778930</v>
      </c>
      <c r="I14" s="1">
        <v>0</v>
      </c>
      <c r="J14" s="1">
        <v>0</v>
      </c>
      <c r="K14" s="1">
        <v>0</v>
      </c>
      <c r="L14" s="1">
        <v>593952</v>
      </c>
      <c r="M14" s="1">
        <v>0</v>
      </c>
      <c r="N14" s="1">
        <v>0</v>
      </c>
      <c r="O14" s="1">
        <v>243008</v>
      </c>
      <c r="P14" s="56">
        <f t="shared" si="1"/>
        <v>12340740</v>
      </c>
      <c r="Q14" s="56">
        <f t="shared" si="2"/>
        <v>1028395</v>
      </c>
      <c r="R14" s="56">
        <f t="shared" si="3"/>
        <v>1781062.5</v>
      </c>
    </row>
    <row r="15" spans="1:22">
      <c r="A15" s="1" t="str">
        <f>"1899175687"</f>
        <v>1899175687</v>
      </c>
      <c r="B15" s="1" t="str">
        <f>"9157057"</f>
        <v>9157057</v>
      </c>
      <c r="C15" s="1" t="str">
        <f>"عباس بدوي"</f>
        <v>عباس بدوي</v>
      </c>
      <c r="D15" s="1" t="str">
        <f t="shared" si="0"/>
        <v>توليد توسعه - دارخوين</v>
      </c>
      <c r="E15" s="1">
        <v>1100000</v>
      </c>
      <c r="F15" s="1">
        <v>2849700</v>
      </c>
      <c r="G15" s="1">
        <v>200000</v>
      </c>
      <c r="H15" s="1">
        <v>10141620</v>
      </c>
      <c r="I15" s="1">
        <v>0</v>
      </c>
      <c r="J15" s="1">
        <v>0</v>
      </c>
      <c r="K15" s="1">
        <v>0</v>
      </c>
      <c r="L15" s="1">
        <v>611952</v>
      </c>
      <c r="M15" s="1">
        <v>0</v>
      </c>
      <c r="N15" s="1">
        <v>0</v>
      </c>
      <c r="O15" s="1">
        <v>0</v>
      </c>
      <c r="P15" s="56">
        <f t="shared" si="1"/>
        <v>14903272</v>
      </c>
      <c r="Q15" s="56">
        <f t="shared" si="2"/>
        <v>1241939.3333333333</v>
      </c>
      <c r="R15" s="56">
        <f t="shared" si="3"/>
        <v>1781062.5</v>
      </c>
    </row>
    <row r="16" spans="1:22">
      <c r="A16" s="1" t="str">
        <f>"1899731547"</f>
        <v>1899731547</v>
      </c>
      <c r="B16" s="1" t="str">
        <f>"9157058"</f>
        <v>9157058</v>
      </c>
      <c r="C16" s="1" t="str">
        <f>"طاهر پورحزبه"</f>
        <v>طاهر پورحزبه</v>
      </c>
      <c r="D16" s="1" t="str">
        <f t="shared" si="0"/>
        <v>توليد توسعه - دارخوين</v>
      </c>
      <c r="E16" s="1">
        <v>1100000</v>
      </c>
      <c r="F16" s="1">
        <v>0</v>
      </c>
      <c r="G16" s="1">
        <v>200000</v>
      </c>
      <c r="H16" s="1">
        <v>10141620</v>
      </c>
      <c r="I16" s="1">
        <v>0</v>
      </c>
      <c r="J16" s="1">
        <v>0</v>
      </c>
      <c r="K16" s="1">
        <v>0</v>
      </c>
      <c r="L16" s="1">
        <v>611952</v>
      </c>
      <c r="M16" s="1">
        <v>0</v>
      </c>
      <c r="N16" s="1">
        <v>0</v>
      </c>
      <c r="O16" s="1">
        <v>0</v>
      </c>
      <c r="P16" s="56">
        <f t="shared" si="1"/>
        <v>12053572</v>
      </c>
      <c r="Q16" s="56">
        <f t="shared" si="2"/>
        <v>1004464.3333333334</v>
      </c>
      <c r="R16" s="56">
        <f t="shared" si="3"/>
        <v>1781062.5</v>
      </c>
    </row>
    <row r="17" spans="1:18">
      <c r="A17" s="1" t="str">
        <f>"1899518411"</f>
        <v>1899518411</v>
      </c>
      <c r="B17" s="1" t="str">
        <f>"9157059"</f>
        <v>9157059</v>
      </c>
      <c r="C17" s="1" t="str">
        <f>"رحمه سياحي"</f>
        <v>رحمه سياحي</v>
      </c>
      <c r="D17" s="1" t="str">
        <f t="shared" si="0"/>
        <v>توليد توسعه - دارخوين</v>
      </c>
      <c r="E17" s="1">
        <v>1100000</v>
      </c>
      <c r="F17" s="1">
        <v>1424850</v>
      </c>
      <c r="G17" s="1">
        <v>200000</v>
      </c>
      <c r="H17" s="1">
        <v>8000250</v>
      </c>
      <c r="I17" s="1">
        <v>291990</v>
      </c>
      <c r="J17" s="1">
        <v>0</v>
      </c>
      <c r="K17" s="1">
        <v>0</v>
      </c>
      <c r="L17" s="1">
        <v>581952</v>
      </c>
      <c r="M17" s="1">
        <v>0</v>
      </c>
      <c r="N17" s="1">
        <v>0</v>
      </c>
      <c r="O17" s="1">
        <v>194529</v>
      </c>
      <c r="P17" s="56">
        <f t="shared" si="1"/>
        <v>11793571</v>
      </c>
      <c r="Q17" s="56">
        <f t="shared" si="2"/>
        <v>982797.58333333337</v>
      </c>
      <c r="R17" s="56">
        <f t="shared" si="3"/>
        <v>1781062.5</v>
      </c>
    </row>
    <row r="18" spans="1:18">
      <c r="A18" s="1" t="str">
        <f>"1898493121"</f>
        <v>1898493121</v>
      </c>
      <c r="B18" s="1" t="str">
        <f>"9157060"</f>
        <v>9157060</v>
      </c>
      <c r="C18" s="1" t="str">
        <f>"مرد سياحي"</f>
        <v>مرد سياحي</v>
      </c>
      <c r="D18" s="1" t="str">
        <f t="shared" si="0"/>
        <v>توليد توسعه - دارخوين</v>
      </c>
      <c r="E18" s="1">
        <v>1100000</v>
      </c>
      <c r="F18" s="1">
        <v>1424850</v>
      </c>
      <c r="G18" s="1">
        <v>200000</v>
      </c>
      <c r="H18" s="1">
        <v>8000250</v>
      </c>
      <c r="I18" s="1">
        <v>0</v>
      </c>
      <c r="J18" s="1">
        <v>0</v>
      </c>
      <c r="K18" s="1">
        <v>0</v>
      </c>
      <c r="L18" s="1">
        <v>581952</v>
      </c>
      <c r="M18" s="1">
        <v>0</v>
      </c>
      <c r="N18" s="1">
        <v>0</v>
      </c>
      <c r="O18" s="1">
        <v>724813</v>
      </c>
      <c r="P18" s="56">
        <f t="shared" si="1"/>
        <v>12031865</v>
      </c>
      <c r="Q18" s="56">
        <f t="shared" si="2"/>
        <v>1002655.4166666666</v>
      </c>
      <c r="R18" s="56">
        <f t="shared" si="3"/>
        <v>1781062.5</v>
      </c>
    </row>
    <row r="19" spans="1:18">
      <c r="A19" s="1" t="str">
        <f>"1899331425"</f>
        <v>1899331425</v>
      </c>
      <c r="B19" s="1" t="str">
        <f>"9157065"</f>
        <v>9157065</v>
      </c>
      <c r="C19" s="1" t="str">
        <f>"رحيم عقباوي"</f>
        <v>رحيم عقباوي</v>
      </c>
      <c r="D19" s="1" t="str">
        <f t="shared" si="0"/>
        <v>توليد توسعه - دارخوين</v>
      </c>
      <c r="E19" s="1">
        <v>1100000</v>
      </c>
      <c r="F19" s="1">
        <v>2137275</v>
      </c>
      <c r="G19" s="1">
        <v>200000</v>
      </c>
      <c r="H19" s="1">
        <v>9168270</v>
      </c>
      <c r="I19" s="1">
        <v>0</v>
      </c>
      <c r="J19" s="1">
        <v>0</v>
      </c>
      <c r="K19" s="1">
        <v>0</v>
      </c>
      <c r="L19" s="1">
        <v>599952</v>
      </c>
      <c r="M19" s="1">
        <v>0</v>
      </c>
      <c r="N19" s="1">
        <v>0</v>
      </c>
      <c r="O19" s="1">
        <v>0</v>
      </c>
      <c r="P19" s="56">
        <f t="shared" si="1"/>
        <v>13205497</v>
      </c>
      <c r="Q19" s="56">
        <f t="shared" si="2"/>
        <v>1100458.0833333333</v>
      </c>
      <c r="R19" s="56">
        <f t="shared" si="3"/>
        <v>1781062.5</v>
      </c>
    </row>
    <row r="20" spans="1:18">
      <c r="A20" s="1" t="str">
        <f>"1753520290"</f>
        <v>1753520290</v>
      </c>
      <c r="B20" s="1" t="str">
        <f>"9157066"</f>
        <v>9157066</v>
      </c>
      <c r="C20" s="1" t="str">
        <f>"جمشيد فرحانيان"</f>
        <v>جمشيد فرحانيان</v>
      </c>
      <c r="D20" s="1" t="str">
        <f t="shared" si="0"/>
        <v>توليد توسعه - دارخوين</v>
      </c>
      <c r="E20" s="1">
        <v>1100000</v>
      </c>
      <c r="F20" s="1">
        <v>2849700</v>
      </c>
      <c r="G20" s="1">
        <v>200000</v>
      </c>
      <c r="H20" s="1">
        <v>9654930</v>
      </c>
      <c r="I20" s="1">
        <v>0</v>
      </c>
      <c r="J20" s="1">
        <v>0</v>
      </c>
      <c r="K20" s="1">
        <v>0</v>
      </c>
      <c r="L20" s="1">
        <v>605952</v>
      </c>
      <c r="M20" s="1">
        <v>0</v>
      </c>
      <c r="N20" s="1">
        <v>0</v>
      </c>
      <c r="O20" s="1">
        <v>0</v>
      </c>
      <c r="P20" s="56">
        <f t="shared" si="1"/>
        <v>14410582</v>
      </c>
      <c r="Q20" s="56">
        <f t="shared" si="2"/>
        <v>1200881.8333333333</v>
      </c>
      <c r="R20" s="56">
        <f t="shared" si="3"/>
        <v>1781062.5</v>
      </c>
    </row>
    <row r="21" spans="1:18">
      <c r="A21" s="1" t="str">
        <f>"1899514686"</f>
        <v>1899514686</v>
      </c>
      <c r="B21" s="1" t="str">
        <f>"9157068"</f>
        <v>9157068</v>
      </c>
      <c r="C21" s="1" t="str">
        <f>"مجتبي قنواتي زاده"</f>
        <v>مجتبي قنواتي زاده</v>
      </c>
      <c r="D21" s="1" t="str">
        <f t="shared" si="0"/>
        <v>توليد توسعه - دارخوين</v>
      </c>
      <c r="E21" s="1">
        <v>1100000</v>
      </c>
      <c r="F21" s="1">
        <v>1424850</v>
      </c>
      <c r="G21" s="1">
        <v>200000</v>
      </c>
      <c r="H21" s="1">
        <v>9168270</v>
      </c>
      <c r="I21" s="1">
        <v>0</v>
      </c>
      <c r="J21" s="1">
        <v>0</v>
      </c>
      <c r="K21" s="1">
        <v>0</v>
      </c>
      <c r="L21" s="1">
        <v>599952</v>
      </c>
      <c r="M21" s="1">
        <v>0</v>
      </c>
      <c r="N21" s="1">
        <v>0</v>
      </c>
      <c r="O21" s="1">
        <v>0</v>
      </c>
      <c r="P21" s="56">
        <f t="shared" si="1"/>
        <v>12493072</v>
      </c>
      <c r="Q21" s="56">
        <f t="shared" si="2"/>
        <v>1041089.3333333334</v>
      </c>
      <c r="R21" s="56">
        <f t="shared" si="3"/>
        <v>1781062.5</v>
      </c>
    </row>
    <row r="22" spans="1:18">
      <c r="A22" s="1" t="str">
        <f>"2002862974"</f>
        <v>2002862974</v>
      </c>
      <c r="B22" s="1" t="str">
        <f>"9157069"</f>
        <v>9157069</v>
      </c>
      <c r="C22" s="1" t="str">
        <f>"رضا محمدحسيني"</f>
        <v>رضا محمدحسيني</v>
      </c>
      <c r="D22" s="1" t="str">
        <f t="shared" si="0"/>
        <v>توليد توسعه - دارخوين</v>
      </c>
      <c r="E22" s="1">
        <v>1100000</v>
      </c>
      <c r="F22" s="1">
        <v>712425</v>
      </c>
      <c r="G22" s="1">
        <v>200000</v>
      </c>
      <c r="H22" s="1">
        <v>11893590</v>
      </c>
      <c r="I22" s="1">
        <v>0</v>
      </c>
      <c r="J22" s="1">
        <v>0</v>
      </c>
      <c r="K22" s="1">
        <v>0</v>
      </c>
      <c r="L22" s="1">
        <v>635952</v>
      </c>
      <c r="M22" s="1">
        <v>0</v>
      </c>
      <c r="N22" s="1">
        <v>0</v>
      </c>
      <c r="O22" s="1">
        <v>0</v>
      </c>
      <c r="P22" s="56">
        <f t="shared" si="1"/>
        <v>14541967</v>
      </c>
      <c r="Q22" s="56">
        <f t="shared" si="2"/>
        <v>1211830.5833333333</v>
      </c>
      <c r="R22" s="56">
        <f t="shared" si="3"/>
        <v>1781062.5</v>
      </c>
    </row>
    <row r="23" spans="1:18">
      <c r="A23" s="1" t="str">
        <f>"1899228454"</f>
        <v>1899228454</v>
      </c>
      <c r="B23" s="1" t="str">
        <f>"9157070"</f>
        <v>9157070</v>
      </c>
      <c r="C23" s="1" t="str">
        <f>"فاضل مقدم"</f>
        <v>فاضل مقدم</v>
      </c>
      <c r="D23" s="1" t="str">
        <f t="shared" si="0"/>
        <v>توليد توسعه - دارخوين</v>
      </c>
      <c r="E23" s="1">
        <v>1100000</v>
      </c>
      <c r="F23" s="1">
        <v>2137275</v>
      </c>
      <c r="G23" s="1">
        <v>200000</v>
      </c>
      <c r="H23" s="1">
        <v>9654930</v>
      </c>
      <c r="I23" s="1">
        <v>0</v>
      </c>
      <c r="J23" s="1">
        <v>0</v>
      </c>
      <c r="K23" s="1">
        <v>0</v>
      </c>
      <c r="L23" s="1">
        <v>605952</v>
      </c>
      <c r="M23" s="1">
        <v>0</v>
      </c>
      <c r="N23" s="1">
        <v>0</v>
      </c>
      <c r="O23" s="1">
        <v>0</v>
      </c>
      <c r="P23" s="56">
        <f t="shared" si="1"/>
        <v>13698157</v>
      </c>
      <c r="Q23" s="56">
        <f t="shared" si="2"/>
        <v>1141513.0833333333</v>
      </c>
      <c r="R23" s="56">
        <f t="shared" si="3"/>
        <v>1781062.5</v>
      </c>
    </row>
    <row r="24" spans="1:18">
      <c r="A24" s="1" t="str">
        <f>"1890091383"</f>
        <v>1890091383</v>
      </c>
      <c r="B24" s="1" t="str">
        <f>"9157072"</f>
        <v>9157072</v>
      </c>
      <c r="C24" s="1" t="str">
        <f>"محمدامين نادري"</f>
        <v>محمدامين نادري</v>
      </c>
      <c r="D24" s="1" t="str">
        <f t="shared" si="0"/>
        <v>توليد توسعه - دارخوين</v>
      </c>
      <c r="E24" s="1">
        <v>1100000</v>
      </c>
      <c r="F24" s="1">
        <v>712425</v>
      </c>
      <c r="G24" s="1">
        <v>200000</v>
      </c>
      <c r="H24" s="1">
        <v>8778930</v>
      </c>
      <c r="I24" s="1">
        <v>0</v>
      </c>
      <c r="J24" s="1">
        <v>0</v>
      </c>
      <c r="K24" s="1">
        <v>0</v>
      </c>
      <c r="L24" s="1">
        <v>599952</v>
      </c>
      <c r="M24" s="1">
        <v>0</v>
      </c>
      <c r="N24" s="1">
        <v>0</v>
      </c>
      <c r="O24" s="1">
        <v>0</v>
      </c>
      <c r="P24" s="56">
        <f t="shared" si="1"/>
        <v>11391307</v>
      </c>
      <c r="Q24" s="56">
        <f t="shared" si="2"/>
        <v>949275.58333333337</v>
      </c>
      <c r="R24" s="56">
        <f t="shared" si="3"/>
        <v>1781062.5</v>
      </c>
    </row>
    <row r="25" spans="1:18">
      <c r="A25" s="1" t="str">
        <f>"1898392870"</f>
        <v>1898392870</v>
      </c>
      <c r="B25" s="1" t="str">
        <f>"9157075"</f>
        <v>9157075</v>
      </c>
      <c r="C25" s="1" t="str">
        <f>"علي پورحزبه"</f>
        <v>علي پورحزبه</v>
      </c>
      <c r="D25" s="1" t="str">
        <f t="shared" si="0"/>
        <v>توليد توسعه - دارخوين</v>
      </c>
      <c r="E25" s="1">
        <v>1100000</v>
      </c>
      <c r="F25" s="1">
        <v>712425</v>
      </c>
      <c r="G25" s="1">
        <v>200000</v>
      </c>
      <c r="H25" s="1">
        <v>9168270</v>
      </c>
      <c r="I25" s="1">
        <v>0</v>
      </c>
      <c r="J25" s="1">
        <v>0</v>
      </c>
      <c r="K25" s="1">
        <v>0</v>
      </c>
      <c r="L25" s="1">
        <v>593952</v>
      </c>
      <c r="M25" s="1">
        <v>0</v>
      </c>
      <c r="N25" s="1">
        <v>0</v>
      </c>
      <c r="O25" s="1">
        <v>46155</v>
      </c>
      <c r="P25" s="56">
        <f t="shared" si="1"/>
        <v>11820802</v>
      </c>
      <c r="Q25" s="56">
        <f t="shared" si="2"/>
        <v>985066.83333333337</v>
      </c>
      <c r="R25" s="56">
        <f t="shared" si="3"/>
        <v>1781062.5</v>
      </c>
    </row>
    <row r="26" spans="1:18">
      <c r="A26" s="1" t="str">
        <f>"1899501312"</f>
        <v>1899501312</v>
      </c>
      <c r="B26" s="1" t="str">
        <f>"9157077"</f>
        <v>9157077</v>
      </c>
      <c r="C26" s="1" t="str">
        <f>"جاسم جامدي باوي"</f>
        <v>جاسم جامدي باوي</v>
      </c>
      <c r="D26" s="1" t="str">
        <f t="shared" si="0"/>
        <v>توليد توسعه - دارخوين</v>
      </c>
      <c r="E26" s="1">
        <v>1100000</v>
      </c>
      <c r="F26" s="1">
        <v>1424850</v>
      </c>
      <c r="G26" s="1">
        <v>200000</v>
      </c>
      <c r="H26" s="1">
        <v>8778930</v>
      </c>
      <c r="I26" s="1">
        <v>389340</v>
      </c>
      <c r="J26" s="1">
        <v>0</v>
      </c>
      <c r="K26" s="1">
        <v>0</v>
      </c>
      <c r="L26" s="1">
        <v>593952</v>
      </c>
      <c r="M26" s="1">
        <v>0</v>
      </c>
      <c r="N26" s="1">
        <v>0</v>
      </c>
      <c r="O26" s="1">
        <v>0</v>
      </c>
      <c r="P26" s="56">
        <f t="shared" si="1"/>
        <v>12487072</v>
      </c>
      <c r="Q26" s="56">
        <f t="shared" si="2"/>
        <v>1040589.3333333334</v>
      </c>
      <c r="R26" s="56">
        <f t="shared" si="3"/>
        <v>1781062.5</v>
      </c>
    </row>
    <row r="27" spans="1:18">
      <c r="A27" s="1" t="str">
        <f>"1989031072"</f>
        <v>1989031072</v>
      </c>
      <c r="B27" s="1" t="str">
        <f>"9157079"</f>
        <v>9157079</v>
      </c>
      <c r="C27" s="1" t="str">
        <f>"مزعل جليزي"</f>
        <v>مزعل جليزي</v>
      </c>
      <c r="D27" s="1" t="str">
        <f t="shared" si="0"/>
        <v>توليد توسعه - دارخوين</v>
      </c>
      <c r="E27" s="1">
        <v>1100000</v>
      </c>
      <c r="F27" s="1">
        <v>2849700</v>
      </c>
      <c r="G27" s="1">
        <v>200000</v>
      </c>
      <c r="H27" s="1">
        <v>10141620</v>
      </c>
      <c r="I27" s="1">
        <v>0</v>
      </c>
      <c r="J27" s="1">
        <v>0</v>
      </c>
      <c r="K27" s="1">
        <v>0</v>
      </c>
      <c r="L27" s="1">
        <v>611952</v>
      </c>
      <c r="M27" s="1">
        <v>0</v>
      </c>
      <c r="N27" s="1">
        <v>0</v>
      </c>
      <c r="O27" s="1">
        <v>0</v>
      </c>
      <c r="P27" s="56">
        <f t="shared" si="1"/>
        <v>14903272</v>
      </c>
      <c r="Q27" s="56">
        <f t="shared" si="2"/>
        <v>1241939.3333333333</v>
      </c>
      <c r="R27" s="56">
        <f t="shared" si="3"/>
        <v>1781062.5</v>
      </c>
    </row>
    <row r="28" spans="1:18">
      <c r="A28" s="1" t="str">
        <f>"1898446938"</f>
        <v>1898446938</v>
      </c>
      <c r="B28" s="1" t="str">
        <f>"9157081"</f>
        <v>9157081</v>
      </c>
      <c r="C28" s="1" t="str">
        <f>"فهد چاملي"</f>
        <v>فهد چاملي</v>
      </c>
      <c r="D28" s="1" t="str">
        <f t="shared" si="0"/>
        <v>توليد توسعه - دارخوين</v>
      </c>
      <c r="E28" s="1">
        <v>1100000</v>
      </c>
      <c r="F28" s="1">
        <v>1424850</v>
      </c>
      <c r="G28" s="1">
        <v>200000</v>
      </c>
      <c r="H28" s="1">
        <v>8778930</v>
      </c>
      <c r="I28" s="1">
        <v>0</v>
      </c>
      <c r="J28" s="1">
        <v>0</v>
      </c>
      <c r="K28" s="1">
        <v>0</v>
      </c>
      <c r="L28" s="1">
        <v>599952</v>
      </c>
      <c r="M28" s="1">
        <v>0</v>
      </c>
      <c r="N28" s="1">
        <v>0</v>
      </c>
      <c r="O28" s="1">
        <v>0</v>
      </c>
      <c r="P28" s="56">
        <f t="shared" si="1"/>
        <v>12103732</v>
      </c>
      <c r="Q28" s="56">
        <f t="shared" si="2"/>
        <v>1008644.3333333334</v>
      </c>
      <c r="R28" s="56">
        <f t="shared" si="3"/>
        <v>1781062.5</v>
      </c>
    </row>
    <row r="29" spans="1:18">
      <c r="A29" s="1" t="str">
        <f>"1899556291"</f>
        <v>1899556291</v>
      </c>
      <c r="B29" s="1" t="str">
        <f>"9157084"</f>
        <v>9157084</v>
      </c>
      <c r="C29" s="1" t="str">
        <f>"ايوب حويزاوي"</f>
        <v>ايوب حويزاوي</v>
      </c>
      <c r="D29" s="1" t="str">
        <f t="shared" si="0"/>
        <v>توليد توسعه - دارخوين</v>
      </c>
      <c r="E29" s="1">
        <v>1100000</v>
      </c>
      <c r="F29" s="1">
        <v>1424850</v>
      </c>
      <c r="G29" s="1">
        <v>200000</v>
      </c>
      <c r="H29" s="1">
        <v>9168270</v>
      </c>
      <c r="I29" s="1">
        <v>0</v>
      </c>
      <c r="J29" s="1">
        <v>0</v>
      </c>
      <c r="K29" s="1">
        <v>0</v>
      </c>
      <c r="L29" s="1">
        <v>585315</v>
      </c>
      <c r="M29" s="1">
        <v>0</v>
      </c>
      <c r="N29" s="1">
        <v>0</v>
      </c>
      <c r="O29" s="1">
        <v>0</v>
      </c>
      <c r="P29" s="56">
        <f t="shared" si="1"/>
        <v>12478435</v>
      </c>
      <c r="Q29" s="56">
        <f t="shared" si="2"/>
        <v>1039869.5833333334</v>
      </c>
      <c r="R29" s="56">
        <f t="shared" si="3"/>
        <v>1781062.5</v>
      </c>
    </row>
    <row r="30" spans="1:18">
      <c r="A30" s="1" t="str">
        <f>"1899527184"</f>
        <v>1899527184</v>
      </c>
      <c r="B30" s="1" t="str">
        <f>"9157089"</f>
        <v>9157089</v>
      </c>
      <c r="C30" s="1" t="str">
        <f>"منصور خنفري راد"</f>
        <v>منصور خنفري راد</v>
      </c>
      <c r="D30" s="1" t="str">
        <f t="shared" si="0"/>
        <v>توليد توسعه - دارخوين</v>
      </c>
      <c r="E30" s="1">
        <v>1100000</v>
      </c>
      <c r="F30" s="1">
        <v>1424850</v>
      </c>
      <c r="G30" s="1">
        <v>200000</v>
      </c>
      <c r="H30" s="1">
        <v>10725600</v>
      </c>
      <c r="I30" s="1">
        <v>0</v>
      </c>
      <c r="J30" s="1">
        <v>0</v>
      </c>
      <c r="K30" s="1">
        <v>0</v>
      </c>
      <c r="L30" s="1">
        <v>617952</v>
      </c>
      <c r="M30" s="1">
        <v>0</v>
      </c>
      <c r="N30" s="1">
        <v>0</v>
      </c>
      <c r="O30" s="1">
        <v>0</v>
      </c>
      <c r="P30" s="56">
        <f t="shared" si="1"/>
        <v>14068402</v>
      </c>
      <c r="Q30" s="56">
        <f t="shared" si="2"/>
        <v>1172366.8333333333</v>
      </c>
      <c r="R30" s="56">
        <f t="shared" si="3"/>
        <v>1781062.5</v>
      </c>
    </row>
    <row r="31" spans="1:18">
      <c r="A31" s="1" t="str">
        <f>"5269699109"</f>
        <v>5269699109</v>
      </c>
      <c r="B31" s="1" t="str">
        <f>"9157090"</f>
        <v>9157090</v>
      </c>
      <c r="C31" s="1" t="str">
        <f>"جميل زرگاني"</f>
        <v>جميل زرگاني</v>
      </c>
      <c r="D31" s="1" t="str">
        <f t="shared" si="0"/>
        <v>توليد توسعه - دارخوين</v>
      </c>
      <c r="E31" s="1">
        <v>1100000</v>
      </c>
      <c r="F31" s="1">
        <v>1424850</v>
      </c>
      <c r="G31" s="1">
        <v>200000</v>
      </c>
      <c r="H31" s="1">
        <v>10725600</v>
      </c>
      <c r="I31" s="1">
        <v>0</v>
      </c>
      <c r="J31" s="1">
        <v>0</v>
      </c>
      <c r="K31" s="1">
        <v>0</v>
      </c>
      <c r="L31" s="1">
        <v>617952</v>
      </c>
      <c r="M31" s="1">
        <v>0</v>
      </c>
      <c r="N31" s="1">
        <v>0</v>
      </c>
      <c r="O31" s="1">
        <v>0</v>
      </c>
      <c r="P31" s="56">
        <f t="shared" si="1"/>
        <v>14068402</v>
      </c>
      <c r="Q31" s="56">
        <f t="shared" si="2"/>
        <v>1172366.8333333333</v>
      </c>
      <c r="R31" s="56">
        <f t="shared" si="3"/>
        <v>1781062.5</v>
      </c>
    </row>
    <row r="32" spans="1:18">
      <c r="A32" s="1" t="str">
        <f>"1899886222"</f>
        <v>1899886222</v>
      </c>
      <c r="B32" s="1" t="str">
        <f>"9157091"</f>
        <v>9157091</v>
      </c>
      <c r="C32" s="1" t="str">
        <f>"علي ساري"</f>
        <v>علي ساري</v>
      </c>
      <c r="D32" s="1" t="str">
        <f t="shared" si="0"/>
        <v>توليد توسعه - دارخوين</v>
      </c>
      <c r="E32" s="1">
        <v>1100000</v>
      </c>
      <c r="F32" s="1">
        <v>712425</v>
      </c>
      <c r="G32" s="1">
        <v>200000</v>
      </c>
      <c r="H32" s="1">
        <v>8778930</v>
      </c>
      <c r="I32" s="1">
        <v>0</v>
      </c>
      <c r="J32" s="1">
        <v>0</v>
      </c>
      <c r="K32" s="1">
        <v>0</v>
      </c>
      <c r="L32" s="1">
        <v>593952</v>
      </c>
      <c r="M32" s="1">
        <v>0</v>
      </c>
      <c r="N32" s="1">
        <v>0</v>
      </c>
      <c r="O32" s="1">
        <v>16448</v>
      </c>
      <c r="P32" s="56">
        <f t="shared" si="1"/>
        <v>11401755</v>
      </c>
      <c r="Q32" s="56">
        <f t="shared" si="2"/>
        <v>950146.25</v>
      </c>
      <c r="R32" s="56">
        <f t="shared" si="3"/>
        <v>1781062.5</v>
      </c>
    </row>
    <row r="33" spans="5:36">
      <c r="E33" s="3">
        <f t="shared" ref="E33:AJ33" si="4">SUM(E2:E32)</f>
        <v>34100000</v>
      </c>
      <c r="F33" s="3">
        <f t="shared" si="4"/>
        <v>42033075</v>
      </c>
      <c r="G33" s="3">
        <f t="shared" si="4"/>
        <v>6200000</v>
      </c>
      <c r="H33" s="3">
        <f t="shared" si="4"/>
        <v>297356250</v>
      </c>
      <c r="I33" s="3">
        <f t="shared" si="4"/>
        <v>1362660</v>
      </c>
      <c r="J33" s="3">
        <f t="shared" si="4"/>
        <v>1051200</v>
      </c>
      <c r="K33" s="3">
        <f t="shared" si="4"/>
        <v>0</v>
      </c>
      <c r="L33" s="3">
        <f t="shared" si="4"/>
        <v>18739875</v>
      </c>
      <c r="M33" s="3">
        <f t="shared" si="4"/>
        <v>0</v>
      </c>
      <c r="N33" s="3">
        <f t="shared" si="4"/>
        <v>0</v>
      </c>
      <c r="O33" s="3">
        <f t="shared" si="4"/>
        <v>1807306</v>
      </c>
      <c r="P33" s="3">
        <f t="shared" ref="P33" si="5">SUM(P2:P32)</f>
        <v>402650366</v>
      </c>
      <c r="Q33" s="3">
        <f t="shared" ref="Q33" si="6">SUM(Q2:Q32)</f>
        <v>33554197.166666653</v>
      </c>
      <c r="R33" s="3">
        <f t="shared" ref="R33" si="7">SUM(R2:R32)</f>
        <v>55171797.833333328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rightToLeft="1" topLeftCell="A24" workbookViewId="0">
      <selection activeCell="E35" sqref="E35"/>
    </sheetView>
  </sheetViews>
  <sheetFormatPr defaultRowHeight="24.75"/>
  <cols>
    <col min="1" max="1" width="20.140625" style="57" bestFit="1" customWidth="1"/>
    <col min="2" max="2" width="9.85546875" style="57" bestFit="1" customWidth="1"/>
    <col min="3" max="3" width="16.85546875" style="57" bestFit="1" customWidth="1"/>
    <col min="4" max="4" width="12.28515625" style="57" bestFit="1" customWidth="1"/>
    <col min="5" max="5" width="18" style="58" bestFit="1" customWidth="1"/>
    <col min="6" max="6" width="14.42578125" style="58" bestFit="1" customWidth="1"/>
    <col min="7" max="7" width="6" style="57" bestFit="1" customWidth="1"/>
    <col min="8" max="8" width="19.5703125" style="57" bestFit="1" customWidth="1"/>
    <col min="9" max="9" width="18" style="57" bestFit="1" customWidth="1"/>
    <col min="10" max="10" width="12.28515625" style="57" bestFit="1" customWidth="1"/>
    <col min="11" max="11" width="9" style="57" bestFit="1" customWidth="1"/>
    <col min="12" max="12" width="20.7109375" style="57" bestFit="1" customWidth="1"/>
    <col min="13" max="13" width="13.5703125" style="57" bestFit="1" customWidth="1"/>
    <col min="14" max="14" width="11.5703125" style="57" bestFit="1" customWidth="1"/>
    <col min="15" max="15" width="15.42578125" style="57" bestFit="1" customWidth="1"/>
    <col min="16" max="16" width="9.42578125" style="57" bestFit="1" customWidth="1"/>
    <col min="17" max="16384" width="9.140625" style="57"/>
  </cols>
  <sheetData>
    <row r="3" spans="1:6">
      <c r="A3" s="57" t="s">
        <v>3</v>
      </c>
      <c r="B3" s="57" t="s">
        <v>1</v>
      </c>
      <c r="C3" s="57" t="s">
        <v>2</v>
      </c>
      <c r="D3" s="57" t="s">
        <v>5</v>
      </c>
      <c r="E3" s="58" t="s">
        <v>68</v>
      </c>
      <c r="F3" s="58" t="s">
        <v>69</v>
      </c>
    </row>
    <row r="4" spans="1:6">
      <c r="A4" s="57" t="s">
        <v>70</v>
      </c>
      <c r="B4" s="57">
        <v>9157041</v>
      </c>
      <c r="C4" s="57" t="s">
        <v>71</v>
      </c>
      <c r="D4" s="57">
        <v>30</v>
      </c>
      <c r="E4" s="58">
        <v>260000</v>
      </c>
      <c r="F4" s="58">
        <v>260000</v>
      </c>
    </row>
    <row r="5" spans="1:6">
      <c r="A5" s="57" t="s">
        <v>70</v>
      </c>
      <c r="B5" s="57">
        <v>9157042</v>
      </c>
      <c r="C5" s="57" t="s">
        <v>72</v>
      </c>
      <c r="D5" s="57">
        <v>30</v>
      </c>
      <c r="E5" s="58">
        <v>260000</v>
      </c>
      <c r="F5" s="58">
        <v>260000</v>
      </c>
    </row>
    <row r="6" spans="1:6">
      <c r="A6" s="57" t="s">
        <v>70</v>
      </c>
      <c r="B6" s="57">
        <v>9157043</v>
      </c>
      <c r="C6" s="57" t="s">
        <v>73</v>
      </c>
      <c r="D6" s="57">
        <v>30</v>
      </c>
      <c r="E6" s="58">
        <v>260000</v>
      </c>
      <c r="F6" s="58">
        <v>260000</v>
      </c>
    </row>
    <row r="7" spans="1:6">
      <c r="A7" s="57" t="s">
        <v>70</v>
      </c>
      <c r="B7" s="57">
        <v>9157044</v>
      </c>
      <c r="C7" s="57" t="s">
        <v>74</v>
      </c>
      <c r="D7" s="57">
        <v>30</v>
      </c>
      <c r="E7" s="58">
        <v>260000</v>
      </c>
      <c r="F7" s="58">
        <v>260000</v>
      </c>
    </row>
    <row r="8" spans="1:6">
      <c r="A8" s="57" t="s">
        <v>70</v>
      </c>
      <c r="B8" s="57">
        <v>9157045</v>
      </c>
      <c r="C8" s="57" t="s">
        <v>75</v>
      </c>
      <c r="D8" s="57">
        <v>30</v>
      </c>
      <c r="E8" s="58">
        <v>260000</v>
      </c>
      <c r="F8" s="58">
        <v>260000</v>
      </c>
    </row>
    <row r="9" spans="1:6">
      <c r="A9" s="57" t="s">
        <v>70</v>
      </c>
      <c r="B9" s="57">
        <v>9157046</v>
      </c>
      <c r="C9" s="57" t="s">
        <v>76</v>
      </c>
      <c r="D9" s="57">
        <v>30</v>
      </c>
      <c r="E9" s="58">
        <v>260000</v>
      </c>
      <c r="F9" s="58">
        <v>260000</v>
      </c>
    </row>
    <row r="10" spans="1:6">
      <c r="A10" s="57" t="s">
        <v>70</v>
      </c>
      <c r="B10" s="57">
        <v>9157047</v>
      </c>
      <c r="C10" s="57" t="s">
        <v>77</v>
      </c>
      <c r="D10" s="57">
        <v>30</v>
      </c>
      <c r="E10" s="58">
        <v>260000</v>
      </c>
      <c r="F10" s="58">
        <v>260000</v>
      </c>
    </row>
    <row r="11" spans="1:6">
      <c r="A11" s="57" t="s">
        <v>70</v>
      </c>
      <c r="B11" s="57">
        <v>9157049</v>
      </c>
      <c r="C11" s="57" t="s">
        <v>78</v>
      </c>
      <c r="D11" s="57">
        <v>30</v>
      </c>
      <c r="E11" s="58">
        <v>260000</v>
      </c>
      <c r="F11" s="58">
        <v>260000</v>
      </c>
    </row>
    <row r="12" spans="1:6">
      <c r="A12" s="57" t="s">
        <v>70</v>
      </c>
      <c r="B12" s="57">
        <v>9157050</v>
      </c>
      <c r="C12" s="57" t="s">
        <v>79</v>
      </c>
      <c r="D12" s="57">
        <v>30</v>
      </c>
      <c r="E12" s="58">
        <v>260000</v>
      </c>
      <c r="F12" s="58">
        <v>260000</v>
      </c>
    </row>
    <row r="13" spans="1:6">
      <c r="A13" s="57" t="s">
        <v>70</v>
      </c>
      <c r="B13" s="57">
        <v>9157053</v>
      </c>
      <c r="C13" s="57" t="s">
        <v>80</v>
      </c>
      <c r="D13" s="57">
        <v>30</v>
      </c>
      <c r="E13" s="58">
        <v>260000</v>
      </c>
      <c r="F13" s="58">
        <v>260000</v>
      </c>
    </row>
    <row r="14" spans="1:6">
      <c r="A14" s="57" t="s">
        <v>70</v>
      </c>
      <c r="B14" s="57">
        <v>9157054</v>
      </c>
      <c r="C14" s="57" t="s">
        <v>81</v>
      </c>
      <c r="D14" s="57">
        <v>30</v>
      </c>
      <c r="E14" s="58">
        <v>260000</v>
      </c>
      <c r="F14" s="58">
        <v>260000</v>
      </c>
    </row>
    <row r="15" spans="1:6">
      <c r="A15" s="57" t="s">
        <v>70</v>
      </c>
      <c r="B15" s="57">
        <v>9157055</v>
      </c>
      <c r="C15" s="57" t="s">
        <v>82</v>
      </c>
      <c r="D15" s="57">
        <v>30</v>
      </c>
      <c r="E15" s="58">
        <v>260000</v>
      </c>
      <c r="F15" s="58">
        <v>260000</v>
      </c>
    </row>
    <row r="16" spans="1:6">
      <c r="A16" s="57" t="s">
        <v>70</v>
      </c>
      <c r="B16" s="57">
        <v>9157056</v>
      </c>
      <c r="C16" s="57" t="s">
        <v>83</v>
      </c>
      <c r="D16" s="57">
        <v>30</v>
      </c>
      <c r="E16" s="58">
        <v>260000</v>
      </c>
      <c r="F16" s="58">
        <v>260000</v>
      </c>
    </row>
    <row r="17" spans="1:6">
      <c r="A17" s="57" t="s">
        <v>70</v>
      </c>
      <c r="B17" s="57">
        <v>9157057</v>
      </c>
      <c r="C17" s="57" t="s">
        <v>84</v>
      </c>
      <c r="D17" s="57">
        <v>30</v>
      </c>
      <c r="E17" s="58">
        <v>260000</v>
      </c>
      <c r="F17" s="58">
        <v>260000</v>
      </c>
    </row>
    <row r="18" spans="1:6">
      <c r="A18" s="57" t="s">
        <v>70</v>
      </c>
      <c r="B18" s="57">
        <v>9157058</v>
      </c>
      <c r="C18" s="57" t="s">
        <v>85</v>
      </c>
      <c r="D18" s="57">
        <v>30</v>
      </c>
      <c r="E18" s="58">
        <v>260000</v>
      </c>
      <c r="F18" s="58">
        <v>260000</v>
      </c>
    </row>
    <row r="19" spans="1:6">
      <c r="A19" s="57" t="s">
        <v>70</v>
      </c>
      <c r="B19" s="57">
        <v>9157059</v>
      </c>
      <c r="C19" s="57" t="s">
        <v>86</v>
      </c>
      <c r="D19" s="57">
        <v>30</v>
      </c>
      <c r="E19" s="58">
        <v>260000</v>
      </c>
      <c r="F19" s="58">
        <v>260000</v>
      </c>
    </row>
    <row r="20" spans="1:6">
      <c r="A20" s="57" t="s">
        <v>70</v>
      </c>
      <c r="B20" s="57">
        <v>9157060</v>
      </c>
      <c r="C20" s="57" t="s">
        <v>87</v>
      </c>
      <c r="D20" s="57">
        <v>30</v>
      </c>
      <c r="E20" s="58">
        <v>260000</v>
      </c>
      <c r="F20" s="58">
        <v>260000</v>
      </c>
    </row>
    <row r="21" spans="1:6">
      <c r="A21" s="57" t="s">
        <v>70</v>
      </c>
      <c r="B21" s="57">
        <v>9157065</v>
      </c>
      <c r="C21" s="57" t="s">
        <v>88</v>
      </c>
      <c r="D21" s="57">
        <v>30</v>
      </c>
      <c r="E21" s="58">
        <v>260000</v>
      </c>
      <c r="F21" s="58">
        <v>260000</v>
      </c>
    </row>
    <row r="22" spans="1:6">
      <c r="A22" s="57" t="s">
        <v>70</v>
      </c>
      <c r="B22" s="57">
        <v>9157066</v>
      </c>
      <c r="C22" s="57" t="s">
        <v>89</v>
      </c>
      <c r="D22" s="57">
        <v>30</v>
      </c>
      <c r="E22" s="58">
        <v>260000</v>
      </c>
      <c r="F22" s="58">
        <v>260000</v>
      </c>
    </row>
    <row r="23" spans="1:6">
      <c r="A23" s="57" t="s">
        <v>70</v>
      </c>
      <c r="B23" s="57">
        <v>9157068</v>
      </c>
      <c r="C23" s="57" t="s">
        <v>90</v>
      </c>
      <c r="D23" s="57">
        <v>30</v>
      </c>
      <c r="E23" s="58">
        <v>260000</v>
      </c>
      <c r="F23" s="58">
        <v>260000</v>
      </c>
    </row>
    <row r="24" spans="1:6">
      <c r="A24" s="57" t="s">
        <v>70</v>
      </c>
      <c r="B24" s="57">
        <v>9157069</v>
      </c>
      <c r="C24" s="57" t="s">
        <v>91</v>
      </c>
      <c r="D24" s="57">
        <v>30</v>
      </c>
      <c r="E24" s="58">
        <v>260000</v>
      </c>
      <c r="F24" s="58">
        <v>260000</v>
      </c>
    </row>
    <row r="25" spans="1:6">
      <c r="A25" s="57" t="s">
        <v>70</v>
      </c>
      <c r="B25" s="57">
        <v>9157070</v>
      </c>
      <c r="C25" s="57" t="s">
        <v>92</v>
      </c>
      <c r="D25" s="57">
        <v>30</v>
      </c>
      <c r="E25" s="58">
        <v>260000</v>
      </c>
      <c r="F25" s="58">
        <v>260000</v>
      </c>
    </row>
    <row r="26" spans="1:6">
      <c r="A26" s="57" t="s">
        <v>70</v>
      </c>
      <c r="B26" s="57">
        <v>9157072</v>
      </c>
      <c r="C26" s="57" t="s">
        <v>93</v>
      </c>
      <c r="D26" s="57">
        <v>30</v>
      </c>
      <c r="E26" s="58">
        <v>260000</v>
      </c>
      <c r="F26" s="58">
        <v>260000</v>
      </c>
    </row>
    <row r="27" spans="1:6">
      <c r="A27" s="57" t="s">
        <v>70</v>
      </c>
      <c r="B27" s="57">
        <v>9157075</v>
      </c>
      <c r="C27" s="57" t="s">
        <v>94</v>
      </c>
      <c r="D27" s="57">
        <v>30</v>
      </c>
      <c r="E27" s="58">
        <v>260000</v>
      </c>
      <c r="F27" s="58">
        <v>260000</v>
      </c>
    </row>
    <row r="28" spans="1:6">
      <c r="A28" s="57" t="s">
        <v>70</v>
      </c>
      <c r="B28" s="57">
        <v>9157077</v>
      </c>
      <c r="C28" s="57" t="s">
        <v>95</v>
      </c>
      <c r="D28" s="57">
        <v>30</v>
      </c>
      <c r="E28" s="58">
        <v>260000</v>
      </c>
      <c r="F28" s="58">
        <v>260000</v>
      </c>
    </row>
    <row r="29" spans="1:6">
      <c r="A29" s="57" t="s">
        <v>70</v>
      </c>
      <c r="B29" s="57">
        <v>9157079</v>
      </c>
      <c r="C29" s="57" t="s">
        <v>96</v>
      </c>
      <c r="D29" s="57">
        <v>30</v>
      </c>
      <c r="E29" s="58">
        <v>260000</v>
      </c>
      <c r="F29" s="58">
        <v>260000</v>
      </c>
    </row>
    <row r="30" spans="1:6">
      <c r="A30" s="57" t="s">
        <v>70</v>
      </c>
      <c r="B30" s="57">
        <v>9157081</v>
      </c>
      <c r="C30" s="57" t="s">
        <v>97</v>
      </c>
      <c r="D30" s="57">
        <v>30</v>
      </c>
      <c r="E30" s="58">
        <v>260000</v>
      </c>
      <c r="F30" s="58">
        <v>260000</v>
      </c>
    </row>
    <row r="31" spans="1:6">
      <c r="A31" s="57" t="s">
        <v>70</v>
      </c>
      <c r="B31" s="57">
        <v>9157084</v>
      </c>
      <c r="C31" s="57" t="s">
        <v>98</v>
      </c>
      <c r="D31" s="57">
        <v>30</v>
      </c>
      <c r="E31" s="58">
        <v>260000</v>
      </c>
      <c r="F31" s="58">
        <v>260000</v>
      </c>
    </row>
    <row r="32" spans="1:6">
      <c r="A32" s="57" t="s">
        <v>70</v>
      </c>
      <c r="B32" s="57">
        <v>9157089</v>
      </c>
      <c r="C32" s="57" t="s">
        <v>99</v>
      </c>
      <c r="D32" s="57">
        <v>30</v>
      </c>
      <c r="E32" s="58">
        <v>260000</v>
      </c>
      <c r="F32" s="58">
        <v>260000</v>
      </c>
    </row>
    <row r="33" spans="1:6">
      <c r="A33" s="57" t="s">
        <v>70</v>
      </c>
      <c r="B33" s="57">
        <v>9157090</v>
      </c>
      <c r="C33" s="57" t="s">
        <v>100</v>
      </c>
      <c r="D33" s="57">
        <v>30</v>
      </c>
      <c r="E33" s="58">
        <v>260000</v>
      </c>
      <c r="F33" s="58">
        <v>260000</v>
      </c>
    </row>
    <row r="34" spans="1:6">
      <c r="A34" s="57" t="s">
        <v>70</v>
      </c>
      <c r="B34" s="57">
        <v>9157091</v>
      </c>
      <c r="C34" s="57" t="s">
        <v>101</v>
      </c>
      <c r="D34" s="57">
        <v>30</v>
      </c>
      <c r="E34" s="58">
        <v>260000</v>
      </c>
      <c r="F34" s="58">
        <v>260000</v>
      </c>
    </row>
    <row r="35" spans="1:6" ht="25.5">
      <c r="F35" s="59">
        <f>SUM(F4:F34)</f>
        <v>8060000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rightToLeft="1" tabSelected="1" view="pageBreakPreview" zoomScale="70" zoomScaleNormal="55" zoomScaleSheetLayoutView="70" workbookViewId="0">
      <selection activeCell="K2" sqref="K2"/>
    </sheetView>
  </sheetViews>
  <sheetFormatPr defaultRowHeight="15"/>
  <cols>
    <col min="1" max="1" width="5.5703125" customWidth="1"/>
    <col min="2" max="2" width="12" customWidth="1"/>
    <col min="3" max="3" width="17.7109375" customWidth="1"/>
    <col min="4" max="4" width="21.85546875" customWidth="1"/>
    <col min="5" max="5" width="25.28515625" customWidth="1"/>
    <col min="6" max="6" width="22.7109375" customWidth="1"/>
    <col min="7" max="7" width="21" customWidth="1"/>
    <col min="8" max="9" width="20.42578125" customWidth="1"/>
    <col min="10" max="10" width="19.85546875" customWidth="1"/>
    <col min="11" max="11" width="23.7109375" customWidth="1"/>
    <col min="12" max="12" width="5.5703125" customWidth="1"/>
    <col min="16" max="16" width="14.140625" bestFit="1" customWidth="1"/>
  </cols>
  <sheetData>
    <row r="1" spans="1:20" ht="56.25" customHeight="1">
      <c r="A1" s="4"/>
      <c r="B1" s="5" t="s">
        <v>52</v>
      </c>
      <c r="C1" s="5"/>
      <c r="D1" s="5"/>
      <c r="E1" s="5"/>
      <c r="F1" s="5"/>
      <c r="G1" s="5"/>
      <c r="H1" s="5"/>
      <c r="I1" s="5"/>
      <c r="J1" s="5"/>
      <c r="K1" s="5"/>
      <c r="L1" s="4"/>
      <c r="M1" s="6"/>
      <c r="N1" s="6"/>
      <c r="O1" s="4"/>
      <c r="P1" s="4"/>
      <c r="Q1" s="4"/>
      <c r="R1" s="4"/>
      <c r="S1" s="4"/>
      <c r="T1" s="4"/>
    </row>
    <row r="2" spans="1:20" ht="26.25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4"/>
      <c r="M2" s="6"/>
      <c r="N2" s="6"/>
      <c r="O2" s="4"/>
      <c r="P2" s="4"/>
      <c r="Q2" s="4"/>
      <c r="R2" s="4"/>
      <c r="S2" s="4"/>
      <c r="T2" s="4"/>
    </row>
    <row r="3" spans="1:20" ht="25.5" thickBot="1">
      <c r="A3" s="4"/>
      <c r="B3" s="8"/>
      <c r="C3" s="8"/>
      <c r="D3" s="8"/>
      <c r="E3" s="9"/>
      <c r="F3" s="9"/>
      <c r="G3" s="9"/>
      <c r="H3" s="9"/>
      <c r="I3" s="9"/>
      <c r="J3" s="9"/>
      <c r="K3" s="9"/>
      <c r="L3" s="4"/>
      <c r="M3" s="6"/>
      <c r="N3" s="6"/>
      <c r="O3" s="4"/>
      <c r="P3" s="4"/>
      <c r="Q3" s="4"/>
      <c r="R3" s="4"/>
      <c r="S3" s="10"/>
      <c r="T3" s="10"/>
    </row>
    <row r="4" spans="1:20" ht="91.5" customHeight="1">
      <c r="A4" s="11"/>
      <c r="B4" s="12" t="s">
        <v>36</v>
      </c>
      <c r="C4" s="13" t="s">
        <v>37</v>
      </c>
      <c r="D4" s="13" t="s">
        <v>38</v>
      </c>
      <c r="E4" s="14" t="s">
        <v>39</v>
      </c>
      <c r="F4" s="15" t="s">
        <v>40</v>
      </c>
      <c r="G4" s="15" t="s">
        <v>41</v>
      </c>
      <c r="H4" s="15" t="s">
        <v>42</v>
      </c>
      <c r="I4" s="15" t="s">
        <v>43</v>
      </c>
      <c r="J4" s="14" t="s">
        <v>44</v>
      </c>
      <c r="K4" s="16" t="s">
        <v>45</v>
      </c>
      <c r="L4" s="10"/>
      <c r="M4" s="17"/>
      <c r="N4" s="17"/>
      <c r="O4" s="10"/>
      <c r="P4" s="10"/>
      <c r="Q4" s="10"/>
      <c r="R4" s="10"/>
      <c r="S4" s="4"/>
      <c r="T4" s="4"/>
    </row>
    <row r="5" spans="1:20" ht="62.25" customHeight="1">
      <c r="A5" s="18"/>
      <c r="B5" s="19">
        <v>1</v>
      </c>
      <c r="C5" s="20" t="s">
        <v>51</v>
      </c>
      <c r="D5" s="20">
        <v>31</v>
      </c>
      <c r="E5" s="21">
        <f>'دي ماه توليد توسعه دارخوين '!AB33</f>
        <v>467168744</v>
      </c>
      <c r="F5" s="21">
        <f>'دي ماه توليد توسعه دارخوين '!X33+'دي ماه توليد توسعه دارخوين '!Y33</f>
        <v>90565636</v>
      </c>
      <c r="G5" s="21">
        <f>'سنوات توليد توسعه دي ماه '!Q33</f>
        <v>33554197.166666653</v>
      </c>
      <c r="H5" s="21">
        <f>'رفاهیات '!F35+'رفاهیات میلاد حضرت رسول '!E33</f>
        <v>101060000</v>
      </c>
      <c r="I5" s="21">
        <f>'سنوات توليد توسعه دي ماه '!R33</f>
        <v>55171797.833333328</v>
      </c>
      <c r="J5" s="21">
        <f>SUM(E5:I5)*3%</f>
        <v>22425611.25</v>
      </c>
      <c r="K5" s="22">
        <f>SUM(E5:J5)</f>
        <v>769945986.25</v>
      </c>
      <c r="L5" s="23"/>
      <c r="M5" s="24"/>
      <c r="N5" s="24"/>
      <c r="O5" s="23"/>
      <c r="P5" s="23"/>
      <c r="Q5" s="23"/>
      <c r="R5" s="23"/>
      <c r="S5" s="23"/>
      <c r="T5" s="23"/>
    </row>
    <row r="6" spans="1:20" ht="62.25" customHeight="1" thickBot="1">
      <c r="A6" s="25"/>
      <c r="B6" s="26"/>
      <c r="C6" s="27"/>
      <c r="D6" s="28" t="s">
        <v>45</v>
      </c>
      <c r="E6" s="29">
        <f t="shared" ref="E6:K6" si="0">E5</f>
        <v>467168744</v>
      </c>
      <c r="F6" s="29">
        <f t="shared" si="0"/>
        <v>90565636</v>
      </c>
      <c r="G6" s="29">
        <f t="shared" si="0"/>
        <v>33554197.166666653</v>
      </c>
      <c r="H6" s="29">
        <f t="shared" si="0"/>
        <v>101060000</v>
      </c>
      <c r="I6" s="29">
        <f t="shared" si="0"/>
        <v>55171797.833333328</v>
      </c>
      <c r="J6" s="29">
        <f t="shared" si="0"/>
        <v>22425611.25</v>
      </c>
      <c r="K6" s="65">
        <f t="shared" si="0"/>
        <v>769945986.25</v>
      </c>
      <c r="L6" s="7"/>
      <c r="M6" s="30"/>
      <c r="N6" s="30"/>
      <c r="O6" s="31"/>
      <c r="P6" s="7"/>
      <c r="Q6" s="31"/>
      <c r="R6" s="31"/>
      <c r="S6" s="32"/>
      <c r="T6" s="32"/>
    </row>
    <row r="7" spans="1:20" ht="62.25" customHeight="1">
      <c r="A7" s="31"/>
      <c r="B7" s="25"/>
      <c r="C7" s="33"/>
      <c r="D7" s="34"/>
      <c r="E7" s="34"/>
      <c r="F7" s="34"/>
      <c r="G7" s="34"/>
      <c r="H7" s="34"/>
      <c r="I7" s="35" t="s">
        <v>46</v>
      </c>
      <c r="J7" s="66"/>
      <c r="K7" s="67">
        <f>K6</f>
        <v>769945986.25</v>
      </c>
      <c r="L7" s="7"/>
      <c r="M7" s="36"/>
      <c r="N7" s="36"/>
      <c r="O7" s="31"/>
      <c r="P7" s="31"/>
      <c r="Q7" s="31"/>
      <c r="R7" s="31"/>
      <c r="S7" s="32"/>
      <c r="T7" s="32"/>
    </row>
    <row r="8" spans="1:20" ht="62.25" customHeight="1">
      <c r="A8" s="31"/>
      <c r="B8" s="25"/>
      <c r="C8" s="33"/>
      <c r="D8" s="34"/>
      <c r="E8" s="34"/>
      <c r="F8" s="34"/>
      <c r="G8" s="34"/>
      <c r="H8" s="34"/>
      <c r="I8" s="37" t="s">
        <v>47</v>
      </c>
      <c r="J8" s="64"/>
      <c r="K8" s="68">
        <f>K7*9%</f>
        <v>69295138.762500003</v>
      </c>
      <c r="L8" s="7"/>
      <c r="M8" s="36"/>
      <c r="N8" s="36"/>
      <c r="O8" s="31"/>
      <c r="P8" s="31"/>
      <c r="Q8" s="31"/>
      <c r="R8" s="31"/>
      <c r="S8" s="32"/>
      <c r="T8" s="32"/>
    </row>
    <row r="9" spans="1:20" ht="62.25" customHeight="1" thickBot="1">
      <c r="A9" s="38"/>
      <c r="B9" s="39"/>
      <c r="C9" s="39"/>
      <c r="D9" s="39"/>
      <c r="E9" s="40"/>
      <c r="F9" s="39"/>
      <c r="G9" s="40"/>
      <c r="H9" s="40"/>
      <c r="I9" s="41" t="s">
        <v>45</v>
      </c>
      <c r="J9" s="69"/>
      <c r="K9" s="65">
        <f>K8+K7</f>
        <v>839241125.01250005</v>
      </c>
      <c r="L9" s="40"/>
      <c r="M9" s="42"/>
      <c r="N9" s="42"/>
      <c r="O9" s="39"/>
      <c r="P9" s="39"/>
      <c r="Q9" s="39"/>
      <c r="R9" s="39"/>
      <c r="S9" s="39"/>
      <c r="T9" s="39"/>
    </row>
    <row r="10" spans="1:20" ht="24">
      <c r="D10" s="43"/>
      <c r="E10" s="43"/>
      <c r="J10" s="44"/>
      <c r="K10" s="45"/>
    </row>
    <row r="12" spans="1:20" ht="15.75" thickBot="1"/>
    <row r="13" spans="1:20" ht="129.94999999999999" customHeight="1" thickBot="1">
      <c r="A13" s="46"/>
      <c r="B13" s="47" t="s">
        <v>48</v>
      </c>
      <c r="C13" s="48"/>
      <c r="D13" s="49"/>
      <c r="E13" s="47" t="s">
        <v>49</v>
      </c>
      <c r="F13" s="48"/>
      <c r="G13" s="49"/>
      <c r="H13" s="50" t="s">
        <v>50</v>
      </c>
      <c r="I13" s="51"/>
      <c r="J13" s="51"/>
      <c r="K13" s="52"/>
      <c r="L13" s="53"/>
      <c r="M13" s="53"/>
      <c r="N13" s="54"/>
      <c r="O13" s="54"/>
      <c r="P13" s="54"/>
      <c r="Q13" s="54"/>
      <c r="R13" s="54"/>
      <c r="S13" s="54"/>
      <c r="T13" s="55"/>
    </row>
  </sheetData>
  <mergeCells count="7">
    <mergeCell ref="B1:K1"/>
    <mergeCell ref="I7:J7"/>
    <mergeCell ref="I8:J8"/>
    <mergeCell ref="I9:J9"/>
    <mergeCell ref="B13:D13"/>
    <mergeCell ref="E13:G13"/>
    <mergeCell ref="H13:K13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دي ماه توليد توسعه دارخوين </vt:lpstr>
      <vt:lpstr>رفاهیات میلاد حضرت رسول </vt:lpstr>
      <vt:lpstr>سنوات توليد توسعه دي ماه </vt:lpstr>
      <vt:lpstr>رفاهیات </vt:lpstr>
      <vt:lpstr>جدول  </vt:lpstr>
      <vt:lpstr>'جدول 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2016-01-30T08:11:26Z</cp:lastPrinted>
  <dcterms:created xsi:type="dcterms:W3CDTF">2016-01-30T07:26:03Z</dcterms:created>
  <dcterms:modified xsi:type="dcterms:W3CDTF">2016-01-30T08:11:30Z</dcterms:modified>
</cp:coreProperties>
</file>