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707" sheetId="1" r:id="rId1"/>
  </sheets>
  <calcPr calcId="125725" refMode="R1C1"/>
</workbook>
</file>

<file path=xl/calcChain.xml><?xml version="1.0" encoding="utf-8"?>
<calcChain xmlns="http://schemas.openxmlformats.org/spreadsheetml/2006/main">
  <c r="AT1139" i="1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1104"/>
  <c r="AT1105"/>
  <c r="AT1106"/>
  <c r="AT1107"/>
  <c r="AT1108"/>
  <c r="AT1109"/>
  <c r="AT1110"/>
  <c r="AT1111"/>
  <c r="AT1112"/>
  <c r="AT1113"/>
  <c r="AT1114"/>
  <c r="AT1115"/>
  <c r="AT1116"/>
  <c r="AT1117"/>
  <c r="AT1118"/>
  <c r="AT1119"/>
  <c r="AT1120"/>
  <c r="AT1121"/>
  <c r="AT1122"/>
  <c r="AT1123"/>
  <c r="AT1124"/>
  <c r="AT1125"/>
  <c r="AT1126"/>
  <c r="AT1127"/>
  <c r="AT1128"/>
  <c r="AT1129"/>
  <c r="AT1130"/>
  <c r="AT1131"/>
  <c r="AT1132"/>
  <c r="AT1133"/>
  <c r="AT1134"/>
  <c r="AT1135"/>
  <c r="AT1136"/>
  <c r="AT1137"/>
  <c r="AT1138"/>
  <c r="AT2"/>
  <c r="A502"/>
  <c r="B502"/>
  <c r="C502"/>
  <c r="D502"/>
  <c r="E502"/>
  <c r="A508"/>
  <c r="B508"/>
  <c r="C508"/>
  <c r="D508"/>
  <c r="E508"/>
  <c r="A522"/>
  <c r="B522"/>
  <c r="C522"/>
  <c r="D522"/>
  <c r="E522"/>
  <c r="A511"/>
  <c r="B511"/>
  <c r="C511"/>
  <c r="D511"/>
  <c r="E511"/>
  <c r="A650"/>
  <c r="B650"/>
  <c r="C650"/>
  <c r="D650"/>
  <c r="E650"/>
  <c r="A652"/>
  <c r="B652"/>
  <c r="C652"/>
  <c r="D652"/>
  <c r="E652"/>
  <c r="A761"/>
  <c r="B761"/>
  <c r="C761"/>
  <c r="D761"/>
  <c r="E761"/>
  <c r="A407"/>
  <c r="B407"/>
  <c r="C407"/>
  <c r="D407"/>
  <c r="E407"/>
  <c r="A454"/>
  <c r="B454"/>
  <c r="C454"/>
  <c r="D454"/>
  <c r="E454"/>
  <c r="A389"/>
  <c r="B389"/>
  <c r="C389"/>
  <c r="D389"/>
  <c r="E389"/>
  <c r="A377"/>
  <c r="B377"/>
  <c r="C377"/>
  <c r="D377"/>
  <c r="E377"/>
  <c r="A378"/>
  <c r="B378"/>
  <c r="C378"/>
  <c r="D378"/>
  <c r="E378"/>
  <c r="A379"/>
  <c r="B379"/>
  <c r="C379"/>
  <c r="D379"/>
  <c r="E379"/>
  <c r="A380"/>
  <c r="B380"/>
  <c r="C380"/>
  <c r="D380"/>
  <c r="E380"/>
  <c r="A381"/>
  <c r="B381"/>
  <c r="C381"/>
  <c r="D381"/>
  <c r="E381"/>
  <c r="A366"/>
  <c r="B366"/>
  <c r="C366"/>
  <c r="D366"/>
  <c r="E366"/>
  <c r="A367"/>
  <c r="B367"/>
  <c r="C367"/>
  <c r="D367"/>
  <c r="E367"/>
  <c r="A2"/>
  <c r="B2"/>
  <c r="C2"/>
  <c r="D2"/>
  <c r="E2"/>
  <c r="A48"/>
  <c r="B48"/>
  <c r="C48"/>
  <c r="D48"/>
  <c r="E48"/>
  <c r="A498"/>
  <c r="B498"/>
  <c r="C498"/>
  <c r="D498"/>
  <c r="E498"/>
  <c r="A555"/>
  <c r="B555"/>
  <c r="C555"/>
  <c r="D555"/>
  <c r="E555"/>
  <c r="A776"/>
  <c r="B776"/>
  <c r="C776"/>
  <c r="D776"/>
  <c r="E776"/>
  <c r="A764"/>
  <c r="B764"/>
  <c r="C764"/>
  <c r="D764"/>
  <c r="E764"/>
  <c r="A944"/>
  <c r="B944"/>
  <c r="C944"/>
  <c r="D944"/>
  <c r="E944"/>
  <c r="A752"/>
  <c r="B752"/>
  <c r="C752"/>
  <c r="D752"/>
  <c r="E752"/>
  <c r="A426"/>
  <c r="B426"/>
  <c r="C426"/>
  <c r="D426"/>
  <c r="E426"/>
  <c r="A404"/>
  <c r="B404"/>
  <c r="C404"/>
  <c r="D404"/>
  <c r="E404"/>
  <c r="A922"/>
  <c r="B922"/>
  <c r="C922"/>
  <c r="D922"/>
  <c r="E922"/>
  <c r="A784"/>
  <c r="B784"/>
  <c r="C784"/>
  <c r="D784"/>
  <c r="E784"/>
  <c r="A785"/>
  <c r="B785"/>
  <c r="C785"/>
  <c r="D785"/>
  <c r="E785"/>
  <c r="A947"/>
  <c r="B947"/>
  <c r="C947"/>
  <c r="D947"/>
  <c r="E947"/>
  <c r="A505"/>
  <c r="B505"/>
  <c r="C505"/>
  <c r="D505"/>
  <c r="E505"/>
  <c r="A507"/>
  <c r="B507"/>
  <c r="C507"/>
  <c r="D507"/>
  <c r="E507"/>
  <c r="A519"/>
  <c r="B519"/>
  <c r="C519"/>
  <c r="D519"/>
  <c r="E519"/>
  <c r="A458"/>
  <c r="B458"/>
  <c r="C458"/>
  <c r="D458"/>
  <c r="E458"/>
  <c r="A51"/>
  <c r="B51"/>
  <c r="C51"/>
  <c r="D51"/>
  <c r="E51"/>
  <c r="A24"/>
  <c r="B24"/>
  <c r="C24"/>
  <c r="D24"/>
  <c r="E24"/>
  <c r="A575"/>
  <c r="B575"/>
  <c r="C575"/>
  <c r="D575"/>
  <c r="E575"/>
  <c r="A576"/>
  <c r="B576"/>
  <c r="C576"/>
  <c r="D576"/>
  <c r="E576"/>
  <c r="A554"/>
  <c r="B554"/>
  <c r="C554"/>
  <c r="D554"/>
  <c r="E554"/>
  <c r="A1102"/>
  <c r="B1102"/>
  <c r="C1102"/>
  <c r="D1102"/>
  <c r="E1102"/>
  <c r="A1104"/>
  <c r="B1104"/>
  <c r="C1104"/>
  <c r="D1104"/>
  <c r="E1104"/>
  <c r="A884"/>
  <c r="B884"/>
  <c r="C884"/>
  <c r="D884"/>
  <c r="E884"/>
  <c r="A738"/>
  <c r="B738"/>
  <c r="C738"/>
  <c r="D738"/>
  <c r="E738"/>
  <c r="A735"/>
  <c r="B735"/>
  <c r="C735"/>
  <c r="D735"/>
  <c r="E735"/>
  <c r="A736"/>
  <c r="B736"/>
  <c r="C736"/>
  <c r="D736"/>
  <c r="E736"/>
  <c r="A737"/>
  <c r="B737"/>
  <c r="C737"/>
  <c r="D737"/>
  <c r="E737"/>
  <c r="A997"/>
  <c r="B997"/>
  <c r="C997"/>
  <c r="D997"/>
  <c r="E997"/>
  <c r="A580"/>
  <c r="B580"/>
  <c r="C580"/>
  <c r="D580"/>
  <c r="E580"/>
  <c r="A605"/>
  <c r="B605"/>
  <c r="C605"/>
  <c r="D605"/>
  <c r="E605"/>
  <c r="A499"/>
  <c r="B499"/>
  <c r="C499"/>
  <c r="D499"/>
  <c r="E499"/>
  <c r="A516"/>
  <c r="B516"/>
  <c r="C516"/>
  <c r="D516"/>
  <c r="E516"/>
  <c r="A332"/>
  <c r="B332"/>
  <c r="C332"/>
  <c r="D332"/>
  <c r="E332"/>
  <c r="A334"/>
  <c r="B334"/>
  <c r="C334"/>
  <c r="D334"/>
  <c r="E334"/>
  <c r="A504"/>
  <c r="B504"/>
  <c r="C504"/>
  <c r="D504"/>
  <c r="E504"/>
  <c r="A614"/>
  <c r="B614"/>
  <c r="C614"/>
  <c r="D614"/>
  <c r="E614"/>
  <c r="A601"/>
  <c r="B601"/>
  <c r="C601"/>
  <c r="D601"/>
  <c r="E601"/>
  <c r="A655"/>
  <c r="B655"/>
  <c r="C655"/>
  <c r="D655"/>
  <c r="E655"/>
  <c r="A675"/>
  <c r="B675"/>
  <c r="C675"/>
  <c r="D675"/>
  <c r="E675"/>
  <c r="A631"/>
  <c r="B631"/>
  <c r="C631"/>
  <c r="D631"/>
  <c r="E631"/>
  <c r="A731"/>
  <c r="B731"/>
  <c r="C731"/>
  <c r="D731"/>
  <c r="E731"/>
  <c r="A740"/>
  <c r="B740"/>
  <c r="C740"/>
  <c r="D740"/>
  <c r="E740"/>
  <c r="A720"/>
  <c r="B720"/>
  <c r="C720"/>
  <c r="D720"/>
  <c r="E720"/>
  <c r="A728"/>
  <c r="B728"/>
  <c r="C728"/>
  <c r="D728"/>
  <c r="E728"/>
  <c r="A782"/>
  <c r="B782"/>
  <c r="C782"/>
  <c r="D782"/>
  <c r="E782"/>
  <c r="A783"/>
  <c r="B783"/>
  <c r="C783"/>
  <c r="D783"/>
  <c r="E783"/>
  <c r="A996"/>
  <c r="B996"/>
  <c r="C996"/>
  <c r="D996"/>
  <c r="E996"/>
  <c r="A313"/>
  <c r="B313"/>
  <c r="C313"/>
  <c r="D313"/>
  <c r="E313"/>
  <c r="A314"/>
  <c r="B314"/>
  <c r="C314"/>
  <c r="D314"/>
  <c r="E314"/>
  <c r="A45"/>
  <c r="B45"/>
  <c r="C45"/>
  <c r="D45"/>
  <c r="E45"/>
  <c r="A23"/>
  <c r="B23"/>
  <c r="C23"/>
  <c r="D23"/>
  <c r="E23"/>
  <c r="A781"/>
  <c r="B781"/>
  <c r="C781"/>
  <c r="D781"/>
  <c r="E781"/>
  <c r="A719"/>
  <c r="B719"/>
  <c r="C719"/>
  <c r="D719"/>
  <c r="E719"/>
  <c r="A729"/>
  <c r="B729"/>
  <c r="C729"/>
  <c r="D729"/>
  <c r="E729"/>
  <c r="A730"/>
  <c r="B730"/>
  <c r="C730"/>
  <c r="D730"/>
  <c r="E730"/>
  <c r="A672"/>
  <c r="B672"/>
  <c r="C672"/>
  <c r="D672"/>
  <c r="E672"/>
  <c r="A657"/>
  <c r="B657"/>
  <c r="C657"/>
  <c r="D657"/>
  <c r="E657"/>
  <c r="A721"/>
  <c r="B721"/>
  <c r="C721"/>
  <c r="D721"/>
  <c r="E721"/>
  <c r="A724"/>
  <c r="B724"/>
  <c r="C724"/>
  <c r="D724"/>
  <c r="E724"/>
  <c r="A725"/>
  <c r="B725"/>
  <c r="C725"/>
  <c r="D725"/>
  <c r="E725"/>
  <c r="A726"/>
  <c r="B726"/>
  <c r="C726"/>
  <c r="D726"/>
  <c r="E726"/>
  <c r="A875"/>
  <c r="B875"/>
  <c r="C875"/>
  <c r="D875"/>
  <c r="E875"/>
  <c r="A780"/>
  <c r="B780"/>
  <c r="C780"/>
  <c r="D780"/>
  <c r="E780"/>
  <c r="A579"/>
  <c r="B579"/>
  <c r="C579"/>
  <c r="D579"/>
  <c r="E579"/>
  <c r="A310"/>
  <c r="B310"/>
  <c r="C310"/>
  <c r="D310"/>
  <c r="E310"/>
  <c r="A311"/>
  <c r="B311"/>
  <c r="C311"/>
  <c r="D311"/>
  <c r="E311"/>
  <c r="A312"/>
  <c r="B312"/>
  <c r="C312"/>
  <c r="D312"/>
  <c r="E312"/>
  <c r="A520"/>
  <c r="B520"/>
  <c r="C520"/>
  <c r="D520"/>
  <c r="E520"/>
  <c r="A521"/>
  <c r="B521"/>
  <c r="C521"/>
  <c r="D521"/>
  <c r="E521"/>
  <c r="A513"/>
  <c r="B513"/>
  <c r="C513"/>
  <c r="D513"/>
  <c r="E513"/>
  <c r="A514"/>
  <c r="B514"/>
  <c r="C514"/>
  <c r="D514"/>
  <c r="E514"/>
  <c r="A515"/>
  <c r="B515"/>
  <c r="C515"/>
  <c r="D515"/>
  <c r="E515"/>
  <c r="A506"/>
  <c r="B506"/>
  <c r="C506"/>
  <c r="D506"/>
  <c r="E506"/>
  <c r="A501"/>
  <c r="B501"/>
  <c r="C501"/>
  <c r="D501"/>
  <c r="E501"/>
  <c r="A368"/>
  <c r="B368"/>
  <c r="C368"/>
  <c r="D368"/>
  <c r="E368"/>
  <c r="A453"/>
  <c r="B453"/>
  <c r="C453"/>
  <c r="D453"/>
  <c r="E453"/>
  <c r="A588"/>
  <c r="B588"/>
  <c r="C588"/>
  <c r="D588"/>
  <c r="E588"/>
  <c r="A604"/>
  <c r="B604"/>
  <c r="C604"/>
  <c r="D604"/>
  <c r="E604"/>
  <c r="A619"/>
  <c r="B619"/>
  <c r="C619"/>
  <c r="D619"/>
  <c r="E619"/>
  <c r="A35"/>
  <c r="B35"/>
  <c r="C35"/>
  <c r="D35"/>
  <c r="E35"/>
  <c r="A8"/>
  <c r="B8"/>
  <c r="C8"/>
  <c r="D8"/>
  <c r="E8"/>
  <c r="A247"/>
  <c r="B247"/>
  <c r="C247"/>
  <c r="D247"/>
  <c r="E247"/>
  <c r="A242"/>
  <c r="B242"/>
  <c r="C242"/>
  <c r="D242"/>
  <c r="E242"/>
  <c r="A241"/>
  <c r="B241"/>
  <c r="C241"/>
  <c r="D241"/>
  <c r="E241"/>
  <c r="A319"/>
  <c r="B319"/>
  <c r="C319"/>
  <c r="D319"/>
  <c r="E319"/>
  <c r="A618"/>
  <c r="B618"/>
  <c r="C618"/>
  <c r="D618"/>
  <c r="E618"/>
  <c r="A517"/>
  <c r="B517"/>
  <c r="C517"/>
  <c r="D517"/>
  <c r="E517"/>
  <c r="A765"/>
  <c r="B765"/>
  <c r="C765"/>
  <c r="D765"/>
  <c r="E765"/>
  <c r="A641"/>
  <c r="B641"/>
  <c r="C641"/>
  <c r="D641"/>
  <c r="E641"/>
  <c r="A621"/>
  <c r="B621"/>
  <c r="C621"/>
  <c r="D621"/>
  <c r="E621"/>
  <c r="A624"/>
  <c r="B624"/>
  <c r="C624"/>
  <c r="D624"/>
  <c r="E624"/>
  <c r="A625"/>
  <c r="B625"/>
  <c r="C625"/>
  <c r="D625"/>
  <c r="E625"/>
  <c r="A370"/>
  <c r="B370"/>
  <c r="C370"/>
  <c r="D370"/>
  <c r="E370"/>
  <c r="A609"/>
  <c r="B609"/>
  <c r="C609"/>
  <c r="D609"/>
  <c r="E609"/>
  <c r="A589"/>
  <c r="B589"/>
  <c r="C589"/>
  <c r="D589"/>
  <c r="E589"/>
  <c r="A611"/>
  <c r="B611"/>
  <c r="C611"/>
  <c r="D611"/>
  <c r="E611"/>
  <c r="A603"/>
  <c r="B603"/>
  <c r="C603"/>
  <c r="D603"/>
  <c r="E603"/>
  <c r="A754"/>
  <c r="B754"/>
  <c r="C754"/>
  <c r="D754"/>
  <c r="E754"/>
  <c r="A751"/>
  <c r="B751"/>
  <c r="C751"/>
  <c r="D751"/>
  <c r="E751"/>
  <c r="A748"/>
  <c r="B748"/>
  <c r="C748"/>
  <c r="D748"/>
  <c r="E748"/>
  <c r="A749"/>
  <c r="B749"/>
  <c r="C749"/>
  <c r="D749"/>
  <c r="E749"/>
  <c r="A742"/>
  <c r="B742"/>
  <c r="C742"/>
  <c r="D742"/>
  <c r="E742"/>
  <c r="A727"/>
  <c r="B727"/>
  <c r="C727"/>
  <c r="D727"/>
  <c r="E727"/>
  <c r="A778"/>
  <c r="B778"/>
  <c r="C778"/>
  <c r="D778"/>
  <c r="E778"/>
  <c r="A779"/>
  <c r="B779"/>
  <c r="C779"/>
  <c r="D779"/>
  <c r="E779"/>
  <c r="A882"/>
  <c r="B882"/>
  <c r="C882"/>
  <c r="D882"/>
  <c r="E882"/>
  <c r="A747"/>
  <c r="B747"/>
  <c r="C747"/>
  <c r="D747"/>
  <c r="E747"/>
  <c r="A773"/>
  <c r="B773"/>
  <c r="C773"/>
  <c r="D773"/>
  <c r="E773"/>
  <c r="A769"/>
  <c r="B769"/>
  <c r="C769"/>
  <c r="D769"/>
  <c r="E769"/>
  <c r="A770"/>
  <c r="B770"/>
  <c r="C770"/>
  <c r="D770"/>
  <c r="E770"/>
  <c r="A775"/>
  <c r="B775"/>
  <c r="C775"/>
  <c r="D775"/>
  <c r="E775"/>
  <c r="A623"/>
  <c r="B623"/>
  <c r="C623"/>
  <c r="D623"/>
  <c r="E623"/>
  <c r="A594"/>
  <c r="B594"/>
  <c r="C594"/>
  <c r="D594"/>
  <c r="E594"/>
  <c r="A592"/>
  <c r="B592"/>
  <c r="C592"/>
  <c r="D592"/>
  <c r="E592"/>
  <c r="A620"/>
  <c r="B620"/>
  <c r="C620"/>
  <c r="D620"/>
  <c r="E620"/>
  <c r="A640"/>
  <c r="B640"/>
  <c r="C640"/>
  <c r="D640"/>
  <c r="E640"/>
  <c r="A756"/>
  <c r="B756"/>
  <c r="C756"/>
  <c r="D756"/>
  <c r="E756"/>
  <c r="A294"/>
  <c r="B294"/>
  <c r="C294"/>
  <c r="D294"/>
  <c r="E294"/>
  <c r="A457"/>
  <c r="B457"/>
  <c r="C457"/>
  <c r="D457"/>
  <c r="E457"/>
  <c r="A951"/>
  <c r="B951"/>
  <c r="C951"/>
  <c r="D951"/>
  <c r="E951"/>
  <c r="A989"/>
  <c r="B989"/>
  <c r="C989"/>
  <c r="D989"/>
  <c r="E989"/>
  <c r="A1006"/>
  <c r="B1006"/>
  <c r="C1006"/>
  <c r="D1006"/>
  <c r="E1006"/>
  <c r="A1058"/>
  <c r="B1058"/>
  <c r="C1058"/>
  <c r="D1058"/>
  <c r="E1058"/>
  <c r="A986"/>
  <c r="B986"/>
  <c r="C986"/>
  <c r="D986"/>
  <c r="E986"/>
  <c r="A981"/>
  <c r="B981"/>
  <c r="C981"/>
  <c r="D981"/>
  <c r="E981"/>
  <c r="A874"/>
  <c r="B874"/>
  <c r="C874"/>
  <c r="D874"/>
  <c r="E874"/>
  <c r="A877"/>
  <c r="B877"/>
  <c r="C877"/>
  <c r="D877"/>
  <c r="E877"/>
  <c r="A15"/>
  <c r="B15"/>
  <c r="C15"/>
  <c r="D15"/>
  <c r="E15"/>
  <c r="A43"/>
  <c r="B43"/>
  <c r="C43"/>
  <c r="D43"/>
  <c r="E43"/>
  <c r="A617"/>
  <c r="B617"/>
  <c r="C617"/>
  <c r="D617"/>
  <c r="E617"/>
  <c r="A612"/>
  <c r="B612"/>
  <c r="C612"/>
  <c r="D612"/>
  <c r="E612"/>
  <c r="A613"/>
  <c r="B613"/>
  <c r="C613"/>
  <c r="D613"/>
  <c r="E613"/>
  <c r="A598"/>
  <c r="B598"/>
  <c r="C598"/>
  <c r="D598"/>
  <c r="E598"/>
  <c r="A610"/>
  <c r="B610"/>
  <c r="C610"/>
  <c r="D610"/>
  <c r="E610"/>
  <c r="A583"/>
  <c r="B583"/>
  <c r="C583"/>
  <c r="D583"/>
  <c r="E583"/>
  <c r="A525"/>
  <c r="B525"/>
  <c r="C525"/>
  <c r="D525"/>
  <c r="E525"/>
  <c r="A353"/>
  <c r="B353"/>
  <c r="C353"/>
  <c r="D353"/>
  <c r="E353"/>
  <c r="A317"/>
  <c r="B317"/>
  <c r="C317"/>
  <c r="D317"/>
  <c r="E317"/>
  <c r="A271"/>
  <c r="B271"/>
  <c r="C271"/>
  <c r="D271"/>
  <c r="E271"/>
  <c r="A244"/>
  <c r="B244"/>
  <c r="C244"/>
  <c r="D244"/>
  <c r="E244"/>
  <c r="A245"/>
  <c r="B245"/>
  <c r="C245"/>
  <c r="D245"/>
  <c r="E245"/>
  <c r="A246"/>
  <c r="B246"/>
  <c r="C246"/>
  <c r="D246"/>
  <c r="E246"/>
  <c r="A248"/>
  <c r="B248"/>
  <c r="C248"/>
  <c r="D248"/>
  <c r="E248"/>
  <c r="A170"/>
  <c r="B170"/>
  <c r="C170"/>
  <c r="D170"/>
  <c r="E170"/>
  <c r="A124"/>
  <c r="B124"/>
  <c r="C124"/>
  <c r="D124"/>
  <c r="E124"/>
  <c r="A17"/>
  <c r="B17"/>
  <c r="C17"/>
  <c r="D17"/>
  <c r="E17"/>
  <c r="A16"/>
  <c r="B16"/>
  <c r="C16"/>
  <c r="D16"/>
  <c r="E16"/>
  <c r="A18"/>
  <c r="B18"/>
  <c r="C18"/>
  <c r="D18"/>
  <c r="E18"/>
  <c r="A12"/>
  <c r="B12"/>
  <c r="C12"/>
  <c r="D12"/>
  <c r="E12"/>
  <c r="A3"/>
  <c r="B3"/>
  <c r="C3"/>
  <c r="D3"/>
  <c r="E3"/>
  <c r="A29"/>
  <c r="B29"/>
  <c r="C29"/>
  <c r="D29"/>
  <c r="E29"/>
  <c r="A50"/>
  <c r="B50"/>
  <c r="C50"/>
  <c r="D50"/>
  <c r="E50"/>
  <c r="A243"/>
  <c r="B243"/>
  <c r="C243"/>
  <c r="D243"/>
  <c r="E243"/>
  <c r="A304"/>
  <c r="B304"/>
  <c r="C304"/>
  <c r="D304"/>
  <c r="E304"/>
  <c r="A320"/>
  <c r="B320"/>
  <c r="C320"/>
  <c r="D320"/>
  <c r="E320"/>
  <c r="A318"/>
  <c r="B318"/>
  <c r="C318"/>
  <c r="D318"/>
  <c r="E318"/>
  <c r="A196"/>
  <c r="B196"/>
  <c r="C196"/>
  <c r="D196"/>
  <c r="E196"/>
  <c r="A946"/>
  <c r="B946"/>
  <c r="C946"/>
  <c r="D946"/>
  <c r="E946"/>
  <c r="A401"/>
  <c r="B401"/>
  <c r="C401"/>
  <c r="D401"/>
  <c r="E401"/>
  <c r="A352"/>
  <c r="B352"/>
  <c r="C352"/>
  <c r="D352"/>
  <c r="E352"/>
  <c r="A328"/>
  <c r="B328"/>
  <c r="C328"/>
  <c r="D328"/>
  <c r="E328"/>
  <c r="A532"/>
  <c r="B532"/>
  <c r="C532"/>
  <c r="D532"/>
  <c r="E532"/>
  <c r="A607"/>
  <c r="B607"/>
  <c r="C607"/>
  <c r="D607"/>
  <c r="E607"/>
  <c r="A608"/>
  <c r="B608"/>
  <c r="C608"/>
  <c r="D608"/>
  <c r="E608"/>
  <c r="A599"/>
  <c r="B599"/>
  <c r="C599"/>
  <c r="D599"/>
  <c r="E599"/>
  <c r="A616"/>
  <c r="B616"/>
  <c r="C616"/>
  <c r="D616"/>
  <c r="E616"/>
  <c r="A11"/>
  <c r="B11"/>
  <c r="C11"/>
  <c r="D11"/>
  <c r="E11"/>
  <c r="A988"/>
  <c r="B988"/>
  <c r="C988"/>
  <c r="D988"/>
  <c r="E988"/>
  <c r="A1003"/>
  <c r="B1003"/>
  <c r="C1003"/>
  <c r="D1003"/>
  <c r="E1003"/>
  <c r="A1001"/>
  <c r="B1001"/>
  <c r="C1001"/>
  <c r="D1001"/>
  <c r="E1001"/>
  <c r="A1000"/>
  <c r="B1000"/>
  <c r="C1000"/>
  <c r="D1000"/>
  <c r="E1000"/>
  <c r="A1002"/>
  <c r="B1002"/>
  <c r="C1002"/>
  <c r="D1002"/>
  <c r="E1002"/>
  <c r="A1101"/>
  <c r="B1101"/>
  <c r="C1101"/>
  <c r="D1101"/>
  <c r="E1101"/>
  <c r="A948"/>
  <c r="B948"/>
  <c r="C948"/>
  <c r="D948"/>
  <c r="E948"/>
  <c r="A945"/>
  <c r="B945"/>
  <c r="C945"/>
  <c r="D945"/>
  <c r="E945"/>
  <c r="A950"/>
  <c r="B950"/>
  <c r="C950"/>
  <c r="D950"/>
  <c r="E950"/>
  <c r="A949"/>
  <c r="B949"/>
  <c r="C949"/>
  <c r="D949"/>
  <c r="E949"/>
  <c r="A772"/>
  <c r="B772"/>
  <c r="C772"/>
  <c r="D772"/>
  <c r="E772"/>
  <c r="A923"/>
  <c r="B923"/>
  <c r="C923"/>
  <c r="D923"/>
  <c r="E923"/>
  <c r="A924"/>
  <c r="B924"/>
  <c r="C924"/>
  <c r="D924"/>
  <c r="E924"/>
  <c r="A980"/>
  <c r="B980"/>
  <c r="C980"/>
  <c r="D980"/>
  <c r="E980"/>
  <c r="A983"/>
  <c r="B983"/>
  <c r="C983"/>
  <c r="D983"/>
  <c r="E983"/>
  <c r="A984"/>
  <c r="B984"/>
  <c r="C984"/>
  <c r="D984"/>
  <c r="E984"/>
  <c r="A995"/>
  <c r="B995"/>
  <c r="C995"/>
  <c r="D995"/>
  <c r="E995"/>
  <c r="A998"/>
  <c r="B998"/>
  <c r="C998"/>
  <c r="D998"/>
  <c r="E998"/>
  <c r="A978"/>
  <c r="B978"/>
  <c r="C978"/>
  <c r="D978"/>
  <c r="E978"/>
  <c r="A992"/>
  <c r="B992"/>
  <c r="C992"/>
  <c r="D992"/>
  <c r="E992"/>
  <c r="A758"/>
  <c r="B758"/>
  <c r="C758"/>
  <c r="D758"/>
  <c r="E758"/>
  <c r="A753"/>
  <c r="B753"/>
  <c r="C753"/>
  <c r="D753"/>
  <c r="E753"/>
  <c r="A755"/>
  <c r="B755"/>
  <c r="C755"/>
  <c r="D755"/>
  <c r="E755"/>
  <c r="A688"/>
  <c r="B688"/>
  <c r="C688"/>
  <c r="D688"/>
  <c r="E688"/>
  <c r="A622"/>
  <c r="B622"/>
  <c r="C622"/>
  <c r="D622"/>
  <c r="E622"/>
  <c r="A590"/>
  <c r="B590"/>
  <c r="C590"/>
  <c r="D590"/>
  <c r="E590"/>
  <c r="A593"/>
  <c r="B593"/>
  <c r="C593"/>
  <c r="D593"/>
  <c r="E593"/>
  <c r="A595"/>
  <c r="B595"/>
  <c r="C595"/>
  <c r="D595"/>
  <c r="E595"/>
  <c r="A596"/>
  <c r="B596"/>
  <c r="C596"/>
  <c r="D596"/>
  <c r="E596"/>
  <c r="A597"/>
  <c r="B597"/>
  <c r="C597"/>
  <c r="D597"/>
  <c r="E597"/>
  <c r="A774"/>
  <c r="B774"/>
  <c r="C774"/>
  <c r="D774"/>
  <c r="E774"/>
  <c r="A763"/>
  <c r="B763"/>
  <c r="C763"/>
  <c r="D763"/>
  <c r="E763"/>
  <c r="A759"/>
  <c r="B759"/>
  <c r="C759"/>
  <c r="D759"/>
  <c r="E759"/>
  <c r="A743"/>
  <c r="B743"/>
  <c r="C743"/>
  <c r="D743"/>
  <c r="E743"/>
  <c r="A744"/>
  <c r="B744"/>
  <c r="C744"/>
  <c r="D744"/>
  <c r="E744"/>
  <c r="A745"/>
  <c r="B745"/>
  <c r="C745"/>
  <c r="D745"/>
  <c r="E745"/>
  <c r="A741"/>
  <c r="B741"/>
  <c r="C741"/>
  <c r="D741"/>
  <c r="E741"/>
  <c r="A732"/>
  <c r="B732"/>
  <c r="C732"/>
  <c r="D732"/>
  <c r="E732"/>
  <c r="A733"/>
  <c r="B733"/>
  <c r="C733"/>
  <c r="D733"/>
  <c r="E733"/>
  <c r="A760"/>
  <c r="B760"/>
  <c r="C760"/>
  <c r="D760"/>
  <c r="E760"/>
  <c r="A349"/>
  <c r="B349"/>
  <c r="C349"/>
  <c r="D349"/>
  <c r="E349"/>
  <c r="A303"/>
  <c r="B303"/>
  <c r="C303"/>
  <c r="D303"/>
  <c r="E303"/>
  <c r="A325"/>
  <c r="B325"/>
  <c r="C325"/>
  <c r="D325"/>
  <c r="E325"/>
  <c r="A326"/>
  <c r="B326"/>
  <c r="C326"/>
  <c r="D326"/>
  <c r="E326"/>
  <c r="A387"/>
  <c r="B387"/>
  <c r="C387"/>
  <c r="D387"/>
  <c r="E387"/>
  <c r="A388"/>
  <c r="B388"/>
  <c r="C388"/>
  <c r="D388"/>
  <c r="E388"/>
  <c r="A671"/>
  <c r="B671"/>
  <c r="C671"/>
  <c r="D671"/>
  <c r="E671"/>
  <c r="A771"/>
  <c r="B771"/>
  <c r="C771"/>
  <c r="D771"/>
  <c r="E771"/>
  <c r="A979"/>
  <c r="B979"/>
  <c r="C979"/>
  <c r="D979"/>
  <c r="E979"/>
  <c r="A976"/>
  <c r="B976"/>
  <c r="C976"/>
  <c r="D976"/>
  <c r="E976"/>
  <c r="A193"/>
  <c r="B193"/>
  <c r="C193"/>
  <c r="D193"/>
  <c r="E193"/>
  <c r="A302"/>
  <c r="B302"/>
  <c r="C302"/>
  <c r="D302"/>
  <c r="E302"/>
  <c r="A56"/>
  <c r="B56"/>
  <c r="C56"/>
  <c r="D56"/>
  <c r="E56"/>
  <c r="A28"/>
  <c r="B28"/>
  <c r="C28"/>
  <c r="D28"/>
  <c r="E28"/>
  <c r="A26"/>
  <c r="B26"/>
  <c r="C26"/>
  <c r="D26"/>
  <c r="E26"/>
  <c r="A22"/>
  <c r="B22"/>
  <c r="C22"/>
  <c r="D22"/>
  <c r="E22"/>
  <c r="A5"/>
  <c r="B5"/>
  <c r="C5"/>
  <c r="D5"/>
  <c r="E5"/>
  <c r="A6"/>
  <c r="B6"/>
  <c r="C6"/>
  <c r="D6"/>
  <c r="E6"/>
  <c r="A46"/>
  <c r="B46"/>
  <c r="C46"/>
  <c r="D46"/>
  <c r="E46"/>
  <c r="A37"/>
  <c r="B37"/>
  <c r="C37"/>
  <c r="D37"/>
  <c r="E37"/>
  <c r="A206"/>
  <c r="B206"/>
  <c r="C206"/>
  <c r="D206"/>
  <c r="E206"/>
  <c r="A205"/>
  <c r="B205"/>
  <c r="C205"/>
  <c r="D205"/>
  <c r="E205"/>
  <c r="A203"/>
  <c r="B203"/>
  <c r="C203"/>
  <c r="D203"/>
  <c r="E203"/>
  <c r="A187"/>
  <c r="B187"/>
  <c r="C187"/>
  <c r="D187"/>
  <c r="E187"/>
  <c r="A186"/>
  <c r="B186"/>
  <c r="C186"/>
  <c r="D186"/>
  <c r="E186"/>
  <c r="A183"/>
  <c r="B183"/>
  <c r="C183"/>
  <c r="D183"/>
  <c r="E183"/>
  <c r="A188"/>
  <c r="B188"/>
  <c r="C188"/>
  <c r="D188"/>
  <c r="E188"/>
  <c r="A190"/>
  <c r="B190"/>
  <c r="C190"/>
  <c r="D190"/>
  <c r="E190"/>
  <c r="A191"/>
  <c r="B191"/>
  <c r="C191"/>
  <c r="D191"/>
  <c r="E191"/>
  <c r="A192"/>
  <c r="B192"/>
  <c r="C192"/>
  <c r="D192"/>
  <c r="E192"/>
  <c r="A634"/>
  <c r="B634"/>
  <c r="C634"/>
  <c r="D634"/>
  <c r="E634"/>
  <c r="A635"/>
  <c r="B635"/>
  <c r="C635"/>
  <c r="D635"/>
  <c r="E635"/>
  <c r="A636"/>
  <c r="B636"/>
  <c r="C636"/>
  <c r="D636"/>
  <c r="E636"/>
  <c r="A637"/>
  <c r="B637"/>
  <c r="C637"/>
  <c r="D637"/>
  <c r="E637"/>
  <c r="A638"/>
  <c r="B638"/>
  <c r="C638"/>
  <c r="D638"/>
  <c r="E638"/>
  <c r="A201"/>
  <c r="B201"/>
  <c r="C201"/>
  <c r="D201"/>
  <c r="E201"/>
  <c r="A204"/>
  <c r="B204"/>
  <c r="C204"/>
  <c r="D204"/>
  <c r="E204"/>
  <c r="A234"/>
  <c r="B234"/>
  <c r="C234"/>
  <c r="D234"/>
  <c r="E234"/>
  <c r="A202"/>
  <c r="B202"/>
  <c r="C202"/>
  <c r="D202"/>
  <c r="E202"/>
  <c r="A207"/>
  <c r="B207"/>
  <c r="C207"/>
  <c r="D207"/>
  <c r="E207"/>
  <c r="A750"/>
  <c r="B750"/>
  <c r="C750"/>
  <c r="D750"/>
  <c r="E750"/>
  <c r="A873"/>
  <c r="B873"/>
  <c r="C873"/>
  <c r="D873"/>
  <c r="E873"/>
  <c r="A1004"/>
  <c r="B1004"/>
  <c r="C1004"/>
  <c r="D1004"/>
  <c r="E1004"/>
  <c r="A942"/>
  <c r="B942"/>
  <c r="C942"/>
  <c r="D942"/>
  <c r="E942"/>
  <c r="A955"/>
  <c r="B955"/>
  <c r="C955"/>
  <c r="D955"/>
  <c r="E955"/>
  <c r="A669"/>
  <c r="B669"/>
  <c r="C669"/>
  <c r="D669"/>
  <c r="E669"/>
  <c r="A658"/>
  <c r="B658"/>
  <c r="C658"/>
  <c r="D658"/>
  <c r="E658"/>
  <c r="A651"/>
  <c r="B651"/>
  <c r="C651"/>
  <c r="D651"/>
  <c r="E651"/>
  <c r="A632"/>
  <c r="B632"/>
  <c r="C632"/>
  <c r="D632"/>
  <c r="E632"/>
  <c r="A633"/>
  <c r="B633"/>
  <c r="C633"/>
  <c r="D633"/>
  <c r="E633"/>
  <c r="A336"/>
  <c r="B336"/>
  <c r="C336"/>
  <c r="D336"/>
  <c r="E336"/>
  <c r="A602"/>
  <c r="B602"/>
  <c r="C602"/>
  <c r="D602"/>
  <c r="E602"/>
  <c r="A569"/>
  <c r="B569"/>
  <c r="C569"/>
  <c r="D569"/>
  <c r="E569"/>
  <c r="A465"/>
  <c r="B465"/>
  <c r="C465"/>
  <c r="D465"/>
  <c r="E465"/>
  <c r="A175"/>
  <c r="B175"/>
  <c r="C175"/>
  <c r="D175"/>
  <c r="E175"/>
  <c r="A176"/>
  <c r="B176"/>
  <c r="C176"/>
  <c r="D176"/>
  <c r="E176"/>
  <c r="A233"/>
  <c r="B233"/>
  <c r="C233"/>
  <c r="D233"/>
  <c r="E233"/>
  <c r="A653"/>
  <c r="B653"/>
  <c r="C653"/>
  <c r="D653"/>
  <c r="E653"/>
  <c r="A654"/>
  <c r="B654"/>
  <c r="C654"/>
  <c r="D654"/>
  <c r="E654"/>
  <c r="A718"/>
  <c r="B718"/>
  <c r="C718"/>
  <c r="D718"/>
  <c r="E718"/>
  <c r="A647"/>
  <c r="B647"/>
  <c r="C647"/>
  <c r="D647"/>
  <c r="E647"/>
  <c r="A648"/>
  <c r="B648"/>
  <c r="C648"/>
  <c r="D648"/>
  <c r="E648"/>
  <c r="A369"/>
  <c r="B369"/>
  <c r="C369"/>
  <c r="D369"/>
  <c r="E369"/>
  <c r="A371"/>
  <c r="B371"/>
  <c r="C371"/>
  <c r="D371"/>
  <c r="E371"/>
  <c r="A372"/>
  <c r="B372"/>
  <c r="C372"/>
  <c r="D372"/>
  <c r="E372"/>
  <c r="A391"/>
  <c r="B391"/>
  <c r="C391"/>
  <c r="D391"/>
  <c r="E391"/>
  <c r="A455"/>
  <c r="B455"/>
  <c r="C455"/>
  <c r="D455"/>
  <c r="E455"/>
  <c r="A456"/>
  <c r="B456"/>
  <c r="C456"/>
  <c r="D456"/>
  <c r="E456"/>
  <c r="A365"/>
  <c r="B365"/>
  <c r="C365"/>
  <c r="D365"/>
  <c r="E365"/>
  <c r="A338"/>
  <c r="B338"/>
  <c r="C338"/>
  <c r="D338"/>
  <c r="E338"/>
  <c r="A993"/>
  <c r="B993"/>
  <c r="C993"/>
  <c r="D993"/>
  <c r="E993"/>
  <c r="A987"/>
  <c r="B987"/>
  <c r="C987"/>
  <c r="D987"/>
  <c r="E987"/>
  <c r="A990"/>
  <c r="B990"/>
  <c r="C990"/>
  <c r="D990"/>
  <c r="E990"/>
  <c r="A991"/>
  <c r="B991"/>
  <c r="C991"/>
  <c r="D991"/>
  <c r="E991"/>
  <c r="A642"/>
  <c r="B642"/>
  <c r="C642"/>
  <c r="D642"/>
  <c r="E642"/>
  <c r="A643"/>
  <c r="B643"/>
  <c r="C643"/>
  <c r="D643"/>
  <c r="E643"/>
  <c r="A644"/>
  <c r="B644"/>
  <c r="C644"/>
  <c r="D644"/>
  <c r="E644"/>
  <c r="A645"/>
  <c r="B645"/>
  <c r="C645"/>
  <c r="D645"/>
  <c r="E645"/>
  <c r="A646"/>
  <c r="B646"/>
  <c r="C646"/>
  <c r="D646"/>
  <c r="E646"/>
  <c r="A649"/>
  <c r="B649"/>
  <c r="C649"/>
  <c r="D649"/>
  <c r="E649"/>
  <c r="A512"/>
  <c r="B512"/>
  <c r="C512"/>
  <c r="D512"/>
  <c r="E512"/>
  <c r="A523"/>
  <c r="B523"/>
  <c r="C523"/>
  <c r="D523"/>
  <c r="E523"/>
  <c r="A524"/>
  <c r="B524"/>
  <c r="C524"/>
  <c r="D524"/>
  <c r="E524"/>
  <c r="A509"/>
  <c r="B509"/>
  <c r="C509"/>
  <c r="D509"/>
  <c r="E509"/>
  <c r="A577"/>
  <c r="B577"/>
  <c r="C577"/>
  <c r="D577"/>
  <c r="E577"/>
  <c r="A606"/>
  <c r="B606"/>
  <c r="C606"/>
  <c r="D606"/>
  <c r="E606"/>
  <c r="A885"/>
  <c r="B885"/>
  <c r="C885"/>
  <c r="D885"/>
  <c r="E885"/>
  <c r="A977"/>
  <c r="B977"/>
  <c r="C977"/>
  <c r="D977"/>
  <c r="E977"/>
  <c r="A982"/>
  <c r="B982"/>
  <c r="C982"/>
  <c r="D982"/>
  <c r="E982"/>
  <c r="A985"/>
  <c r="B985"/>
  <c r="C985"/>
  <c r="D985"/>
  <c r="E985"/>
  <c r="A167"/>
  <c r="B167"/>
  <c r="C167"/>
  <c r="D167"/>
  <c r="E167"/>
  <c r="A165"/>
  <c r="B165"/>
  <c r="C165"/>
  <c r="D165"/>
  <c r="E165"/>
  <c r="A268"/>
  <c r="B268"/>
  <c r="C268"/>
  <c r="D268"/>
  <c r="E268"/>
  <c r="A259"/>
  <c r="B259"/>
  <c r="C259"/>
  <c r="D259"/>
  <c r="E259"/>
  <c r="A286"/>
  <c r="B286"/>
  <c r="C286"/>
  <c r="D286"/>
  <c r="E286"/>
  <c r="A935"/>
  <c r="B935"/>
  <c r="C935"/>
  <c r="D935"/>
  <c r="E935"/>
  <c r="A930"/>
  <c r="B930"/>
  <c r="C930"/>
  <c r="D930"/>
  <c r="E930"/>
  <c r="A185"/>
  <c r="B185"/>
  <c r="C185"/>
  <c r="D185"/>
  <c r="E185"/>
  <c r="A14"/>
  <c r="B14"/>
  <c r="C14"/>
  <c r="D14"/>
  <c r="E14"/>
  <c r="A358"/>
  <c r="B358"/>
  <c r="C358"/>
  <c r="D358"/>
  <c r="E358"/>
  <c r="A146"/>
  <c r="B146"/>
  <c r="C146"/>
  <c r="D146"/>
  <c r="E146"/>
  <c r="A85"/>
  <c r="B85"/>
  <c r="C85"/>
  <c r="D85"/>
  <c r="E85"/>
  <c r="A107"/>
  <c r="B107"/>
  <c r="C107"/>
  <c r="D107"/>
  <c r="E107"/>
  <c r="A99"/>
  <c r="B99"/>
  <c r="C99"/>
  <c r="D99"/>
  <c r="E99"/>
  <c r="A111"/>
  <c r="B111"/>
  <c r="C111"/>
  <c r="D111"/>
  <c r="E111"/>
  <c r="A121"/>
  <c r="B121"/>
  <c r="C121"/>
  <c r="D121"/>
  <c r="E121"/>
  <c r="A168"/>
  <c r="B168"/>
  <c r="C168"/>
  <c r="D168"/>
  <c r="E168"/>
  <c r="A88"/>
  <c r="B88"/>
  <c r="C88"/>
  <c r="D88"/>
  <c r="E88"/>
  <c r="A159"/>
  <c r="B159"/>
  <c r="C159"/>
  <c r="D159"/>
  <c r="E159"/>
  <c r="A109"/>
  <c r="B109"/>
  <c r="C109"/>
  <c r="D109"/>
  <c r="E109"/>
  <c r="A431"/>
  <c r="B431"/>
  <c r="C431"/>
  <c r="D431"/>
  <c r="E431"/>
  <c r="A423"/>
  <c r="B423"/>
  <c r="C423"/>
  <c r="D423"/>
  <c r="E423"/>
  <c r="A421"/>
  <c r="B421"/>
  <c r="C421"/>
  <c r="D421"/>
  <c r="E421"/>
  <c r="A408"/>
  <c r="B408"/>
  <c r="C408"/>
  <c r="D408"/>
  <c r="E408"/>
  <c r="A418"/>
  <c r="B418"/>
  <c r="C418"/>
  <c r="D418"/>
  <c r="E418"/>
  <c r="A139"/>
  <c r="B139"/>
  <c r="C139"/>
  <c r="D139"/>
  <c r="E139"/>
  <c r="A151"/>
  <c r="B151"/>
  <c r="C151"/>
  <c r="D151"/>
  <c r="E151"/>
  <c r="A113"/>
  <c r="B113"/>
  <c r="C113"/>
  <c r="D113"/>
  <c r="E113"/>
  <c r="A101"/>
  <c r="B101"/>
  <c r="C101"/>
  <c r="D101"/>
  <c r="E101"/>
  <c r="A83"/>
  <c r="B83"/>
  <c r="C83"/>
  <c r="D83"/>
  <c r="E83"/>
  <c r="A479"/>
  <c r="B479"/>
  <c r="C479"/>
  <c r="D479"/>
  <c r="E479"/>
  <c r="A497"/>
  <c r="B497"/>
  <c r="C497"/>
  <c r="D497"/>
  <c r="E497"/>
  <c r="A255"/>
  <c r="B255"/>
  <c r="C255"/>
  <c r="D255"/>
  <c r="E255"/>
  <c r="A405"/>
  <c r="B405"/>
  <c r="C405"/>
  <c r="D405"/>
  <c r="E405"/>
  <c r="A416"/>
  <c r="B416"/>
  <c r="C416"/>
  <c r="D416"/>
  <c r="E416"/>
  <c r="A411"/>
  <c r="B411"/>
  <c r="C411"/>
  <c r="D411"/>
  <c r="E411"/>
  <c r="A412"/>
  <c r="B412"/>
  <c r="C412"/>
  <c r="D412"/>
  <c r="E412"/>
  <c r="A441"/>
  <c r="B441"/>
  <c r="C441"/>
  <c r="D441"/>
  <c r="E441"/>
  <c r="A447"/>
  <c r="B447"/>
  <c r="C447"/>
  <c r="D447"/>
  <c r="E447"/>
  <c r="A445"/>
  <c r="B445"/>
  <c r="C445"/>
  <c r="D445"/>
  <c r="E445"/>
  <c r="A697"/>
  <c r="B697"/>
  <c r="C697"/>
  <c r="D697"/>
  <c r="E697"/>
  <c r="A827"/>
  <c r="B827"/>
  <c r="C827"/>
  <c r="D827"/>
  <c r="E827"/>
  <c r="A794"/>
  <c r="B794"/>
  <c r="C794"/>
  <c r="D794"/>
  <c r="E794"/>
  <c r="A795"/>
  <c r="B795"/>
  <c r="C795"/>
  <c r="D795"/>
  <c r="E795"/>
  <c r="A790"/>
  <c r="B790"/>
  <c r="C790"/>
  <c r="D790"/>
  <c r="E790"/>
  <c r="A802"/>
  <c r="B802"/>
  <c r="C802"/>
  <c r="D802"/>
  <c r="E802"/>
  <c r="A797"/>
  <c r="B797"/>
  <c r="C797"/>
  <c r="D797"/>
  <c r="E797"/>
  <c r="A963"/>
  <c r="B963"/>
  <c r="C963"/>
  <c r="D963"/>
  <c r="E963"/>
  <c r="A476"/>
  <c r="B476"/>
  <c r="C476"/>
  <c r="D476"/>
  <c r="E476"/>
  <c r="A486"/>
  <c r="B486"/>
  <c r="C486"/>
  <c r="D486"/>
  <c r="E486"/>
  <c r="A1057"/>
  <c r="B1057"/>
  <c r="C1057"/>
  <c r="D1057"/>
  <c r="E1057"/>
  <c r="A1043"/>
  <c r="B1043"/>
  <c r="C1043"/>
  <c r="D1043"/>
  <c r="E1043"/>
  <c r="A1055"/>
  <c r="B1055"/>
  <c r="C1055"/>
  <c r="D1055"/>
  <c r="E1055"/>
  <c r="A1067"/>
  <c r="B1067"/>
  <c r="C1067"/>
  <c r="D1067"/>
  <c r="E1067"/>
  <c r="A591"/>
  <c r="B591"/>
  <c r="C591"/>
  <c r="D591"/>
  <c r="E591"/>
  <c r="A690"/>
  <c r="B690"/>
  <c r="C690"/>
  <c r="D690"/>
  <c r="E690"/>
  <c r="A677"/>
  <c r="B677"/>
  <c r="C677"/>
  <c r="D677"/>
  <c r="E677"/>
  <c r="A702"/>
  <c r="B702"/>
  <c r="C702"/>
  <c r="D702"/>
  <c r="E702"/>
  <c r="A695"/>
  <c r="B695"/>
  <c r="C695"/>
  <c r="D695"/>
  <c r="E695"/>
  <c r="A696"/>
  <c r="B696"/>
  <c r="C696"/>
  <c r="D696"/>
  <c r="E696"/>
  <c r="A1046"/>
  <c r="B1046"/>
  <c r="C1046"/>
  <c r="D1046"/>
  <c r="E1046"/>
  <c r="A1047"/>
  <c r="B1047"/>
  <c r="C1047"/>
  <c r="D1047"/>
  <c r="E1047"/>
  <c r="A1048"/>
  <c r="B1048"/>
  <c r="C1048"/>
  <c r="D1048"/>
  <c r="E1048"/>
  <c r="A1049"/>
  <c r="B1049"/>
  <c r="C1049"/>
  <c r="D1049"/>
  <c r="E1049"/>
  <c r="A1050"/>
  <c r="B1050"/>
  <c r="C1050"/>
  <c r="D1050"/>
  <c r="E1050"/>
  <c r="A1051"/>
  <c r="B1051"/>
  <c r="C1051"/>
  <c r="D1051"/>
  <c r="E1051"/>
  <c r="A1052"/>
  <c r="B1052"/>
  <c r="C1052"/>
  <c r="D1052"/>
  <c r="E1052"/>
  <c r="A1053"/>
  <c r="B1053"/>
  <c r="C1053"/>
  <c r="D1053"/>
  <c r="E1053"/>
  <c r="A1054"/>
  <c r="B1054"/>
  <c r="C1054"/>
  <c r="D1054"/>
  <c r="E1054"/>
  <c r="A1056"/>
  <c r="B1056"/>
  <c r="C1056"/>
  <c r="D1056"/>
  <c r="E1056"/>
  <c r="A1034"/>
  <c r="B1034"/>
  <c r="C1034"/>
  <c r="D1034"/>
  <c r="E1034"/>
  <c r="A1035"/>
  <c r="B1035"/>
  <c r="C1035"/>
  <c r="D1035"/>
  <c r="E1035"/>
  <c r="A1036"/>
  <c r="B1036"/>
  <c r="C1036"/>
  <c r="D1036"/>
  <c r="E1036"/>
  <c r="A1037"/>
  <c r="B1037"/>
  <c r="C1037"/>
  <c r="D1037"/>
  <c r="E1037"/>
  <c r="A1038"/>
  <c r="B1038"/>
  <c r="C1038"/>
  <c r="D1038"/>
  <c r="E1038"/>
  <c r="A1039"/>
  <c r="B1039"/>
  <c r="C1039"/>
  <c r="D1039"/>
  <c r="E1039"/>
  <c r="A1040"/>
  <c r="B1040"/>
  <c r="C1040"/>
  <c r="D1040"/>
  <c r="E1040"/>
  <c r="A1041"/>
  <c r="B1041"/>
  <c r="C1041"/>
  <c r="D1041"/>
  <c r="E1041"/>
  <c r="A1042"/>
  <c r="B1042"/>
  <c r="C1042"/>
  <c r="D1042"/>
  <c r="E1042"/>
  <c r="A1045"/>
  <c r="B1045"/>
  <c r="C1045"/>
  <c r="D1045"/>
  <c r="E1045"/>
  <c r="A1024"/>
  <c r="B1024"/>
  <c r="C1024"/>
  <c r="D1024"/>
  <c r="E1024"/>
  <c r="A1025"/>
  <c r="B1025"/>
  <c r="C1025"/>
  <c r="D1025"/>
  <c r="E1025"/>
  <c r="A1026"/>
  <c r="B1026"/>
  <c r="C1026"/>
  <c r="D1026"/>
  <c r="E1026"/>
  <c r="A1027"/>
  <c r="B1027"/>
  <c r="C1027"/>
  <c r="D1027"/>
  <c r="E1027"/>
  <c r="A1028"/>
  <c r="B1028"/>
  <c r="C1028"/>
  <c r="D1028"/>
  <c r="E1028"/>
  <c r="A1029"/>
  <c r="B1029"/>
  <c r="C1029"/>
  <c r="D1029"/>
  <c r="E1029"/>
  <c r="A1030"/>
  <c r="B1030"/>
  <c r="C1030"/>
  <c r="D1030"/>
  <c r="E1030"/>
  <c r="A1031"/>
  <c r="B1031"/>
  <c r="C1031"/>
  <c r="D1031"/>
  <c r="E1031"/>
  <c r="A1032"/>
  <c r="B1032"/>
  <c r="C1032"/>
  <c r="D1032"/>
  <c r="E1032"/>
  <c r="A1033"/>
  <c r="B1033"/>
  <c r="C1033"/>
  <c r="D1033"/>
  <c r="E1033"/>
  <c r="A1014"/>
  <c r="B1014"/>
  <c r="C1014"/>
  <c r="D1014"/>
  <c r="E1014"/>
  <c r="A1015"/>
  <c r="B1015"/>
  <c r="C1015"/>
  <c r="D1015"/>
  <c r="E1015"/>
  <c r="A1016"/>
  <c r="B1016"/>
  <c r="C1016"/>
  <c r="D1016"/>
  <c r="E1016"/>
  <c r="A1017"/>
  <c r="B1017"/>
  <c r="C1017"/>
  <c r="D1017"/>
  <c r="E1017"/>
  <c r="A1018"/>
  <c r="B1018"/>
  <c r="C1018"/>
  <c r="D1018"/>
  <c r="E1018"/>
  <c r="A1019"/>
  <c r="B1019"/>
  <c r="C1019"/>
  <c r="D1019"/>
  <c r="E1019"/>
  <c r="A1020"/>
  <c r="B1020"/>
  <c r="C1020"/>
  <c r="D1020"/>
  <c r="E1020"/>
  <c r="A1021"/>
  <c r="B1021"/>
  <c r="C1021"/>
  <c r="D1021"/>
  <c r="E1021"/>
  <c r="A1022"/>
  <c r="B1022"/>
  <c r="C1022"/>
  <c r="D1022"/>
  <c r="E1022"/>
  <c r="A1023"/>
  <c r="B1023"/>
  <c r="C1023"/>
  <c r="D1023"/>
  <c r="E1023"/>
  <c r="A560"/>
  <c r="B560"/>
  <c r="C560"/>
  <c r="D560"/>
  <c r="E560"/>
  <c r="A1044"/>
  <c r="B1044"/>
  <c r="C1044"/>
  <c r="D1044"/>
  <c r="E1044"/>
  <c r="A973"/>
  <c r="B973"/>
  <c r="C973"/>
  <c r="D973"/>
  <c r="E973"/>
  <c r="A1007"/>
  <c r="B1007"/>
  <c r="C1007"/>
  <c r="D1007"/>
  <c r="E1007"/>
  <c r="A1008"/>
  <c r="B1008"/>
  <c r="C1008"/>
  <c r="D1008"/>
  <c r="E1008"/>
  <c r="A1009"/>
  <c r="B1009"/>
  <c r="C1009"/>
  <c r="D1009"/>
  <c r="E1009"/>
  <c r="A1010"/>
  <c r="B1010"/>
  <c r="C1010"/>
  <c r="D1010"/>
  <c r="E1010"/>
  <c r="A1011"/>
  <c r="B1011"/>
  <c r="C1011"/>
  <c r="D1011"/>
  <c r="E1011"/>
  <c r="A1012"/>
  <c r="B1012"/>
  <c r="C1012"/>
  <c r="D1012"/>
  <c r="E1012"/>
  <c r="A1013"/>
  <c r="B1013"/>
  <c r="C1013"/>
  <c r="D1013"/>
  <c r="E1013"/>
  <c r="A939"/>
  <c r="B939"/>
  <c r="C939"/>
  <c r="D939"/>
  <c r="E939"/>
  <c r="A940"/>
  <c r="B940"/>
  <c r="C940"/>
  <c r="D940"/>
  <c r="E940"/>
  <c r="A941"/>
  <c r="B941"/>
  <c r="C941"/>
  <c r="D941"/>
  <c r="E941"/>
  <c r="A932"/>
  <c r="B932"/>
  <c r="C932"/>
  <c r="D932"/>
  <c r="E932"/>
  <c r="A933"/>
  <c r="B933"/>
  <c r="C933"/>
  <c r="D933"/>
  <c r="E933"/>
  <c r="A934"/>
  <c r="B934"/>
  <c r="C934"/>
  <c r="D934"/>
  <c r="E934"/>
  <c r="A972"/>
  <c r="B972"/>
  <c r="C972"/>
  <c r="D972"/>
  <c r="E972"/>
  <c r="A999"/>
  <c r="B999"/>
  <c r="C999"/>
  <c r="D999"/>
  <c r="E999"/>
  <c r="A130"/>
  <c r="B130"/>
  <c r="C130"/>
  <c r="D130"/>
  <c r="E130"/>
  <c r="A382"/>
  <c r="B382"/>
  <c r="C382"/>
  <c r="D382"/>
  <c r="E382"/>
  <c r="A868"/>
  <c r="B868"/>
  <c r="C868"/>
  <c r="D868"/>
  <c r="E868"/>
  <c r="A869"/>
  <c r="B869"/>
  <c r="C869"/>
  <c r="D869"/>
  <c r="E869"/>
  <c r="A870"/>
  <c r="B870"/>
  <c r="C870"/>
  <c r="D870"/>
  <c r="E870"/>
  <c r="A871"/>
  <c r="B871"/>
  <c r="C871"/>
  <c r="D871"/>
  <c r="E871"/>
  <c r="A872"/>
  <c r="B872"/>
  <c r="C872"/>
  <c r="D872"/>
  <c r="E872"/>
  <c r="A952"/>
  <c r="B952"/>
  <c r="C952"/>
  <c r="D952"/>
  <c r="E952"/>
  <c r="A953"/>
  <c r="B953"/>
  <c r="C953"/>
  <c r="D953"/>
  <c r="E953"/>
  <c r="A936"/>
  <c r="B936"/>
  <c r="C936"/>
  <c r="D936"/>
  <c r="E936"/>
  <c r="A937"/>
  <c r="B937"/>
  <c r="C937"/>
  <c r="D937"/>
  <c r="E937"/>
  <c r="A938"/>
  <c r="B938"/>
  <c r="C938"/>
  <c r="D938"/>
  <c r="E938"/>
  <c r="A858"/>
  <c r="B858"/>
  <c r="C858"/>
  <c r="D858"/>
  <c r="E858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4"/>
  <c r="B864"/>
  <c r="C864"/>
  <c r="D864"/>
  <c r="E864"/>
  <c r="A865"/>
  <c r="B865"/>
  <c r="C865"/>
  <c r="D865"/>
  <c r="E865"/>
  <c r="A866"/>
  <c r="B866"/>
  <c r="C866"/>
  <c r="D866"/>
  <c r="E866"/>
  <c r="A867"/>
  <c r="B867"/>
  <c r="C867"/>
  <c r="D867"/>
  <c r="E867"/>
  <c r="A841"/>
  <c r="B841"/>
  <c r="C841"/>
  <c r="D841"/>
  <c r="E841"/>
  <c r="A842"/>
  <c r="B842"/>
  <c r="C842"/>
  <c r="D842"/>
  <c r="E842"/>
  <c r="A850"/>
  <c r="B850"/>
  <c r="C850"/>
  <c r="D850"/>
  <c r="E850"/>
  <c r="A851"/>
  <c r="B851"/>
  <c r="C851"/>
  <c r="D851"/>
  <c r="E851"/>
  <c r="A852"/>
  <c r="B852"/>
  <c r="C852"/>
  <c r="D852"/>
  <c r="E852"/>
  <c r="A853"/>
  <c r="B853"/>
  <c r="C853"/>
  <c r="D853"/>
  <c r="E853"/>
  <c r="A854"/>
  <c r="B854"/>
  <c r="C854"/>
  <c r="D854"/>
  <c r="E854"/>
  <c r="A855"/>
  <c r="B855"/>
  <c r="C855"/>
  <c r="D855"/>
  <c r="E855"/>
  <c r="A856"/>
  <c r="B856"/>
  <c r="C856"/>
  <c r="D856"/>
  <c r="E856"/>
  <c r="A857"/>
  <c r="B857"/>
  <c r="C857"/>
  <c r="D857"/>
  <c r="E857"/>
  <c r="A830"/>
  <c r="B830"/>
  <c r="C830"/>
  <c r="D830"/>
  <c r="E830"/>
  <c r="A831"/>
  <c r="B831"/>
  <c r="C831"/>
  <c r="D831"/>
  <c r="E831"/>
  <c r="A832"/>
  <c r="B832"/>
  <c r="C832"/>
  <c r="D832"/>
  <c r="E832"/>
  <c r="A833"/>
  <c r="B833"/>
  <c r="C833"/>
  <c r="D833"/>
  <c r="E833"/>
  <c r="A835"/>
  <c r="B835"/>
  <c r="C835"/>
  <c r="D835"/>
  <c r="E835"/>
  <c r="A836"/>
  <c r="B836"/>
  <c r="C836"/>
  <c r="D836"/>
  <c r="E836"/>
  <c r="A837"/>
  <c r="B837"/>
  <c r="C837"/>
  <c r="D837"/>
  <c r="E837"/>
  <c r="A838"/>
  <c r="B838"/>
  <c r="C838"/>
  <c r="D838"/>
  <c r="E838"/>
  <c r="A839"/>
  <c r="B839"/>
  <c r="C839"/>
  <c r="D839"/>
  <c r="E839"/>
  <c r="A840"/>
  <c r="B840"/>
  <c r="C840"/>
  <c r="D840"/>
  <c r="E840"/>
  <c r="A809"/>
  <c r="B809"/>
  <c r="C809"/>
  <c r="D809"/>
  <c r="E809"/>
  <c r="A810"/>
  <c r="B810"/>
  <c r="C810"/>
  <c r="D810"/>
  <c r="E810"/>
  <c r="A811"/>
  <c r="B811"/>
  <c r="C811"/>
  <c r="D811"/>
  <c r="E811"/>
  <c r="A844"/>
  <c r="B844"/>
  <c r="C844"/>
  <c r="D844"/>
  <c r="E844"/>
  <c r="A845"/>
  <c r="B845"/>
  <c r="C845"/>
  <c r="D845"/>
  <c r="E845"/>
  <c r="A846"/>
  <c r="B846"/>
  <c r="C846"/>
  <c r="D846"/>
  <c r="E846"/>
  <c r="A847"/>
  <c r="B847"/>
  <c r="C847"/>
  <c r="D847"/>
  <c r="E847"/>
  <c r="A848"/>
  <c r="B848"/>
  <c r="C848"/>
  <c r="D848"/>
  <c r="E848"/>
  <c r="A828"/>
  <c r="B828"/>
  <c r="C828"/>
  <c r="D828"/>
  <c r="E828"/>
  <c r="A829"/>
  <c r="B829"/>
  <c r="C829"/>
  <c r="D829"/>
  <c r="E829"/>
  <c r="A826"/>
  <c r="B826"/>
  <c r="C826"/>
  <c r="D826"/>
  <c r="E826"/>
  <c r="A823"/>
  <c r="B823"/>
  <c r="C823"/>
  <c r="D823"/>
  <c r="E823"/>
  <c r="A824"/>
  <c r="B824"/>
  <c r="C824"/>
  <c r="D824"/>
  <c r="E824"/>
  <c r="A814"/>
  <c r="B814"/>
  <c r="C814"/>
  <c r="D814"/>
  <c r="E814"/>
  <c r="A815"/>
  <c r="B815"/>
  <c r="C815"/>
  <c r="D815"/>
  <c r="E815"/>
  <c r="A816"/>
  <c r="B816"/>
  <c r="C816"/>
  <c r="D816"/>
  <c r="E816"/>
  <c r="A817"/>
  <c r="B817"/>
  <c r="C817"/>
  <c r="D817"/>
  <c r="E817"/>
  <c r="A818"/>
  <c r="B818"/>
  <c r="C818"/>
  <c r="D818"/>
  <c r="E818"/>
  <c r="A807"/>
  <c r="B807"/>
  <c r="C807"/>
  <c r="D807"/>
  <c r="E807"/>
  <c r="A808"/>
  <c r="B808"/>
  <c r="C808"/>
  <c r="D808"/>
  <c r="E808"/>
  <c r="A541"/>
  <c r="B541"/>
  <c r="C541"/>
  <c r="D541"/>
  <c r="E541"/>
  <c r="A394"/>
  <c r="B394"/>
  <c r="C394"/>
  <c r="D394"/>
  <c r="E394"/>
  <c r="A223"/>
  <c r="B223"/>
  <c r="C223"/>
  <c r="D223"/>
  <c r="E223"/>
  <c r="A199"/>
  <c r="B199"/>
  <c r="C199"/>
  <c r="D199"/>
  <c r="E199"/>
  <c r="A222"/>
  <c r="B222"/>
  <c r="C222"/>
  <c r="D222"/>
  <c r="E222"/>
  <c r="A221"/>
  <c r="B221"/>
  <c r="C221"/>
  <c r="D221"/>
  <c r="E221"/>
  <c r="A767"/>
  <c r="B767"/>
  <c r="C767"/>
  <c r="D767"/>
  <c r="E767"/>
  <c r="A705"/>
  <c r="B705"/>
  <c r="C705"/>
  <c r="D705"/>
  <c r="E705"/>
  <c r="A820"/>
  <c r="B820"/>
  <c r="C820"/>
  <c r="D820"/>
  <c r="E820"/>
  <c r="A821"/>
  <c r="B821"/>
  <c r="C821"/>
  <c r="D821"/>
  <c r="E821"/>
  <c r="A703"/>
  <c r="B703"/>
  <c r="C703"/>
  <c r="D703"/>
  <c r="E703"/>
  <c r="A681"/>
  <c r="B681"/>
  <c r="C681"/>
  <c r="D681"/>
  <c r="E681"/>
  <c r="A682"/>
  <c r="B682"/>
  <c r="C682"/>
  <c r="D682"/>
  <c r="E682"/>
  <c r="A676"/>
  <c r="B676"/>
  <c r="C676"/>
  <c r="D676"/>
  <c r="E676"/>
  <c r="A686"/>
  <c r="B686"/>
  <c r="C686"/>
  <c r="D686"/>
  <c r="E686"/>
  <c r="A957"/>
  <c r="B957"/>
  <c r="C957"/>
  <c r="D957"/>
  <c r="E957"/>
  <c r="A849"/>
  <c r="B849"/>
  <c r="C849"/>
  <c r="D849"/>
  <c r="E849"/>
  <c r="A491"/>
  <c r="B491"/>
  <c r="C491"/>
  <c r="D491"/>
  <c r="E491"/>
  <c r="A469"/>
  <c r="B469"/>
  <c r="C469"/>
  <c r="D469"/>
  <c r="E469"/>
  <c r="A473"/>
  <c r="B473"/>
  <c r="C473"/>
  <c r="D473"/>
  <c r="E473"/>
  <c r="A786"/>
  <c r="B786"/>
  <c r="C786"/>
  <c r="D786"/>
  <c r="E786"/>
  <c r="A572"/>
  <c r="B572"/>
  <c r="C572"/>
  <c r="D572"/>
  <c r="E572"/>
  <c r="A573"/>
  <c r="B573"/>
  <c r="C573"/>
  <c r="D573"/>
  <c r="E573"/>
  <c r="A574"/>
  <c r="B574"/>
  <c r="C574"/>
  <c r="D574"/>
  <c r="E574"/>
  <c r="A395"/>
  <c r="B395"/>
  <c r="C395"/>
  <c r="D395"/>
  <c r="E395"/>
  <c r="A468"/>
  <c r="B468"/>
  <c r="C468"/>
  <c r="D468"/>
  <c r="E468"/>
  <c r="A490"/>
  <c r="B490"/>
  <c r="C490"/>
  <c r="D490"/>
  <c r="E490"/>
  <c r="A715"/>
  <c r="B715"/>
  <c r="C715"/>
  <c r="D715"/>
  <c r="E715"/>
  <c r="A710"/>
  <c r="B710"/>
  <c r="C710"/>
  <c r="D710"/>
  <c r="E710"/>
  <c r="A712"/>
  <c r="B712"/>
  <c r="C712"/>
  <c r="D712"/>
  <c r="E712"/>
  <c r="A462"/>
  <c r="B462"/>
  <c r="C462"/>
  <c r="D462"/>
  <c r="E462"/>
  <c r="A67"/>
  <c r="B67"/>
  <c r="C67"/>
  <c r="D67"/>
  <c r="E67"/>
  <c r="A132"/>
  <c r="B132"/>
  <c r="C132"/>
  <c r="D132"/>
  <c r="E132"/>
  <c r="A679"/>
  <c r="B679"/>
  <c r="C679"/>
  <c r="D679"/>
  <c r="E679"/>
  <c r="A701"/>
  <c r="B701"/>
  <c r="C701"/>
  <c r="D701"/>
  <c r="E701"/>
  <c r="A700"/>
  <c r="B700"/>
  <c r="C700"/>
  <c r="D700"/>
  <c r="E700"/>
  <c r="A709"/>
  <c r="B709"/>
  <c r="C709"/>
  <c r="D709"/>
  <c r="E709"/>
  <c r="A714"/>
  <c r="B714"/>
  <c r="C714"/>
  <c r="D714"/>
  <c r="E714"/>
  <c r="A739"/>
  <c r="B739"/>
  <c r="C739"/>
  <c r="D739"/>
  <c r="E739"/>
  <c r="A805"/>
  <c r="B805"/>
  <c r="C805"/>
  <c r="D805"/>
  <c r="E805"/>
  <c r="A331"/>
  <c r="B331"/>
  <c r="C331"/>
  <c r="D331"/>
  <c r="E331"/>
  <c r="A396"/>
  <c r="B396"/>
  <c r="C396"/>
  <c r="D396"/>
  <c r="E396"/>
  <c r="A392"/>
  <c r="B392"/>
  <c r="C392"/>
  <c r="D392"/>
  <c r="E392"/>
  <c r="A425"/>
  <c r="B425"/>
  <c r="C425"/>
  <c r="D425"/>
  <c r="E425"/>
  <c r="A434"/>
  <c r="B434"/>
  <c r="C434"/>
  <c r="D434"/>
  <c r="E434"/>
  <c r="A436"/>
  <c r="B436"/>
  <c r="C436"/>
  <c r="D436"/>
  <c r="E436"/>
  <c r="A534"/>
  <c r="B534"/>
  <c r="C534"/>
  <c r="D534"/>
  <c r="E534"/>
  <c r="A482"/>
  <c r="B482"/>
  <c r="C482"/>
  <c r="D482"/>
  <c r="E482"/>
  <c r="A487"/>
  <c r="B487"/>
  <c r="C487"/>
  <c r="D487"/>
  <c r="E487"/>
  <c r="A475"/>
  <c r="B475"/>
  <c r="C475"/>
  <c r="D475"/>
  <c r="E475"/>
  <c r="A57"/>
  <c r="B57"/>
  <c r="C57"/>
  <c r="D57"/>
  <c r="E57"/>
  <c r="A115"/>
  <c r="B115"/>
  <c r="C115"/>
  <c r="D115"/>
  <c r="E115"/>
  <c r="A959"/>
  <c r="B959"/>
  <c r="C959"/>
  <c r="D959"/>
  <c r="E959"/>
  <c r="A970"/>
  <c r="B970"/>
  <c r="C970"/>
  <c r="D970"/>
  <c r="E970"/>
  <c r="A880"/>
  <c r="B880"/>
  <c r="C880"/>
  <c r="D880"/>
  <c r="E880"/>
  <c r="A876"/>
  <c r="B876"/>
  <c r="C876"/>
  <c r="D876"/>
  <c r="E876"/>
  <c r="A656"/>
  <c r="B656"/>
  <c r="C656"/>
  <c r="D656"/>
  <c r="E656"/>
  <c r="A630"/>
  <c r="B630"/>
  <c r="C630"/>
  <c r="D630"/>
  <c r="E630"/>
  <c r="A639"/>
  <c r="B639"/>
  <c r="C639"/>
  <c r="D639"/>
  <c r="E639"/>
  <c r="A333"/>
  <c r="B333"/>
  <c r="C333"/>
  <c r="D333"/>
  <c r="E333"/>
  <c r="A581"/>
  <c r="B581"/>
  <c r="C581"/>
  <c r="D581"/>
  <c r="E581"/>
  <c r="A587"/>
  <c r="B587"/>
  <c r="C587"/>
  <c r="D587"/>
  <c r="E587"/>
  <c r="A215"/>
  <c r="B215"/>
  <c r="C215"/>
  <c r="D215"/>
  <c r="E215"/>
  <c r="A214"/>
  <c r="B214"/>
  <c r="C214"/>
  <c r="D214"/>
  <c r="E214"/>
  <c r="A217"/>
  <c r="B217"/>
  <c r="C217"/>
  <c r="D217"/>
  <c r="E217"/>
  <c r="A218"/>
  <c r="B218"/>
  <c r="C218"/>
  <c r="D218"/>
  <c r="E218"/>
  <c r="A235"/>
  <c r="B235"/>
  <c r="C235"/>
  <c r="D235"/>
  <c r="E235"/>
  <c r="A250"/>
  <c r="B250"/>
  <c r="C250"/>
  <c r="D250"/>
  <c r="E250"/>
  <c r="A293"/>
  <c r="B293"/>
  <c r="C293"/>
  <c r="D293"/>
  <c r="E293"/>
  <c r="A80"/>
  <c r="B80"/>
  <c r="C80"/>
  <c r="D80"/>
  <c r="E80"/>
  <c r="A147"/>
  <c r="B147"/>
  <c r="C147"/>
  <c r="D147"/>
  <c r="E147"/>
  <c r="A64"/>
  <c r="B64"/>
  <c r="C64"/>
  <c r="D64"/>
  <c r="E64"/>
  <c r="A239"/>
  <c r="B239"/>
  <c r="C239"/>
  <c r="D239"/>
  <c r="E239"/>
  <c r="A539"/>
  <c r="B539"/>
  <c r="C539"/>
  <c r="D539"/>
  <c r="E539"/>
  <c r="A550"/>
  <c r="B550"/>
  <c r="C550"/>
  <c r="D550"/>
  <c r="E550"/>
  <c r="A484"/>
  <c r="B484"/>
  <c r="C484"/>
  <c r="D484"/>
  <c r="E484"/>
  <c r="A289"/>
  <c r="B289"/>
  <c r="C289"/>
  <c r="D289"/>
  <c r="E289"/>
  <c r="A254"/>
  <c r="B254"/>
  <c r="C254"/>
  <c r="D254"/>
  <c r="E254"/>
  <c r="A340"/>
  <c r="B340"/>
  <c r="C340"/>
  <c r="D340"/>
  <c r="E340"/>
  <c r="A337"/>
  <c r="B337"/>
  <c r="C337"/>
  <c r="D337"/>
  <c r="E337"/>
  <c r="A60"/>
  <c r="B60"/>
  <c r="C60"/>
  <c r="D60"/>
  <c r="E60"/>
  <c r="A162"/>
  <c r="B162"/>
  <c r="C162"/>
  <c r="D162"/>
  <c r="E162"/>
  <c r="A141"/>
  <c r="B141"/>
  <c r="C141"/>
  <c r="D141"/>
  <c r="E141"/>
  <c r="A30"/>
  <c r="B30"/>
  <c r="C30"/>
  <c r="D30"/>
  <c r="E30"/>
  <c r="A819"/>
  <c r="B819"/>
  <c r="C819"/>
  <c r="D819"/>
  <c r="E819"/>
  <c r="A825"/>
  <c r="B825"/>
  <c r="C825"/>
  <c r="D825"/>
  <c r="E825"/>
  <c r="A812"/>
  <c r="B812"/>
  <c r="C812"/>
  <c r="D812"/>
  <c r="E812"/>
  <c r="A888"/>
  <c r="B888"/>
  <c r="C888"/>
  <c r="D888"/>
  <c r="E888"/>
  <c r="A964"/>
  <c r="B964"/>
  <c r="C964"/>
  <c r="D964"/>
  <c r="E964"/>
  <c r="A960"/>
  <c r="B960"/>
  <c r="C960"/>
  <c r="D960"/>
  <c r="E960"/>
  <c r="A156"/>
  <c r="B156"/>
  <c r="C156"/>
  <c r="D156"/>
  <c r="E156"/>
  <c r="A112"/>
  <c r="B112"/>
  <c r="C112"/>
  <c r="D112"/>
  <c r="E112"/>
  <c r="A75"/>
  <c r="B75"/>
  <c r="C75"/>
  <c r="D75"/>
  <c r="E75"/>
  <c r="A105"/>
  <c r="B105"/>
  <c r="C105"/>
  <c r="D105"/>
  <c r="E105"/>
  <c r="A142"/>
  <c r="B142"/>
  <c r="C142"/>
  <c r="D142"/>
  <c r="E142"/>
  <c r="A89"/>
  <c r="B89"/>
  <c r="C89"/>
  <c r="D89"/>
  <c r="E89"/>
  <c r="A119"/>
  <c r="B119"/>
  <c r="C119"/>
  <c r="D119"/>
  <c r="E119"/>
  <c r="A76"/>
  <c r="B76"/>
  <c r="C76"/>
  <c r="D76"/>
  <c r="E76"/>
  <c r="A70"/>
  <c r="B70"/>
  <c r="C70"/>
  <c r="D70"/>
  <c r="E70"/>
  <c r="A131"/>
  <c r="B131"/>
  <c r="C131"/>
  <c r="D131"/>
  <c r="E131"/>
  <c r="A152"/>
  <c r="B152"/>
  <c r="C152"/>
  <c r="D152"/>
  <c r="E152"/>
  <c r="A95"/>
  <c r="B95"/>
  <c r="C95"/>
  <c r="D95"/>
  <c r="E95"/>
  <c r="A59"/>
  <c r="B59"/>
  <c r="C59"/>
  <c r="D59"/>
  <c r="E59"/>
  <c r="A72"/>
  <c r="B72"/>
  <c r="C72"/>
  <c r="D72"/>
  <c r="E72"/>
  <c r="A78"/>
  <c r="B78"/>
  <c r="C78"/>
  <c r="D78"/>
  <c r="E78"/>
  <c r="A137"/>
  <c r="B137"/>
  <c r="C137"/>
  <c r="D137"/>
  <c r="E137"/>
  <c r="A128"/>
  <c r="B128"/>
  <c r="C128"/>
  <c r="D128"/>
  <c r="E128"/>
  <c r="A153"/>
  <c r="B153"/>
  <c r="C153"/>
  <c r="D153"/>
  <c r="E153"/>
  <c r="A154"/>
  <c r="B154"/>
  <c r="C154"/>
  <c r="D154"/>
  <c r="E154"/>
  <c r="A155"/>
  <c r="B155"/>
  <c r="C155"/>
  <c r="D155"/>
  <c r="E155"/>
  <c r="A238"/>
  <c r="B238"/>
  <c r="C238"/>
  <c r="D238"/>
  <c r="E238"/>
  <c r="A118"/>
  <c r="B118"/>
  <c r="C118"/>
  <c r="D118"/>
  <c r="E118"/>
  <c r="A172"/>
  <c r="B172"/>
  <c r="C172"/>
  <c r="D172"/>
  <c r="E172"/>
  <c r="A92"/>
  <c r="B92"/>
  <c r="C92"/>
  <c r="D92"/>
  <c r="E92"/>
  <c r="A93"/>
  <c r="B93"/>
  <c r="C93"/>
  <c r="D93"/>
  <c r="E93"/>
  <c r="A62"/>
  <c r="B62"/>
  <c r="C62"/>
  <c r="D62"/>
  <c r="E62"/>
  <c r="A148"/>
  <c r="B148"/>
  <c r="C148"/>
  <c r="D148"/>
  <c r="E148"/>
  <c r="A58"/>
  <c r="B58"/>
  <c r="C58"/>
  <c r="D58"/>
  <c r="E58"/>
  <c r="A138"/>
  <c r="B138"/>
  <c r="C138"/>
  <c r="D138"/>
  <c r="E138"/>
  <c r="A63"/>
  <c r="B63"/>
  <c r="C63"/>
  <c r="D63"/>
  <c r="E63"/>
  <c r="A270"/>
  <c r="B270"/>
  <c r="C270"/>
  <c r="D270"/>
  <c r="E270"/>
  <c r="A263"/>
  <c r="B263"/>
  <c r="C263"/>
  <c r="D263"/>
  <c r="E263"/>
  <c r="A264"/>
  <c r="B264"/>
  <c r="C264"/>
  <c r="D264"/>
  <c r="E264"/>
  <c r="A296"/>
  <c r="B296"/>
  <c r="C296"/>
  <c r="D296"/>
  <c r="E296"/>
  <c r="A274"/>
  <c r="B274"/>
  <c r="C274"/>
  <c r="D274"/>
  <c r="E274"/>
  <c r="A275"/>
  <c r="B275"/>
  <c r="C275"/>
  <c r="D275"/>
  <c r="E275"/>
  <c r="A278"/>
  <c r="B278"/>
  <c r="C278"/>
  <c r="D278"/>
  <c r="E278"/>
  <c r="A279"/>
  <c r="B279"/>
  <c r="C279"/>
  <c r="D279"/>
  <c r="E279"/>
  <c r="A257"/>
  <c r="B257"/>
  <c r="C257"/>
  <c r="D257"/>
  <c r="E257"/>
  <c r="A267"/>
  <c r="B267"/>
  <c r="C267"/>
  <c r="D267"/>
  <c r="E267"/>
  <c r="A549"/>
  <c r="B549"/>
  <c r="C549"/>
  <c r="D549"/>
  <c r="E549"/>
  <c r="A295"/>
  <c r="B295"/>
  <c r="C295"/>
  <c r="D295"/>
  <c r="E295"/>
  <c r="A256"/>
  <c r="B256"/>
  <c r="C256"/>
  <c r="D256"/>
  <c r="E256"/>
  <c r="A269"/>
  <c r="B269"/>
  <c r="C269"/>
  <c r="D269"/>
  <c r="E269"/>
  <c r="A277"/>
  <c r="B277"/>
  <c r="C277"/>
  <c r="D277"/>
  <c r="E277"/>
  <c r="A283"/>
  <c r="B283"/>
  <c r="C283"/>
  <c r="D283"/>
  <c r="E283"/>
  <c r="A252"/>
  <c r="B252"/>
  <c r="C252"/>
  <c r="D252"/>
  <c r="E252"/>
  <c r="A258"/>
  <c r="B258"/>
  <c r="C258"/>
  <c r="D258"/>
  <c r="E258"/>
  <c r="A260"/>
  <c r="B260"/>
  <c r="C260"/>
  <c r="D260"/>
  <c r="E260"/>
  <c r="A261"/>
  <c r="B261"/>
  <c r="C261"/>
  <c r="D261"/>
  <c r="E261"/>
  <c r="A472"/>
  <c r="B472"/>
  <c r="C472"/>
  <c r="D472"/>
  <c r="E472"/>
  <c r="A578"/>
  <c r="B578"/>
  <c r="C578"/>
  <c r="D578"/>
  <c r="E578"/>
  <c r="A561"/>
  <c r="B561"/>
  <c r="C561"/>
  <c r="D561"/>
  <c r="E561"/>
  <c r="A544"/>
  <c r="B544"/>
  <c r="C544"/>
  <c r="D544"/>
  <c r="E544"/>
  <c r="A566"/>
  <c r="B566"/>
  <c r="C566"/>
  <c r="D566"/>
  <c r="E566"/>
  <c r="A568"/>
  <c r="B568"/>
  <c r="C568"/>
  <c r="D568"/>
  <c r="E568"/>
  <c r="A565"/>
  <c r="B565"/>
  <c r="C565"/>
  <c r="D565"/>
  <c r="E565"/>
  <c r="A540"/>
  <c r="B540"/>
  <c r="C540"/>
  <c r="D540"/>
  <c r="E540"/>
  <c r="A535"/>
  <c r="B535"/>
  <c r="C535"/>
  <c r="D535"/>
  <c r="E535"/>
  <c r="A536"/>
  <c r="B536"/>
  <c r="C536"/>
  <c r="D536"/>
  <c r="E536"/>
  <c r="A390"/>
  <c r="B390"/>
  <c r="C390"/>
  <c r="D390"/>
  <c r="E390"/>
  <c r="A415"/>
  <c r="B415"/>
  <c r="C415"/>
  <c r="D415"/>
  <c r="E415"/>
  <c r="A400"/>
  <c r="B400"/>
  <c r="C400"/>
  <c r="D400"/>
  <c r="E400"/>
  <c r="A477"/>
  <c r="B477"/>
  <c r="C477"/>
  <c r="D477"/>
  <c r="E477"/>
  <c r="A480"/>
  <c r="B480"/>
  <c r="C480"/>
  <c r="D480"/>
  <c r="E480"/>
  <c r="A449"/>
  <c r="B449"/>
  <c r="C449"/>
  <c r="D449"/>
  <c r="E449"/>
  <c r="A450"/>
  <c r="B450"/>
  <c r="C450"/>
  <c r="D450"/>
  <c r="E450"/>
  <c r="A474"/>
  <c r="B474"/>
  <c r="C474"/>
  <c r="D474"/>
  <c r="E474"/>
  <c r="A470"/>
  <c r="B470"/>
  <c r="C470"/>
  <c r="D470"/>
  <c r="E470"/>
  <c r="A471"/>
  <c r="B471"/>
  <c r="C471"/>
  <c r="D471"/>
  <c r="E471"/>
  <c r="A438"/>
  <c r="B438"/>
  <c r="C438"/>
  <c r="D438"/>
  <c r="E438"/>
  <c r="A439"/>
  <c r="B439"/>
  <c r="C439"/>
  <c r="D439"/>
  <c r="E439"/>
  <c r="A440"/>
  <c r="B440"/>
  <c r="C440"/>
  <c r="D440"/>
  <c r="E440"/>
  <c r="A432"/>
  <c r="B432"/>
  <c r="C432"/>
  <c r="D432"/>
  <c r="E432"/>
  <c r="A422"/>
  <c r="B422"/>
  <c r="C422"/>
  <c r="D422"/>
  <c r="E422"/>
  <c r="A424"/>
  <c r="B424"/>
  <c r="C424"/>
  <c r="D424"/>
  <c r="E424"/>
  <c r="A427"/>
  <c r="B427"/>
  <c r="C427"/>
  <c r="D427"/>
  <c r="E427"/>
  <c r="A428"/>
  <c r="B428"/>
  <c r="C428"/>
  <c r="D428"/>
  <c r="E428"/>
  <c r="A429"/>
  <c r="B429"/>
  <c r="C429"/>
  <c r="D429"/>
  <c r="E429"/>
  <c r="A398"/>
  <c r="B398"/>
  <c r="C398"/>
  <c r="D398"/>
  <c r="E398"/>
  <c r="A673"/>
  <c r="B673"/>
  <c r="C673"/>
  <c r="D673"/>
  <c r="E673"/>
  <c r="A674"/>
  <c r="B674"/>
  <c r="C674"/>
  <c r="D674"/>
  <c r="E674"/>
  <c r="A694"/>
  <c r="B694"/>
  <c r="C694"/>
  <c r="D694"/>
  <c r="E694"/>
  <c r="A704"/>
  <c r="B704"/>
  <c r="C704"/>
  <c r="D704"/>
  <c r="E704"/>
  <c r="A966"/>
  <c r="B966"/>
  <c r="C966"/>
  <c r="D966"/>
  <c r="E966"/>
  <c r="A354"/>
  <c r="B354"/>
  <c r="C354"/>
  <c r="D354"/>
  <c r="E354"/>
  <c r="A355"/>
  <c r="B355"/>
  <c r="C355"/>
  <c r="D355"/>
  <c r="E355"/>
  <c r="A348"/>
  <c r="B348"/>
  <c r="C348"/>
  <c r="D348"/>
  <c r="E348"/>
  <c r="A321"/>
  <c r="B321"/>
  <c r="C321"/>
  <c r="D321"/>
  <c r="E321"/>
  <c r="A446"/>
  <c r="B446"/>
  <c r="C446"/>
  <c r="D446"/>
  <c r="E446"/>
  <c r="A898"/>
  <c r="B898"/>
  <c r="C898"/>
  <c r="D898"/>
  <c r="E898"/>
  <c r="A899"/>
  <c r="B899"/>
  <c r="C899"/>
  <c r="D899"/>
  <c r="E899"/>
  <c r="A925"/>
  <c r="B925"/>
  <c r="C925"/>
  <c r="D925"/>
  <c r="E925"/>
  <c r="A918"/>
  <c r="B918"/>
  <c r="C918"/>
  <c r="D918"/>
  <c r="E918"/>
  <c r="A916"/>
  <c r="B916"/>
  <c r="C916"/>
  <c r="D916"/>
  <c r="E916"/>
  <c r="A788"/>
  <c r="B788"/>
  <c r="C788"/>
  <c r="D788"/>
  <c r="E788"/>
  <c r="A791"/>
  <c r="B791"/>
  <c r="C791"/>
  <c r="D791"/>
  <c r="E791"/>
  <c r="A792"/>
  <c r="B792"/>
  <c r="C792"/>
  <c r="D792"/>
  <c r="E792"/>
  <c r="A834"/>
  <c r="B834"/>
  <c r="C834"/>
  <c r="D834"/>
  <c r="E834"/>
  <c r="A843"/>
  <c r="B843"/>
  <c r="C843"/>
  <c r="D843"/>
  <c r="E843"/>
  <c r="A626"/>
  <c r="B626"/>
  <c r="C626"/>
  <c r="D626"/>
  <c r="E626"/>
  <c r="A893"/>
  <c r="B893"/>
  <c r="C893"/>
  <c r="D893"/>
  <c r="E893"/>
  <c r="A887"/>
  <c r="B887"/>
  <c r="C887"/>
  <c r="D887"/>
  <c r="E887"/>
  <c r="A891"/>
  <c r="B891"/>
  <c r="C891"/>
  <c r="D891"/>
  <c r="E891"/>
  <c r="A886"/>
  <c r="B886"/>
  <c r="C886"/>
  <c r="D886"/>
  <c r="E886"/>
  <c r="A890"/>
  <c r="B890"/>
  <c r="C890"/>
  <c r="D890"/>
  <c r="E890"/>
  <c r="A878"/>
  <c r="B878"/>
  <c r="C878"/>
  <c r="D878"/>
  <c r="E878"/>
  <c r="A881"/>
  <c r="B881"/>
  <c r="C881"/>
  <c r="D881"/>
  <c r="E881"/>
  <c r="A902"/>
  <c r="B902"/>
  <c r="C902"/>
  <c r="D902"/>
  <c r="E902"/>
  <c r="A897"/>
  <c r="B897"/>
  <c r="C897"/>
  <c r="D897"/>
  <c r="E897"/>
  <c r="A954"/>
  <c r="B954"/>
  <c r="C954"/>
  <c r="D954"/>
  <c r="E954"/>
  <c r="A956"/>
  <c r="B956"/>
  <c r="C956"/>
  <c r="D956"/>
  <c r="E956"/>
  <c r="A943"/>
  <c r="B943"/>
  <c r="C943"/>
  <c r="D943"/>
  <c r="E943"/>
  <c r="A971"/>
  <c r="B971"/>
  <c r="C971"/>
  <c r="D971"/>
  <c r="E971"/>
  <c r="A975"/>
  <c r="B975"/>
  <c r="C975"/>
  <c r="D975"/>
  <c r="E975"/>
  <c r="A1059"/>
  <c r="B1059"/>
  <c r="C1059"/>
  <c r="D1059"/>
  <c r="E1059"/>
  <c r="A968"/>
  <c r="B968"/>
  <c r="C968"/>
  <c r="D968"/>
  <c r="E968"/>
  <c r="A1062"/>
  <c r="B1062"/>
  <c r="C1062"/>
  <c r="D1062"/>
  <c r="E1062"/>
  <c r="A1066"/>
  <c r="B1066"/>
  <c r="C1066"/>
  <c r="D1066"/>
  <c r="E1066"/>
  <c r="A734"/>
  <c r="B734"/>
  <c r="C734"/>
  <c r="D734"/>
  <c r="E734"/>
  <c r="A531"/>
  <c r="B531"/>
  <c r="C531"/>
  <c r="D531"/>
  <c r="E531"/>
  <c r="A526"/>
  <c r="B526"/>
  <c r="C526"/>
  <c r="D526"/>
  <c r="E526"/>
  <c r="A527"/>
  <c r="B527"/>
  <c r="C527"/>
  <c r="D527"/>
  <c r="E527"/>
  <c r="A529"/>
  <c r="B529"/>
  <c r="C529"/>
  <c r="D529"/>
  <c r="E529"/>
  <c r="A478"/>
  <c r="B478"/>
  <c r="C478"/>
  <c r="D478"/>
  <c r="E478"/>
  <c r="A460"/>
  <c r="B460"/>
  <c r="C460"/>
  <c r="D460"/>
  <c r="E460"/>
  <c r="A437"/>
  <c r="B437"/>
  <c r="C437"/>
  <c r="D437"/>
  <c r="E437"/>
  <c r="A451"/>
  <c r="B451"/>
  <c r="C451"/>
  <c r="D451"/>
  <c r="E451"/>
  <c r="A452"/>
  <c r="B452"/>
  <c r="C452"/>
  <c r="D452"/>
  <c r="E452"/>
  <c r="A345"/>
  <c r="B345"/>
  <c r="C345"/>
  <c r="D345"/>
  <c r="E345"/>
  <c r="A224"/>
  <c r="B224"/>
  <c r="C224"/>
  <c r="D224"/>
  <c r="E224"/>
  <c r="A220"/>
  <c r="B220"/>
  <c r="C220"/>
  <c r="D220"/>
  <c r="E220"/>
  <c r="A225"/>
  <c r="B225"/>
  <c r="C225"/>
  <c r="D225"/>
  <c r="E225"/>
  <c r="A213"/>
  <c r="B213"/>
  <c r="C213"/>
  <c r="D213"/>
  <c r="E213"/>
  <c r="A298"/>
  <c r="B298"/>
  <c r="C298"/>
  <c r="D298"/>
  <c r="E298"/>
  <c r="A567"/>
  <c r="B567"/>
  <c r="C567"/>
  <c r="D567"/>
  <c r="E567"/>
  <c r="A528"/>
  <c r="B528"/>
  <c r="C528"/>
  <c r="D528"/>
  <c r="E528"/>
  <c r="A584"/>
  <c r="B584"/>
  <c r="C584"/>
  <c r="D584"/>
  <c r="E584"/>
  <c r="A570"/>
  <c r="B570"/>
  <c r="C570"/>
  <c r="D570"/>
  <c r="E570"/>
  <c r="A571"/>
  <c r="B571"/>
  <c r="C571"/>
  <c r="D571"/>
  <c r="E571"/>
  <c r="A81"/>
  <c r="B81"/>
  <c r="C81"/>
  <c r="D81"/>
  <c r="E81"/>
  <c r="A68"/>
  <c r="B68"/>
  <c r="C68"/>
  <c r="D68"/>
  <c r="E68"/>
  <c r="A94"/>
  <c r="B94"/>
  <c r="C94"/>
  <c r="D94"/>
  <c r="E94"/>
  <c r="A126"/>
  <c r="B126"/>
  <c r="C126"/>
  <c r="D126"/>
  <c r="E126"/>
  <c r="A61"/>
  <c r="B61"/>
  <c r="C61"/>
  <c r="D61"/>
  <c r="E61"/>
  <c r="A150"/>
  <c r="B150"/>
  <c r="C150"/>
  <c r="D150"/>
  <c r="E150"/>
  <c r="A100"/>
  <c r="B100"/>
  <c r="C100"/>
  <c r="D100"/>
  <c r="E100"/>
  <c r="A125"/>
  <c r="B125"/>
  <c r="C125"/>
  <c r="D125"/>
  <c r="E125"/>
  <c r="A158"/>
  <c r="B158"/>
  <c r="C158"/>
  <c r="D158"/>
  <c r="E158"/>
  <c r="A84"/>
  <c r="B84"/>
  <c r="C84"/>
  <c r="D84"/>
  <c r="E84"/>
  <c r="A69"/>
  <c r="B69"/>
  <c r="C69"/>
  <c r="D69"/>
  <c r="E69"/>
  <c r="A144"/>
  <c r="B144"/>
  <c r="C144"/>
  <c r="D144"/>
  <c r="E144"/>
  <c r="A134"/>
  <c r="B134"/>
  <c r="C134"/>
  <c r="D134"/>
  <c r="E134"/>
  <c r="A102"/>
  <c r="B102"/>
  <c r="C102"/>
  <c r="D102"/>
  <c r="E102"/>
  <c r="A104"/>
  <c r="B104"/>
  <c r="C104"/>
  <c r="D104"/>
  <c r="E104"/>
  <c r="A114"/>
  <c r="B114"/>
  <c r="C114"/>
  <c r="D114"/>
  <c r="E114"/>
  <c r="A73"/>
  <c r="B73"/>
  <c r="C73"/>
  <c r="D73"/>
  <c r="E73"/>
  <c r="A133"/>
  <c r="B133"/>
  <c r="C133"/>
  <c r="D133"/>
  <c r="E133"/>
  <c r="A116"/>
  <c r="B116"/>
  <c r="C116"/>
  <c r="D116"/>
  <c r="E116"/>
  <c r="A66"/>
  <c r="B66"/>
  <c r="C66"/>
  <c r="D66"/>
  <c r="E66"/>
  <c r="A562"/>
  <c r="B562"/>
  <c r="C562"/>
  <c r="D562"/>
  <c r="E562"/>
  <c r="A563"/>
  <c r="B563"/>
  <c r="C563"/>
  <c r="D563"/>
  <c r="E563"/>
  <c r="A564"/>
  <c r="B564"/>
  <c r="C564"/>
  <c r="D564"/>
  <c r="E564"/>
  <c r="A240"/>
  <c r="B240"/>
  <c r="C240"/>
  <c r="D240"/>
  <c r="E240"/>
  <c r="A251"/>
  <c r="B251"/>
  <c r="C251"/>
  <c r="D251"/>
  <c r="E251"/>
  <c r="A306"/>
  <c r="B306"/>
  <c r="C306"/>
  <c r="D306"/>
  <c r="E306"/>
  <c r="A276"/>
  <c r="B276"/>
  <c r="C276"/>
  <c r="D276"/>
  <c r="E276"/>
  <c r="A284"/>
  <c r="B284"/>
  <c r="C284"/>
  <c r="D284"/>
  <c r="E284"/>
  <c r="A307"/>
  <c r="B307"/>
  <c r="C307"/>
  <c r="D307"/>
  <c r="E307"/>
  <c r="A82"/>
  <c r="B82"/>
  <c r="C82"/>
  <c r="D82"/>
  <c r="E82"/>
  <c r="A492"/>
  <c r="B492"/>
  <c r="C492"/>
  <c r="D492"/>
  <c r="E492"/>
  <c r="A489"/>
  <c r="B489"/>
  <c r="C489"/>
  <c r="D489"/>
  <c r="E489"/>
  <c r="A481"/>
  <c r="B481"/>
  <c r="C481"/>
  <c r="D481"/>
  <c r="E481"/>
  <c r="A483"/>
  <c r="B483"/>
  <c r="C483"/>
  <c r="D483"/>
  <c r="E483"/>
  <c r="A494"/>
  <c r="B494"/>
  <c r="C494"/>
  <c r="D494"/>
  <c r="E494"/>
  <c r="A530"/>
  <c r="B530"/>
  <c r="C530"/>
  <c r="D530"/>
  <c r="E530"/>
  <c r="A586"/>
  <c r="B586"/>
  <c r="C586"/>
  <c r="D586"/>
  <c r="E586"/>
  <c r="A547"/>
  <c r="B547"/>
  <c r="C547"/>
  <c r="D547"/>
  <c r="E547"/>
  <c r="A545"/>
  <c r="B545"/>
  <c r="C545"/>
  <c r="D545"/>
  <c r="E545"/>
  <c r="A533"/>
  <c r="B533"/>
  <c r="C533"/>
  <c r="D533"/>
  <c r="E533"/>
  <c r="A435"/>
  <c r="B435"/>
  <c r="C435"/>
  <c r="D435"/>
  <c r="E435"/>
  <c r="A442"/>
  <c r="B442"/>
  <c r="C442"/>
  <c r="D442"/>
  <c r="E442"/>
  <c r="A433"/>
  <c r="B433"/>
  <c r="C433"/>
  <c r="D433"/>
  <c r="E433"/>
  <c r="A417"/>
  <c r="B417"/>
  <c r="C417"/>
  <c r="D417"/>
  <c r="E417"/>
  <c r="A419"/>
  <c r="B419"/>
  <c r="C419"/>
  <c r="D419"/>
  <c r="E419"/>
  <c r="A402"/>
  <c r="B402"/>
  <c r="C402"/>
  <c r="D402"/>
  <c r="E402"/>
  <c r="A403"/>
  <c r="B403"/>
  <c r="C403"/>
  <c r="D403"/>
  <c r="E403"/>
  <c r="A414"/>
  <c r="B414"/>
  <c r="C414"/>
  <c r="D414"/>
  <c r="E414"/>
  <c r="A461"/>
  <c r="B461"/>
  <c r="C461"/>
  <c r="D461"/>
  <c r="E461"/>
  <c r="A448"/>
  <c r="B448"/>
  <c r="C448"/>
  <c r="D448"/>
  <c r="E448"/>
  <c r="A961"/>
  <c r="B961"/>
  <c r="C961"/>
  <c r="D961"/>
  <c r="E961"/>
  <c r="A958"/>
  <c r="B958"/>
  <c r="C958"/>
  <c r="D958"/>
  <c r="E958"/>
  <c r="A297"/>
  <c r="B297"/>
  <c r="C297"/>
  <c r="D297"/>
  <c r="E297"/>
  <c r="A322"/>
  <c r="B322"/>
  <c r="C322"/>
  <c r="D322"/>
  <c r="E322"/>
  <c r="A291"/>
  <c r="B291"/>
  <c r="C291"/>
  <c r="D291"/>
  <c r="E291"/>
  <c r="A324"/>
  <c r="B324"/>
  <c r="C324"/>
  <c r="D324"/>
  <c r="E324"/>
  <c r="A323"/>
  <c r="B323"/>
  <c r="C323"/>
  <c r="D323"/>
  <c r="E323"/>
  <c r="A342"/>
  <c r="B342"/>
  <c r="C342"/>
  <c r="D342"/>
  <c r="E342"/>
  <c r="A350"/>
  <c r="B350"/>
  <c r="C350"/>
  <c r="D350"/>
  <c r="E350"/>
  <c r="A444"/>
  <c r="B444"/>
  <c r="C444"/>
  <c r="D444"/>
  <c r="E444"/>
  <c r="A689"/>
  <c r="B689"/>
  <c r="C689"/>
  <c r="D689"/>
  <c r="E689"/>
  <c r="A691"/>
  <c r="B691"/>
  <c r="C691"/>
  <c r="D691"/>
  <c r="E691"/>
  <c r="A692"/>
  <c r="B692"/>
  <c r="C692"/>
  <c r="D692"/>
  <c r="E692"/>
  <c r="A698"/>
  <c r="B698"/>
  <c r="C698"/>
  <c r="D698"/>
  <c r="E698"/>
  <c r="A699"/>
  <c r="B699"/>
  <c r="C699"/>
  <c r="D699"/>
  <c r="E699"/>
  <c r="A707"/>
  <c r="B707"/>
  <c r="C707"/>
  <c r="D707"/>
  <c r="E707"/>
  <c r="A708"/>
  <c r="B708"/>
  <c r="C708"/>
  <c r="D708"/>
  <c r="E708"/>
  <c r="A716"/>
  <c r="B716"/>
  <c r="C716"/>
  <c r="D716"/>
  <c r="E716"/>
  <c r="A717"/>
  <c r="B717"/>
  <c r="C717"/>
  <c r="D717"/>
  <c r="E717"/>
  <c r="A962"/>
  <c r="B962"/>
  <c r="C962"/>
  <c r="D962"/>
  <c r="E962"/>
  <c r="A926"/>
  <c r="B926"/>
  <c r="C926"/>
  <c r="D926"/>
  <c r="E926"/>
  <c r="A911"/>
  <c r="B911"/>
  <c r="C911"/>
  <c r="D911"/>
  <c r="E911"/>
  <c r="A787"/>
  <c r="B787"/>
  <c r="C787"/>
  <c r="D787"/>
  <c r="E787"/>
  <c r="A789"/>
  <c r="B789"/>
  <c r="C789"/>
  <c r="D789"/>
  <c r="E789"/>
  <c r="A800"/>
  <c r="B800"/>
  <c r="C800"/>
  <c r="D800"/>
  <c r="E800"/>
  <c r="A798"/>
  <c r="B798"/>
  <c r="C798"/>
  <c r="D798"/>
  <c r="E798"/>
  <c r="A803"/>
  <c r="B803"/>
  <c r="C803"/>
  <c r="D803"/>
  <c r="E803"/>
  <c r="A678"/>
  <c r="B678"/>
  <c r="C678"/>
  <c r="D678"/>
  <c r="E678"/>
  <c r="A685"/>
  <c r="B685"/>
  <c r="C685"/>
  <c r="D685"/>
  <c r="E685"/>
  <c r="A687"/>
  <c r="B687"/>
  <c r="C687"/>
  <c r="D687"/>
  <c r="E687"/>
  <c r="A909"/>
  <c r="B909"/>
  <c r="C909"/>
  <c r="D909"/>
  <c r="E909"/>
  <c r="A910"/>
  <c r="B910"/>
  <c r="C910"/>
  <c r="D910"/>
  <c r="E910"/>
  <c r="A906"/>
  <c r="B906"/>
  <c r="C906"/>
  <c r="D906"/>
  <c r="E906"/>
  <c r="A915"/>
  <c r="B915"/>
  <c r="C915"/>
  <c r="D915"/>
  <c r="E915"/>
  <c r="A919"/>
  <c r="B919"/>
  <c r="C919"/>
  <c r="D919"/>
  <c r="E919"/>
  <c r="A920"/>
  <c r="B920"/>
  <c r="C920"/>
  <c r="D920"/>
  <c r="E920"/>
  <c r="A912"/>
  <c r="B912"/>
  <c r="C912"/>
  <c r="D912"/>
  <c r="E912"/>
  <c r="A927"/>
  <c r="B927"/>
  <c r="C927"/>
  <c r="D927"/>
  <c r="E927"/>
  <c r="A879"/>
  <c r="B879"/>
  <c r="C879"/>
  <c r="D879"/>
  <c r="E879"/>
  <c r="A892"/>
  <c r="B892"/>
  <c r="C892"/>
  <c r="D892"/>
  <c r="E892"/>
  <c r="A1064"/>
  <c r="B1064"/>
  <c r="C1064"/>
  <c r="D1064"/>
  <c r="E1064"/>
  <c r="A1065"/>
  <c r="B1065"/>
  <c r="C1065"/>
  <c r="D1065"/>
  <c r="E1065"/>
  <c r="A1060"/>
  <c r="B1060"/>
  <c r="C1060"/>
  <c r="D1060"/>
  <c r="E1060"/>
  <c r="A1061"/>
  <c r="B1061"/>
  <c r="C1061"/>
  <c r="D1061"/>
  <c r="E1061"/>
  <c r="A680"/>
  <c r="B680"/>
  <c r="C680"/>
  <c r="D680"/>
  <c r="E680"/>
  <c r="A660"/>
  <c r="B660"/>
  <c r="C660"/>
  <c r="D660"/>
  <c r="E660"/>
  <c r="A889"/>
  <c r="B889"/>
  <c r="C889"/>
  <c r="D889"/>
  <c r="E889"/>
  <c r="A900"/>
  <c r="B900"/>
  <c r="C900"/>
  <c r="D900"/>
  <c r="E900"/>
  <c r="A901"/>
  <c r="B901"/>
  <c r="C901"/>
  <c r="D901"/>
  <c r="E901"/>
  <c r="A908"/>
  <c r="B908"/>
  <c r="C908"/>
  <c r="D908"/>
  <c r="E908"/>
  <c r="A1130"/>
  <c r="B1130"/>
  <c r="C1130"/>
  <c r="D1130"/>
  <c r="E1130"/>
  <c r="A1131"/>
  <c r="B1131"/>
  <c r="C1131"/>
  <c r="D1131"/>
  <c r="E1131"/>
  <c r="A1132"/>
  <c r="B1132"/>
  <c r="C1132"/>
  <c r="D1132"/>
  <c r="E1132"/>
  <c r="A1133"/>
  <c r="B1133"/>
  <c r="C1133"/>
  <c r="D1133"/>
  <c r="E1133"/>
  <c r="A1134"/>
  <c r="B1134"/>
  <c r="C1134"/>
  <c r="D1134"/>
  <c r="E1134"/>
  <c r="A1135"/>
  <c r="B1135"/>
  <c r="C1135"/>
  <c r="D1135"/>
  <c r="E1135"/>
  <c r="A1136"/>
  <c r="B1136"/>
  <c r="C1136"/>
  <c r="D1136"/>
  <c r="E1136"/>
  <c r="A1137"/>
  <c r="B1137"/>
  <c r="C1137"/>
  <c r="D1137"/>
  <c r="E1137"/>
  <c r="A1138"/>
  <c r="B1138"/>
  <c r="C1138"/>
  <c r="D1138"/>
  <c r="E1138"/>
  <c r="A1063"/>
  <c r="B1063"/>
  <c r="C1063"/>
  <c r="D1063"/>
  <c r="E1063"/>
  <c r="A1120"/>
  <c r="B1120"/>
  <c r="C1120"/>
  <c r="D1120"/>
  <c r="E1120"/>
  <c r="A1121"/>
  <c r="B1121"/>
  <c r="C1121"/>
  <c r="D1121"/>
  <c r="E1121"/>
  <c r="A1122"/>
  <c r="B1122"/>
  <c r="C1122"/>
  <c r="D1122"/>
  <c r="E1122"/>
  <c r="A1123"/>
  <c r="B1123"/>
  <c r="C1123"/>
  <c r="D1123"/>
  <c r="E1123"/>
  <c r="A1124"/>
  <c r="B1124"/>
  <c r="C1124"/>
  <c r="D1124"/>
  <c r="E1124"/>
  <c r="A1125"/>
  <c r="B1125"/>
  <c r="C1125"/>
  <c r="D1125"/>
  <c r="E1125"/>
  <c r="A1126"/>
  <c r="B1126"/>
  <c r="C1126"/>
  <c r="D1126"/>
  <c r="E1126"/>
  <c r="A1127"/>
  <c r="B1127"/>
  <c r="C1127"/>
  <c r="D1127"/>
  <c r="E1127"/>
  <c r="A1128"/>
  <c r="B1128"/>
  <c r="C1128"/>
  <c r="D1128"/>
  <c r="E1128"/>
  <c r="A1129"/>
  <c r="B1129"/>
  <c r="C1129"/>
  <c r="D1129"/>
  <c r="E1129"/>
  <c r="A1110"/>
  <c r="B1110"/>
  <c r="C1110"/>
  <c r="D1110"/>
  <c r="E1110"/>
  <c r="A1111"/>
  <c r="B1111"/>
  <c r="C1111"/>
  <c r="D1111"/>
  <c r="E1111"/>
  <c r="A1112"/>
  <c r="B1112"/>
  <c r="C1112"/>
  <c r="D1112"/>
  <c r="E1112"/>
  <c r="A1113"/>
  <c r="B1113"/>
  <c r="C1113"/>
  <c r="D1113"/>
  <c r="E1113"/>
  <c r="A1114"/>
  <c r="B1114"/>
  <c r="C1114"/>
  <c r="D1114"/>
  <c r="E1114"/>
  <c r="A1115"/>
  <c r="B1115"/>
  <c r="C1115"/>
  <c r="D1115"/>
  <c r="E1115"/>
  <c r="A1116"/>
  <c r="B1116"/>
  <c r="C1116"/>
  <c r="D1116"/>
  <c r="E1116"/>
  <c r="A1117"/>
  <c r="B1117"/>
  <c r="C1117"/>
  <c r="D1117"/>
  <c r="E1117"/>
  <c r="A1118"/>
  <c r="B1118"/>
  <c r="C1118"/>
  <c r="D1118"/>
  <c r="E1118"/>
  <c r="A1119"/>
  <c r="B1119"/>
  <c r="C1119"/>
  <c r="D1119"/>
  <c r="E1119"/>
  <c r="A1096"/>
  <c r="B1096"/>
  <c r="C1096"/>
  <c r="D1096"/>
  <c r="E1096"/>
  <c r="A1097"/>
  <c r="B1097"/>
  <c r="C1097"/>
  <c r="D1097"/>
  <c r="E1097"/>
  <c r="A1098"/>
  <c r="B1098"/>
  <c r="C1098"/>
  <c r="D1098"/>
  <c r="E1098"/>
  <c r="A1099"/>
  <c r="B1099"/>
  <c r="C1099"/>
  <c r="D1099"/>
  <c r="E1099"/>
  <c r="A1100"/>
  <c r="B1100"/>
  <c r="C1100"/>
  <c r="D1100"/>
  <c r="E1100"/>
  <c r="A1105"/>
  <c r="B1105"/>
  <c r="C1105"/>
  <c r="D1105"/>
  <c r="E1105"/>
  <c r="A1106"/>
  <c r="B1106"/>
  <c r="C1106"/>
  <c r="D1106"/>
  <c r="E1106"/>
  <c r="A1107"/>
  <c r="B1107"/>
  <c r="C1107"/>
  <c r="D1107"/>
  <c r="E1107"/>
  <c r="A1108"/>
  <c r="B1108"/>
  <c r="C1108"/>
  <c r="D1108"/>
  <c r="E1108"/>
  <c r="A1109"/>
  <c r="B1109"/>
  <c r="C1109"/>
  <c r="D1109"/>
  <c r="E1109"/>
  <c r="A1086"/>
  <c r="B1086"/>
  <c r="C1086"/>
  <c r="D1086"/>
  <c r="E1086"/>
  <c r="A1087"/>
  <c r="B1087"/>
  <c r="C1087"/>
  <c r="D1087"/>
  <c r="E1087"/>
  <c r="A1088"/>
  <c r="B1088"/>
  <c r="C1088"/>
  <c r="D1088"/>
  <c r="E1088"/>
  <c r="A1089"/>
  <c r="B1089"/>
  <c r="C1089"/>
  <c r="D1089"/>
  <c r="E1089"/>
  <c r="A1090"/>
  <c r="B1090"/>
  <c r="C1090"/>
  <c r="D1090"/>
  <c r="E1090"/>
  <c r="A1091"/>
  <c r="B1091"/>
  <c r="C1091"/>
  <c r="D1091"/>
  <c r="E1091"/>
  <c r="A1092"/>
  <c r="B1092"/>
  <c r="C1092"/>
  <c r="D1092"/>
  <c r="E1092"/>
  <c r="A1093"/>
  <c r="B1093"/>
  <c r="C1093"/>
  <c r="D1093"/>
  <c r="E1093"/>
  <c r="A1094"/>
  <c r="B1094"/>
  <c r="C1094"/>
  <c r="D1094"/>
  <c r="E1094"/>
  <c r="A1095"/>
  <c r="B1095"/>
  <c r="C1095"/>
  <c r="D1095"/>
  <c r="E1095"/>
  <c r="A1076"/>
  <c r="B1076"/>
  <c r="C1076"/>
  <c r="D1076"/>
  <c r="E1076"/>
  <c r="A1077"/>
  <c r="B1077"/>
  <c r="C1077"/>
  <c r="D1077"/>
  <c r="E1077"/>
  <c r="A1078"/>
  <c r="B1078"/>
  <c r="C1078"/>
  <c r="D1078"/>
  <c r="E1078"/>
  <c r="A1079"/>
  <c r="B1079"/>
  <c r="C1079"/>
  <c r="D1079"/>
  <c r="E1079"/>
  <c r="A1080"/>
  <c r="B1080"/>
  <c r="C1080"/>
  <c r="D1080"/>
  <c r="E1080"/>
  <c r="A1081"/>
  <c r="B1081"/>
  <c r="C1081"/>
  <c r="D1081"/>
  <c r="E1081"/>
  <c r="A1082"/>
  <c r="B1082"/>
  <c r="C1082"/>
  <c r="D1082"/>
  <c r="E1082"/>
  <c r="A1083"/>
  <c r="B1083"/>
  <c r="C1083"/>
  <c r="D1083"/>
  <c r="E1083"/>
  <c r="A1084"/>
  <c r="B1084"/>
  <c r="C1084"/>
  <c r="D1084"/>
  <c r="E1084"/>
  <c r="A1085"/>
  <c r="B1085"/>
  <c r="C1085"/>
  <c r="D1085"/>
  <c r="E1085"/>
  <c r="A967"/>
  <c r="B967"/>
  <c r="C967"/>
  <c r="D967"/>
  <c r="E967"/>
  <c r="A994"/>
  <c r="B994"/>
  <c r="C994"/>
  <c r="D994"/>
  <c r="E994"/>
  <c r="A1068"/>
  <c r="B1068"/>
  <c r="C1068"/>
  <c r="D1068"/>
  <c r="E1068"/>
  <c r="A1069"/>
  <c r="B1069"/>
  <c r="C1069"/>
  <c r="D1069"/>
  <c r="E1069"/>
  <c r="A1070"/>
  <c r="B1070"/>
  <c r="C1070"/>
  <c r="D1070"/>
  <c r="E1070"/>
  <c r="A1071"/>
  <c r="B1071"/>
  <c r="C1071"/>
  <c r="D1071"/>
  <c r="E1071"/>
  <c r="A1072"/>
  <c r="B1072"/>
  <c r="C1072"/>
  <c r="D1072"/>
  <c r="E1072"/>
  <c r="A1073"/>
  <c r="B1073"/>
  <c r="C1073"/>
  <c r="D1073"/>
  <c r="E1073"/>
  <c r="A1074"/>
  <c r="B1074"/>
  <c r="C1074"/>
  <c r="D1074"/>
  <c r="E1074"/>
  <c r="A1075"/>
  <c r="B1075"/>
  <c r="C1075"/>
  <c r="D1075"/>
  <c r="E1075"/>
  <c r="A169"/>
  <c r="B169"/>
  <c r="C169"/>
  <c r="D169"/>
  <c r="E169"/>
  <c r="A145"/>
  <c r="B145"/>
  <c r="C145"/>
  <c r="D145"/>
  <c r="E145"/>
  <c r="A249"/>
  <c r="B249"/>
  <c r="C249"/>
  <c r="D249"/>
  <c r="E249"/>
  <c r="A582"/>
  <c r="B582"/>
  <c r="C582"/>
  <c r="D582"/>
  <c r="E582"/>
  <c r="A600"/>
  <c r="B600"/>
  <c r="C600"/>
  <c r="D600"/>
  <c r="E600"/>
  <c r="A615"/>
  <c r="B615"/>
  <c r="C615"/>
  <c r="D615"/>
  <c r="E615"/>
  <c r="A495"/>
  <c r="B495"/>
  <c r="C495"/>
  <c r="D495"/>
  <c r="E495"/>
  <c r="A467"/>
  <c r="B467"/>
  <c r="C467"/>
  <c r="D467"/>
  <c r="E467"/>
  <c r="A464"/>
  <c r="B464"/>
  <c r="C464"/>
  <c r="D464"/>
  <c r="E464"/>
  <c r="A290"/>
  <c r="B290"/>
  <c r="C290"/>
  <c r="D290"/>
  <c r="E290"/>
  <c r="A143"/>
  <c r="B143"/>
  <c r="C143"/>
  <c r="D143"/>
  <c r="E143"/>
  <c r="A96"/>
  <c r="B96"/>
  <c r="C96"/>
  <c r="D96"/>
  <c r="E96"/>
  <c r="A86"/>
  <c r="B86"/>
  <c r="C86"/>
  <c r="D86"/>
  <c r="E86"/>
  <c r="A110"/>
  <c r="B110"/>
  <c r="C110"/>
  <c r="D110"/>
  <c r="E110"/>
  <c r="A91"/>
  <c r="B91"/>
  <c r="C91"/>
  <c r="D91"/>
  <c r="E91"/>
  <c r="A135"/>
  <c r="B135"/>
  <c r="C135"/>
  <c r="D135"/>
  <c r="E135"/>
  <c r="A71"/>
  <c r="B71"/>
  <c r="C71"/>
  <c r="D71"/>
  <c r="E71"/>
  <c r="A136"/>
  <c r="B136"/>
  <c r="C136"/>
  <c r="D136"/>
  <c r="E136"/>
  <c r="A166"/>
  <c r="B166"/>
  <c r="C166"/>
  <c r="D166"/>
  <c r="E166"/>
  <c r="A164"/>
  <c r="B164"/>
  <c r="C164"/>
  <c r="D164"/>
  <c r="E164"/>
  <c r="A285"/>
  <c r="B285"/>
  <c r="C285"/>
  <c r="D285"/>
  <c r="E285"/>
  <c r="A288"/>
  <c r="B288"/>
  <c r="C288"/>
  <c r="D288"/>
  <c r="E288"/>
  <c r="A273"/>
  <c r="B273"/>
  <c r="C273"/>
  <c r="D273"/>
  <c r="E273"/>
  <c r="A287"/>
  <c r="B287"/>
  <c r="C287"/>
  <c r="D287"/>
  <c r="E287"/>
  <c r="A292"/>
  <c r="B292"/>
  <c r="C292"/>
  <c r="D292"/>
  <c r="E292"/>
  <c r="A266"/>
  <c r="B266"/>
  <c r="C266"/>
  <c r="D266"/>
  <c r="E266"/>
  <c r="A25"/>
  <c r="B25"/>
  <c r="C25"/>
  <c r="D25"/>
  <c r="E25"/>
  <c r="A90"/>
  <c r="B90"/>
  <c r="C90"/>
  <c r="D90"/>
  <c r="E90"/>
  <c r="A129"/>
  <c r="B129"/>
  <c r="C129"/>
  <c r="D129"/>
  <c r="E129"/>
  <c r="A65"/>
  <c r="B65"/>
  <c r="C65"/>
  <c r="D65"/>
  <c r="E65"/>
  <c r="A553"/>
  <c r="B553"/>
  <c r="C553"/>
  <c r="D553"/>
  <c r="E553"/>
  <c r="A548"/>
  <c r="B548"/>
  <c r="C548"/>
  <c r="D548"/>
  <c r="E548"/>
  <c r="A556"/>
  <c r="B556"/>
  <c r="C556"/>
  <c r="D556"/>
  <c r="E556"/>
  <c r="A557"/>
  <c r="B557"/>
  <c r="C557"/>
  <c r="D557"/>
  <c r="E557"/>
  <c r="A229"/>
  <c r="B229"/>
  <c r="C229"/>
  <c r="D229"/>
  <c r="E229"/>
  <c r="A160"/>
  <c r="B160"/>
  <c r="C160"/>
  <c r="D160"/>
  <c r="E160"/>
  <c r="A265"/>
  <c r="B265"/>
  <c r="C265"/>
  <c r="D265"/>
  <c r="E265"/>
  <c r="A253"/>
  <c r="B253"/>
  <c r="C253"/>
  <c r="D253"/>
  <c r="E253"/>
  <c r="A272"/>
  <c r="B272"/>
  <c r="C272"/>
  <c r="D272"/>
  <c r="E272"/>
  <c r="A280"/>
  <c r="B280"/>
  <c r="C280"/>
  <c r="D280"/>
  <c r="E280"/>
  <c r="A485"/>
  <c r="B485"/>
  <c r="C485"/>
  <c r="D485"/>
  <c r="E485"/>
  <c r="A493"/>
  <c r="B493"/>
  <c r="C493"/>
  <c r="D493"/>
  <c r="E493"/>
  <c r="A496"/>
  <c r="B496"/>
  <c r="C496"/>
  <c r="D496"/>
  <c r="E496"/>
  <c r="A551"/>
  <c r="B551"/>
  <c r="C551"/>
  <c r="D551"/>
  <c r="E551"/>
  <c r="A537"/>
  <c r="B537"/>
  <c r="C537"/>
  <c r="D537"/>
  <c r="E537"/>
  <c r="A538"/>
  <c r="B538"/>
  <c r="C538"/>
  <c r="D538"/>
  <c r="E538"/>
  <c r="A542"/>
  <c r="B542"/>
  <c r="C542"/>
  <c r="D542"/>
  <c r="E542"/>
  <c r="A543"/>
  <c r="B543"/>
  <c r="C543"/>
  <c r="D543"/>
  <c r="E543"/>
  <c r="A546"/>
  <c r="B546"/>
  <c r="C546"/>
  <c r="D546"/>
  <c r="E546"/>
  <c r="A552"/>
  <c r="B552"/>
  <c r="C552"/>
  <c r="D552"/>
  <c r="E552"/>
  <c r="A406"/>
  <c r="B406"/>
  <c r="C406"/>
  <c r="D406"/>
  <c r="E406"/>
  <c r="A393"/>
  <c r="B393"/>
  <c r="C393"/>
  <c r="D393"/>
  <c r="E393"/>
  <c r="A420"/>
  <c r="B420"/>
  <c r="C420"/>
  <c r="D420"/>
  <c r="E420"/>
  <c r="A430"/>
  <c r="B430"/>
  <c r="C430"/>
  <c r="D430"/>
  <c r="E430"/>
  <c r="A443"/>
  <c r="B443"/>
  <c r="C443"/>
  <c r="D443"/>
  <c r="E443"/>
  <c r="A281"/>
  <c r="B281"/>
  <c r="C281"/>
  <c r="D281"/>
  <c r="E281"/>
  <c r="A282"/>
  <c r="B282"/>
  <c r="C282"/>
  <c r="D282"/>
  <c r="E282"/>
  <c r="A459"/>
  <c r="B459"/>
  <c r="C459"/>
  <c r="D459"/>
  <c r="E459"/>
  <c r="A466"/>
  <c r="B466"/>
  <c r="C466"/>
  <c r="D466"/>
  <c r="E466"/>
  <c r="A488"/>
  <c r="B488"/>
  <c r="C488"/>
  <c r="D488"/>
  <c r="E488"/>
  <c r="A896"/>
  <c r="B896"/>
  <c r="C896"/>
  <c r="D896"/>
  <c r="E896"/>
  <c r="A683"/>
  <c r="B683"/>
  <c r="C683"/>
  <c r="D683"/>
  <c r="E683"/>
  <c r="A684"/>
  <c r="B684"/>
  <c r="C684"/>
  <c r="D684"/>
  <c r="E684"/>
  <c r="A713"/>
  <c r="B713"/>
  <c r="C713"/>
  <c r="D713"/>
  <c r="E713"/>
  <c r="A706"/>
  <c r="B706"/>
  <c r="C706"/>
  <c r="D706"/>
  <c r="E706"/>
  <c r="A693"/>
  <c r="B693"/>
  <c r="C693"/>
  <c r="D693"/>
  <c r="E693"/>
  <c r="A711"/>
  <c r="B711"/>
  <c r="C711"/>
  <c r="D711"/>
  <c r="E711"/>
  <c r="A965"/>
  <c r="B965"/>
  <c r="C965"/>
  <c r="D965"/>
  <c r="E965"/>
  <c r="A413"/>
  <c r="B413"/>
  <c r="C413"/>
  <c r="D413"/>
  <c r="E413"/>
  <c r="A399"/>
  <c r="B399"/>
  <c r="C399"/>
  <c r="D399"/>
  <c r="E399"/>
  <c r="A796"/>
  <c r="B796"/>
  <c r="C796"/>
  <c r="D796"/>
  <c r="E796"/>
  <c r="A793"/>
  <c r="B793"/>
  <c r="C793"/>
  <c r="D793"/>
  <c r="E793"/>
  <c r="A804"/>
  <c r="B804"/>
  <c r="C804"/>
  <c r="D804"/>
  <c r="E804"/>
  <c r="A813"/>
  <c r="B813"/>
  <c r="C813"/>
  <c r="D813"/>
  <c r="E813"/>
  <c r="A913"/>
  <c r="B913"/>
  <c r="C913"/>
  <c r="D913"/>
  <c r="E913"/>
  <c r="A914"/>
  <c r="B914"/>
  <c r="C914"/>
  <c r="D914"/>
  <c r="E914"/>
  <c r="A905"/>
  <c r="B905"/>
  <c r="C905"/>
  <c r="D905"/>
  <c r="E905"/>
  <c r="A894"/>
  <c r="B894"/>
  <c r="C894"/>
  <c r="D894"/>
  <c r="E894"/>
  <c r="A903"/>
  <c r="B903"/>
  <c r="C903"/>
  <c r="D903"/>
  <c r="E903"/>
  <c r="A907"/>
  <c r="B907"/>
  <c r="C907"/>
  <c r="D907"/>
  <c r="E907"/>
  <c r="A585"/>
  <c r="B585"/>
  <c r="C585"/>
  <c r="D585"/>
  <c r="E585"/>
  <c r="A463"/>
  <c r="B463"/>
  <c r="C463"/>
  <c r="D463"/>
  <c r="E463"/>
  <c r="A409"/>
  <c r="B409"/>
  <c r="C409"/>
  <c r="D409"/>
  <c r="E409"/>
  <c r="A410"/>
  <c r="B410"/>
  <c r="C410"/>
  <c r="D410"/>
  <c r="E410"/>
  <c r="A928"/>
  <c r="B928"/>
  <c r="C928"/>
  <c r="D928"/>
  <c r="E928"/>
  <c r="A929"/>
  <c r="B929"/>
  <c r="C929"/>
  <c r="D929"/>
  <c r="E929"/>
  <c r="A931"/>
  <c r="B931"/>
  <c r="C931"/>
  <c r="D931"/>
  <c r="E931"/>
  <c r="A822"/>
  <c r="B822"/>
  <c r="C822"/>
  <c r="D822"/>
  <c r="E822"/>
  <c r="A799"/>
  <c r="B799"/>
  <c r="C799"/>
  <c r="D799"/>
  <c r="E799"/>
  <c r="A801"/>
  <c r="B801"/>
  <c r="C801"/>
  <c r="D801"/>
  <c r="E801"/>
  <c r="A127"/>
  <c r="B127"/>
  <c r="C127"/>
  <c r="D127"/>
  <c r="E127"/>
  <c r="A98"/>
  <c r="B98"/>
  <c r="C98"/>
  <c r="D98"/>
  <c r="E98"/>
  <c r="A77"/>
  <c r="B77"/>
  <c r="C77"/>
  <c r="D77"/>
  <c r="E77"/>
  <c r="A79"/>
  <c r="B79"/>
  <c r="C79"/>
  <c r="D79"/>
  <c r="E79"/>
  <c r="A122"/>
  <c r="B122"/>
  <c r="C122"/>
  <c r="D122"/>
  <c r="E122"/>
  <c r="A31"/>
  <c r="B31"/>
  <c r="C31"/>
  <c r="D31"/>
  <c r="E31"/>
  <c r="A21"/>
  <c r="B21"/>
  <c r="C21"/>
  <c r="D21"/>
  <c r="E21"/>
  <c r="A194"/>
  <c r="B194"/>
  <c r="C194"/>
  <c r="D194"/>
  <c r="E194"/>
  <c r="A211"/>
  <c r="B211"/>
  <c r="C211"/>
  <c r="D211"/>
  <c r="E211"/>
  <c r="A237"/>
  <c r="B237"/>
  <c r="C237"/>
  <c r="D237"/>
  <c r="E237"/>
  <c r="A904"/>
  <c r="B904"/>
  <c r="C904"/>
  <c r="D904"/>
  <c r="E904"/>
  <c r="A917"/>
  <c r="B917"/>
  <c r="C917"/>
  <c r="D917"/>
  <c r="E917"/>
  <c r="A921"/>
  <c r="B921"/>
  <c r="C921"/>
  <c r="D921"/>
  <c r="E921"/>
  <c r="A974"/>
  <c r="B974"/>
  <c r="C974"/>
  <c r="D974"/>
  <c r="E974"/>
  <c r="A558"/>
  <c r="B558"/>
  <c r="C558"/>
  <c r="D558"/>
  <c r="E558"/>
  <c r="A163"/>
  <c r="B163"/>
  <c r="C163"/>
  <c r="D163"/>
  <c r="E163"/>
  <c r="A74"/>
  <c r="B74"/>
  <c r="C74"/>
  <c r="D74"/>
  <c r="E74"/>
  <c r="A87"/>
  <c r="B87"/>
  <c r="C87"/>
  <c r="D87"/>
  <c r="E87"/>
  <c r="A123"/>
  <c r="B123"/>
  <c r="C123"/>
  <c r="D123"/>
  <c r="E123"/>
  <c r="A161"/>
  <c r="B161"/>
  <c r="C161"/>
  <c r="D161"/>
  <c r="E161"/>
  <c r="A44"/>
  <c r="B44"/>
  <c r="C44"/>
  <c r="D44"/>
  <c r="E44"/>
  <c r="A47"/>
  <c r="B47"/>
  <c r="C47"/>
  <c r="D47"/>
  <c r="E47"/>
  <c r="A33"/>
  <c r="B33"/>
  <c r="C33"/>
  <c r="D33"/>
  <c r="E33"/>
  <c r="A40"/>
  <c r="B40"/>
  <c r="C40"/>
  <c r="D40"/>
  <c r="E40"/>
  <c r="A157"/>
  <c r="B157"/>
  <c r="C157"/>
  <c r="D157"/>
  <c r="E157"/>
  <c r="A140"/>
  <c r="B140"/>
  <c r="C140"/>
  <c r="D140"/>
  <c r="E140"/>
  <c r="A351"/>
  <c r="B351"/>
  <c r="C351"/>
  <c r="D351"/>
  <c r="E351"/>
  <c r="A356"/>
  <c r="B356"/>
  <c r="C356"/>
  <c r="D356"/>
  <c r="E356"/>
  <c r="A670"/>
  <c r="B670"/>
  <c r="C670"/>
  <c r="D670"/>
  <c r="E670"/>
  <c r="A895"/>
  <c r="B895"/>
  <c r="C895"/>
  <c r="D895"/>
  <c r="E895"/>
  <c r="A180"/>
  <c r="B180"/>
  <c r="C180"/>
  <c r="D180"/>
  <c r="E180"/>
  <c r="A179"/>
  <c r="B179"/>
  <c r="C179"/>
  <c r="D179"/>
  <c r="E179"/>
  <c r="A178"/>
  <c r="B178"/>
  <c r="C178"/>
  <c r="D178"/>
  <c r="E178"/>
  <c r="A177"/>
  <c r="B177"/>
  <c r="C177"/>
  <c r="D177"/>
  <c r="E177"/>
  <c r="A181"/>
  <c r="B181"/>
  <c r="C181"/>
  <c r="D181"/>
  <c r="E181"/>
  <c r="A189"/>
  <c r="B189"/>
  <c r="C189"/>
  <c r="D189"/>
  <c r="E189"/>
  <c r="A299"/>
  <c r="B299"/>
  <c r="C299"/>
  <c r="D299"/>
  <c r="E299"/>
  <c r="A300"/>
  <c r="B300"/>
  <c r="C300"/>
  <c r="D300"/>
  <c r="E300"/>
  <c r="A301"/>
  <c r="B301"/>
  <c r="C301"/>
  <c r="D301"/>
  <c r="E301"/>
  <c r="A13"/>
  <c r="B13"/>
  <c r="C13"/>
  <c r="D13"/>
  <c r="E13"/>
  <c r="A662"/>
  <c r="B662"/>
  <c r="C662"/>
  <c r="D662"/>
  <c r="E662"/>
  <c r="A661"/>
  <c r="B661"/>
  <c r="C661"/>
  <c r="D661"/>
  <c r="E661"/>
  <c r="A665"/>
  <c r="B665"/>
  <c r="C665"/>
  <c r="D665"/>
  <c r="E665"/>
  <c r="A668"/>
  <c r="B668"/>
  <c r="C668"/>
  <c r="D668"/>
  <c r="E668"/>
  <c r="A327"/>
  <c r="B327"/>
  <c r="C327"/>
  <c r="D327"/>
  <c r="E327"/>
  <c r="A335"/>
  <c r="B335"/>
  <c r="C335"/>
  <c r="D335"/>
  <c r="E335"/>
  <c r="A236"/>
  <c r="B236"/>
  <c r="C236"/>
  <c r="D236"/>
  <c r="E236"/>
  <c r="A195"/>
  <c r="B195"/>
  <c r="C195"/>
  <c r="D195"/>
  <c r="E195"/>
  <c r="A184"/>
  <c r="B184"/>
  <c r="C184"/>
  <c r="D184"/>
  <c r="E184"/>
  <c r="A182"/>
  <c r="B182"/>
  <c r="C182"/>
  <c r="D182"/>
  <c r="E182"/>
  <c r="A385"/>
  <c r="B385"/>
  <c r="C385"/>
  <c r="D385"/>
  <c r="E385"/>
  <c r="A386"/>
  <c r="B386"/>
  <c r="C386"/>
  <c r="D386"/>
  <c r="E386"/>
  <c r="A969"/>
  <c r="B969"/>
  <c r="C969"/>
  <c r="D969"/>
  <c r="E969"/>
  <c r="A1005"/>
  <c r="B1005"/>
  <c r="C1005"/>
  <c r="D1005"/>
  <c r="E1005"/>
  <c r="A806"/>
  <c r="B806"/>
  <c r="C806"/>
  <c r="D806"/>
  <c r="E806"/>
  <c r="A667"/>
  <c r="B667"/>
  <c r="C667"/>
  <c r="D667"/>
  <c r="E667"/>
  <c r="A666"/>
  <c r="B666"/>
  <c r="C666"/>
  <c r="D666"/>
  <c r="E666"/>
  <c r="A659"/>
  <c r="B659"/>
  <c r="C659"/>
  <c r="D659"/>
  <c r="E659"/>
  <c r="A664"/>
  <c r="B664"/>
  <c r="C664"/>
  <c r="D664"/>
  <c r="E664"/>
  <c r="A663"/>
  <c r="B663"/>
  <c r="C663"/>
  <c r="D663"/>
  <c r="E663"/>
  <c r="A212"/>
  <c r="B212"/>
  <c r="C212"/>
  <c r="D212"/>
  <c r="E212"/>
  <c r="A208"/>
  <c r="B208"/>
  <c r="C208"/>
  <c r="D208"/>
  <c r="E208"/>
  <c r="A210"/>
  <c r="B210"/>
  <c r="C210"/>
  <c r="D210"/>
  <c r="E210"/>
  <c r="A209"/>
  <c r="B209"/>
  <c r="C209"/>
  <c r="D209"/>
  <c r="E209"/>
  <c r="A359"/>
  <c r="B359"/>
  <c r="C359"/>
  <c r="D359"/>
  <c r="E359"/>
  <c r="A360"/>
  <c r="B360"/>
  <c r="C360"/>
  <c r="D360"/>
  <c r="E360"/>
  <c r="A361"/>
  <c r="B361"/>
  <c r="C361"/>
  <c r="D361"/>
  <c r="E361"/>
  <c r="A362"/>
  <c r="B362"/>
  <c r="C362"/>
  <c r="D362"/>
  <c r="E362"/>
  <c r="A363"/>
  <c r="B363"/>
  <c r="C363"/>
  <c r="D363"/>
  <c r="E363"/>
  <c r="A364"/>
  <c r="B364"/>
  <c r="C364"/>
  <c r="D364"/>
  <c r="E364"/>
  <c r="A200"/>
  <c r="B200"/>
  <c r="C200"/>
  <c r="D200"/>
  <c r="E200"/>
  <c r="A42"/>
  <c r="B42"/>
  <c r="C42"/>
  <c r="D42"/>
  <c r="E42"/>
  <c r="A39"/>
  <c r="B39"/>
  <c r="C39"/>
  <c r="D39"/>
  <c r="E39"/>
  <c r="A19"/>
  <c r="B19"/>
  <c r="C19"/>
  <c r="D19"/>
  <c r="E19"/>
  <c r="A9"/>
  <c r="B9"/>
  <c r="C9"/>
  <c r="D9"/>
  <c r="E9"/>
  <c r="A20"/>
  <c r="B20"/>
  <c r="C20"/>
  <c r="D20"/>
  <c r="E20"/>
  <c r="A27"/>
  <c r="B27"/>
  <c r="C27"/>
  <c r="D27"/>
  <c r="E27"/>
  <c r="A41"/>
  <c r="B41"/>
  <c r="C41"/>
  <c r="D41"/>
  <c r="E41"/>
  <c r="A49"/>
  <c r="B49"/>
  <c r="C49"/>
  <c r="D49"/>
  <c r="E49"/>
  <c r="A53"/>
  <c r="B53"/>
  <c r="C53"/>
  <c r="D53"/>
  <c r="E53"/>
  <c r="A500"/>
  <c r="B500"/>
  <c r="C500"/>
  <c r="D500"/>
  <c r="E500"/>
  <c r="A503"/>
  <c r="B503"/>
  <c r="C503"/>
  <c r="D503"/>
  <c r="E503"/>
  <c r="A232"/>
  <c r="B232"/>
  <c r="C232"/>
  <c r="D232"/>
  <c r="E232"/>
  <c r="A228"/>
  <c r="B228"/>
  <c r="C228"/>
  <c r="D228"/>
  <c r="E228"/>
  <c r="A231"/>
  <c r="B231"/>
  <c r="C231"/>
  <c r="D231"/>
  <c r="E231"/>
  <c r="A227"/>
  <c r="B227"/>
  <c r="C227"/>
  <c r="D227"/>
  <c r="E227"/>
  <c r="A230"/>
  <c r="B230"/>
  <c r="C230"/>
  <c r="D230"/>
  <c r="E230"/>
  <c r="A226"/>
  <c r="B226"/>
  <c r="C226"/>
  <c r="D226"/>
  <c r="E226"/>
  <c r="A315"/>
  <c r="B315"/>
  <c r="C315"/>
  <c r="D315"/>
  <c r="E315"/>
  <c r="A309"/>
  <c r="B309"/>
  <c r="C309"/>
  <c r="D309"/>
  <c r="E309"/>
  <c r="A36"/>
  <c r="B36"/>
  <c r="C36"/>
  <c r="D36"/>
  <c r="E36"/>
  <c r="A38"/>
  <c r="B38"/>
  <c r="C38"/>
  <c r="D38"/>
  <c r="E38"/>
  <c r="A174"/>
  <c r="B174"/>
  <c r="C174"/>
  <c r="D174"/>
  <c r="E174"/>
  <c r="A173"/>
  <c r="B173"/>
  <c r="C173"/>
  <c r="D173"/>
  <c r="E173"/>
  <c r="A219"/>
  <c r="B219"/>
  <c r="C219"/>
  <c r="D219"/>
  <c r="E219"/>
  <c r="A216"/>
  <c r="B216"/>
  <c r="C216"/>
  <c r="D216"/>
  <c r="E216"/>
  <c r="A330"/>
  <c r="B330"/>
  <c r="C330"/>
  <c r="D330"/>
  <c r="E330"/>
  <c r="A341"/>
  <c r="B341"/>
  <c r="C341"/>
  <c r="D341"/>
  <c r="E341"/>
  <c r="A339"/>
  <c r="B339"/>
  <c r="C339"/>
  <c r="D339"/>
  <c r="E339"/>
  <c r="A518"/>
  <c r="B518"/>
  <c r="C518"/>
  <c r="D518"/>
  <c r="E518"/>
  <c r="A768"/>
  <c r="B768"/>
  <c r="C768"/>
  <c r="D768"/>
  <c r="E768"/>
  <c r="A777"/>
  <c r="B777"/>
  <c r="C777"/>
  <c r="D777"/>
  <c r="E777"/>
  <c r="A883"/>
  <c r="B883"/>
  <c r="C883"/>
  <c r="D883"/>
  <c r="E883"/>
  <c r="A1103"/>
  <c r="B1103"/>
  <c r="C1103"/>
  <c r="D1103"/>
  <c r="E1103"/>
  <c r="A510"/>
  <c r="B510"/>
  <c r="C510"/>
  <c r="D510"/>
  <c r="E510"/>
  <c r="A10"/>
  <c r="B10"/>
  <c r="C10"/>
  <c r="D10"/>
  <c r="E10"/>
  <c r="A4"/>
  <c r="B4"/>
  <c r="C4"/>
  <c r="D4"/>
  <c r="E4"/>
  <c r="A7"/>
  <c r="B7"/>
  <c r="C7"/>
  <c r="D7"/>
  <c r="E7"/>
  <c r="A34"/>
  <c r="B34"/>
  <c r="C34"/>
  <c r="D34"/>
  <c r="E34"/>
  <c r="A32"/>
  <c r="B32"/>
  <c r="C32"/>
  <c r="D32"/>
  <c r="E32"/>
  <c r="A97"/>
  <c r="B97"/>
  <c r="C97"/>
  <c r="D97"/>
  <c r="E97"/>
  <c r="A171"/>
  <c r="B171"/>
  <c r="C171"/>
  <c r="D171"/>
  <c r="E171"/>
  <c r="A262"/>
  <c r="B262"/>
  <c r="C262"/>
  <c r="D262"/>
  <c r="E262"/>
  <c r="A106"/>
  <c r="B106"/>
  <c r="C106"/>
  <c r="D106"/>
  <c r="E106"/>
  <c r="A397"/>
  <c r="B397"/>
  <c r="C397"/>
  <c r="D397"/>
  <c r="E397"/>
  <c r="A559"/>
  <c r="B559"/>
  <c r="C559"/>
  <c r="D559"/>
  <c r="E559"/>
  <c r="A746"/>
  <c r="B746"/>
  <c r="C746"/>
  <c r="D746"/>
  <c r="E746"/>
  <c r="A757"/>
  <c r="B757"/>
  <c r="C757"/>
  <c r="D757"/>
  <c r="E757"/>
  <c r="A762"/>
  <c r="B762"/>
  <c r="C762"/>
  <c r="D762"/>
  <c r="E762"/>
  <c r="A766"/>
  <c r="B766"/>
  <c r="C766"/>
  <c r="D766"/>
  <c r="E766"/>
  <c r="A374"/>
  <c r="B374"/>
  <c r="C374"/>
  <c r="D374"/>
  <c r="E374"/>
  <c r="A375"/>
  <c r="B375"/>
  <c r="C375"/>
  <c r="D375"/>
  <c r="E375"/>
  <c r="A376"/>
  <c r="B376"/>
  <c r="C376"/>
  <c r="D376"/>
  <c r="E376"/>
  <c r="A383"/>
  <c r="B383"/>
  <c r="C383"/>
  <c r="D383"/>
  <c r="E383"/>
  <c r="A384"/>
  <c r="B384"/>
  <c r="C384"/>
  <c r="D384"/>
  <c r="E384"/>
  <c r="A108"/>
  <c r="B108"/>
  <c r="C108"/>
  <c r="D108"/>
  <c r="E108"/>
  <c r="A120"/>
  <c r="B120"/>
  <c r="C120"/>
  <c r="D120"/>
  <c r="E120"/>
  <c r="A117"/>
  <c r="B117"/>
  <c r="C117"/>
  <c r="D117"/>
  <c r="E117"/>
  <c r="A103"/>
  <c r="B103"/>
  <c r="C103"/>
  <c r="D103"/>
  <c r="E103"/>
  <c r="A149"/>
  <c r="B149"/>
  <c r="C149"/>
  <c r="D149"/>
  <c r="E149"/>
  <c r="A722"/>
  <c r="B722"/>
  <c r="C722"/>
  <c r="D722"/>
  <c r="E722"/>
  <c r="A723"/>
  <c r="B723"/>
  <c r="C723"/>
  <c r="D723"/>
  <c r="E723"/>
  <c r="A357"/>
  <c r="B357"/>
  <c r="C357"/>
  <c r="D357"/>
  <c r="E357"/>
  <c r="A329"/>
  <c r="B329"/>
  <c r="C329"/>
  <c r="D329"/>
  <c r="E329"/>
  <c r="A305"/>
  <c r="B305"/>
  <c r="C305"/>
  <c r="D305"/>
  <c r="E305"/>
  <c r="A308"/>
  <c r="B308"/>
  <c r="C308"/>
  <c r="D308"/>
  <c r="E308"/>
  <c r="A627"/>
  <c r="B627"/>
  <c r="C627"/>
  <c r="D627"/>
  <c r="E627"/>
  <c r="A628"/>
  <c r="B628"/>
  <c r="C628"/>
  <c r="D628"/>
  <c r="E628"/>
  <c r="A629"/>
  <c r="B629"/>
  <c r="C629"/>
  <c r="D629"/>
  <c r="E629"/>
  <c r="A373"/>
  <c r="B373"/>
  <c r="C373"/>
  <c r="D373"/>
  <c r="E373"/>
  <c r="A52"/>
  <c r="B52"/>
  <c r="C52"/>
  <c r="D52"/>
  <c r="E52"/>
  <c r="A54"/>
  <c r="B54"/>
  <c r="C54"/>
  <c r="D54"/>
  <c r="E54"/>
  <c r="A55"/>
  <c r="B55"/>
  <c r="C55"/>
  <c r="D55"/>
  <c r="E55"/>
  <c r="A198"/>
  <c r="B198"/>
  <c r="C198"/>
  <c r="D198"/>
  <c r="E198"/>
  <c r="A197"/>
  <c r="B197"/>
  <c r="C197"/>
  <c r="D197"/>
  <c r="E197"/>
  <c r="A316"/>
  <c r="B316"/>
  <c r="C316"/>
  <c r="D316"/>
  <c r="E316"/>
  <c r="A346"/>
  <c r="B346"/>
  <c r="C346"/>
  <c r="D346"/>
  <c r="E346"/>
  <c r="A347"/>
  <c r="B347"/>
  <c r="C347"/>
  <c r="D347"/>
  <c r="E347"/>
  <c r="A343"/>
  <c r="B343"/>
  <c r="C343"/>
  <c r="D343"/>
  <c r="E343"/>
  <c r="A344"/>
  <c r="B344"/>
  <c r="C344"/>
  <c r="D344"/>
  <c r="E344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<sst xmlns="http://schemas.openxmlformats.org/spreadsheetml/2006/main" count="46" uniqueCount="46">
  <si>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</si>
  <si>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</si>
  <si>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</si>
  <si>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</si>
  <si>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</si>
  <si>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</si>
  <si>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</si>
  <si>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</si>
  <si>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</si>
  <si>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</si>
  <si>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</si>
  <si>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</si>
  <si>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</si>
  <si>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</si>
  <si>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</si>
  <si>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</si>
  <si>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</si>
  <si>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</si>
  <si>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</si>
  <si>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</si>
  <si>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</si>
  <si>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</si>
  <si>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</si>
  <si>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</si>
  <si>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</si>
  <si>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</si>
  <si>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</si>
  <si>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</si>
  <si>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</si>
  <si>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</si>
  <si>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</si>
  <si>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</si>
  <si>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</si>
  <si>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</si>
  <si>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</si>
  <si>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</si>
  <si>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</si>
  <si>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</si>
  <si>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</si>
  <si>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</si>
  <si>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</si>
  <si>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</si>
  <si>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</si>
  <si>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</si>
  <si>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</si>
  <si>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جمع هزینه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</si>
</sst>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39"/>
  <sheetViews>
    <sheetView rightToLeft="1" tabSelected="1" topLeftCell="AM1115" workbookViewId="0">
      <selection activeCell="AT1140" sqref="AT1140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3.625" style="1" bestFit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1" t="s">
        <v>45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14814468</v>
      </c>
      <c r="G2" s="1">
        <v>0</v>
      </c>
      <c r="H2" s="1">
        <v>0</v>
      </c>
      <c r="I2" s="1">
        <v>14863130</v>
      </c>
      <c r="J2" s="1">
        <v>0</v>
      </c>
      <c r="K2" s="1">
        <v>4620000</v>
      </c>
      <c r="L2" s="1">
        <v>0</v>
      </c>
      <c r="M2" s="1">
        <v>400000</v>
      </c>
      <c r="N2" s="1">
        <v>2823357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1270000</v>
      </c>
      <c r="U2" s="1">
        <v>0</v>
      </c>
      <c r="V2" s="1">
        <v>18201069</v>
      </c>
      <c r="W2" s="1">
        <v>1100000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2016683</v>
      </c>
      <c r="AF2" s="1">
        <v>2222538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6614721</v>
      </c>
      <c r="AM2" s="1">
        <v>0</v>
      </c>
      <c r="AN2" s="1">
        <v>68945966</v>
      </c>
      <c r="AO2" s="1">
        <v>15232104</v>
      </c>
      <c r="AP2" s="1">
        <v>53713862</v>
      </c>
      <c r="AQ2" s="1">
        <v>13090686</v>
      </c>
      <c r="AR2" s="1">
        <v>1963603</v>
      </c>
      <c r="AS2" s="1">
        <v>0</v>
      </c>
      <c r="AT2" s="1">
        <f>AS2+AR2+AQ2+AN2</f>
        <v>84000255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8286453</v>
      </c>
      <c r="G3" s="1">
        <v>9889666</v>
      </c>
      <c r="H3" s="1">
        <v>0</v>
      </c>
      <c r="I3" s="1">
        <v>7789266</v>
      </c>
      <c r="J3" s="1">
        <v>0</v>
      </c>
      <c r="K3" s="1">
        <v>0</v>
      </c>
      <c r="L3" s="1">
        <v>3460800</v>
      </c>
      <c r="M3" s="1">
        <v>400000</v>
      </c>
      <c r="N3" s="1">
        <v>4419442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8336827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3593394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4520990</v>
      </c>
      <c r="AK3" s="1">
        <v>0</v>
      </c>
      <c r="AL3" s="1">
        <v>0</v>
      </c>
      <c r="AM3" s="1">
        <v>0</v>
      </c>
      <c r="AN3" s="1">
        <v>51796838</v>
      </c>
      <c r="AO3" s="1">
        <v>10374596</v>
      </c>
      <c r="AP3" s="1">
        <v>41422242</v>
      </c>
      <c r="AQ3" s="1">
        <v>10359368</v>
      </c>
      <c r="AR3" s="1">
        <v>1553905</v>
      </c>
      <c r="AS3" s="1">
        <v>300000</v>
      </c>
      <c r="AT3" s="1">
        <f t="shared" ref="AT3:AT66" si="2">AS3+AR3+AQ3+AN3</f>
        <v>64010111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6259494</v>
      </c>
      <c r="G4" s="1">
        <v>6174295</v>
      </c>
      <c r="H4" s="1">
        <v>0</v>
      </c>
      <c r="I4" s="1">
        <v>6071709</v>
      </c>
      <c r="J4" s="1">
        <v>0</v>
      </c>
      <c r="K4" s="1">
        <v>0</v>
      </c>
      <c r="L4" s="1">
        <v>3720700</v>
      </c>
      <c r="M4" s="1">
        <v>400000</v>
      </c>
      <c r="N4" s="1">
        <v>3294470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4846782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2901956</v>
      </c>
      <c r="AE4" s="1">
        <v>0</v>
      </c>
      <c r="AF4" s="1">
        <v>1111269</v>
      </c>
      <c r="AG4" s="1">
        <v>0</v>
      </c>
      <c r="AH4" s="1">
        <v>0</v>
      </c>
      <c r="AI4" s="1">
        <v>0</v>
      </c>
      <c r="AJ4" s="1">
        <v>3387042</v>
      </c>
      <c r="AK4" s="1">
        <v>0</v>
      </c>
      <c r="AL4" s="1">
        <v>0</v>
      </c>
      <c r="AM4" s="1">
        <v>0</v>
      </c>
      <c r="AN4" s="1">
        <v>39267717</v>
      </c>
      <c r="AO4" s="1">
        <v>9227342</v>
      </c>
      <c r="AP4" s="1">
        <v>30040375</v>
      </c>
      <c r="AQ4" s="1">
        <v>7631290</v>
      </c>
      <c r="AR4" s="1">
        <v>1144693</v>
      </c>
      <c r="AS4" s="1">
        <v>795000</v>
      </c>
      <c r="AT4" s="1">
        <f t="shared" si="2"/>
        <v>48838700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6516474</v>
      </c>
      <c r="G5" s="1">
        <v>1634510</v>
      </c>
      <c r="H5" s="1">
        <v>0</v>
      </c>
      <c r="I5" s="1">
        <v>5473838</v>
      </c>
      <c r="J5" s="1">
        <v>0</v>
      </c>
      <c r="K5" s="1">
        <v>0</v>
      </c>
      <c r="L5" s="1">
        <v>3645357</v>
      </c>
      <c r="M5" s="1">
        <v>400000</v>
      </c>
      <c r="N5" s="1">
        <v>3258237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9126273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2834086</v>
      </c>
      <c r="AE5" s="1">
        <v>0</v>
      </c>
      <c r="AF5" s="1">
        <v>2222538</v>
      </c>
      <c r="AG5" s="1">
        <v>0</v>
      </c>
      <c r="AH5" s="1">
        <v>0</v>
      </c>
      <c r="AI5" s="1">
        <v>0</v>
      </c>
      <c r="AJ5" s="1">
        <v>3922825</v>
      </c>
      <c r="AK5" s="1">
        <v>0</v>
      </c>
      <c r="AL5" s="1">
        <v>0</v>
      </c>
      <c r="AM5" s="1">
        <v>0</v>
      </c>
      <c r="AN5" s="1">
        <v>40134138</v>
      </c>
      <c r="AO5" s="1">
        <v>7026305</v>
      </c>
      <c r="AP5" s="1">
        <v>33107833</v>
      </c>
      <c r="AQ5" s="1">
        <v>7582320</v>
      </c>
      <c r="AR5" s="1">
        <v>1137348</v>
      </c>
      <c r="AS5" s="1">
        <v>795000</v>
      </c>
      <c r="AT5" s="1">
        <f t="shared" si="2"/>
        <v>49648806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6773175</v>
      </c>
      <c r="G6" s="1">
        <v>3071932</v>
      </c>
      <c r="H6" s="1">
        <v>0</v>
      </c>
      <c r="I6" s="1">
        <v>6366784</v>
      </c>
      <c r="J6" s="1">
        <v>0</v>
      </c>
      <c r="K6" s="1">
        <v>0</v>
      </c>
      <c r="L6" s="1">
        <v>3620700</v>
      </c>
      <c r="M6" s="1">
        <v>400000</v>
      </c>
      <c r="N6" s="1">
        <v>3564829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9766906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3048823</v>
      </c>
      <c r="AE6" s="1">
        <v>0</v>
      </c>
      <c r="AF6" s="1">
        <v>3333807</v>
      </c>
      <c r="AG6" s="1">
        <v>0</v>
      </c>
      <c r="AH6" s="1">
        <v>0</v>
      </c>
      <c r="AI6" s="1">
        <v>0</v>
      </c>
      <c r="AJ6" s="1">
        <v>4212935</v>
      </c>
      <c r="AK6" s="1">
        <v>0</v>
      </c>
      <c r="AL6" s="1">
        <v>0</v>
      </c>
      <c r="AM6" s="1">
        <v>0</v>
      </c>
      <c r="AN6" s="1">
        <v>45259891</v>
      </c>
      <c r="AO6" s="1">
        <v>9613526</v>
      </c>
      <c r="AP6" s="1">
        <v>35646365</v>
      </c>
      <c r="AQ6" s="1">
        <v>8385217</v>
      </c>
      <c r="AR6" s="1">
        <v>1257783</v>
      </c>
      <c r="AS6" s="1">
        <v>1325000</v>
      </c>
      <c r="AT6" s="1">
        <f t="shared" si="2"/>
        <v>56227891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6365268</v>
      </c>
      <c r="G7" s="1">
        <v>5944963</v>
      </c>
      <c r="H7" s="1">
        <v>0</v>
      </c>
      <c r="I7" s="1">
        <v>5792394</v>
      </c>
      <c r="J7" s="1">
        <v>0</v>
      </c>
      <c r="K7" s="1">
        <v>0</v>
      </c>
      <c r="L7" s="1">
        <v>3620700</v>
      </c>
      <c r="M7" s="1">
        <v>400000</v>
      </c>
      <c r="N7" s="1">
        <v>3394810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4806512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2875976</v>
      </c>
      <c r="AE7" s="1">
        <v>0</v>
      </c>
      <c r="AF7" s="1">
        <v>2222538</v>
      </c>
      <c r="AG7" s="1">
        <v>0</v>
      </c>
      <c r="AH7" s="1">
        <v>0</v>
      </c>
      <c r="AI7" s="1">
        <v>0</v>
      </c>
      <c r="AJ7" s="1">
        <v>3357156</v>
      </c>
      <c r="AK7" s="1">
        <v>0</v>
      </c>
      <c r="AL7" s="1">
        <v>0</v>
      </c>
      <c r="AM7" s="1">
        <v>0</v>
      </c>
      <c r="AN7" s="1">
        <v>39880317</v>
      </c>
      <c r="AO7" s="1">
        <v>7114302</v>
      </c>
      <c r="AP7" s="1">
        <v>32766015</v>
      </c>
      <c r="AQ7" s="1">
        <v>7531556</v>
      </c>
      <c r="AR7" s="1">
        <v>1129733</v>
      </c>
      <c r="AS7" s="1">
        <v>530000</v>
      </c>
      <c r="AT7" s="1">
        <f t="shared" si="2"/>
        <v>49071606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9191140</v>
      </c>
      <c r="G8" s="1">
        <v>10674904</v>
      </c>
      <c r="H8" s="1">
        <v>0</v>
      </c>
      <c r="I8" s="1">
        <v>7720558</v>
      </c>
      <c r="J8" s="1">
        <v>0</v>
      </c>
      <c r="K8" s="1">
        <v>0</v>
      </c>
      <c r="L8" s="1">
        <v>3620700</v>
      </c>
      <c r="M8" s="1">
        <v>400000</v>
      </c>
      <c r="N8" s="1">
        <v>4743814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9929859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1393600</v>
      </c>
      <c r="AD8" s="1">
        <v>0</v>
      </c>
      <c r="AE8" s="1">
        <v>0</v>
      </c>
      <c r="AF8" s="1">
        <v>3333807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52108382</v>
      </c>
      <c r="AO8" s="1">
        <v>8620406</v>
      </c>
      <c r="AP8" s="1">
        <v>43487976</v>
      </c>
      <c r="AQ8" s="1">
        <v>9754915</v>
      </c>
      <c r="AR8" s="1">
        <v>1463237</v>
      </c>
      <c r="AS8" s="1">
        <v>1060000</v>
      </c>
      <c r="AT8" s="1">
        <f t="shared" si="2"/>
        <v>64386534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6549746</v>
      </c>
      <c r="G9" s="1">
        <v>15522032</v>
      </c>
      <c r="H9" s="1">
        <v>0</v>
      </c>
      <c r="I9" s="1">
        <v>6287756</v>
      </c>
      <c r="J9" s="1">
        <v>0</v>
      </c>
      <c r="K9" s="1">
        <v>0</v>
      </c>
      <c r="L9" s="1">
        <v>3620700</v>
      </c>
      <c r="M9" s="1">
        <v>400000</v>
      </c>
      <c r="N9" s="1">
        <v>3470064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7017757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1111269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45079324</v>
      </c>
      <c r="AO9" s="1">
        <v>11160088</v>
      </c>
      <c r="AP9" s="1">
        <v>33919236</v>
      </c>
      <c r="AQ9" s="1">
        <v>8793611</v>
      </c>
      <c r="AR9" s="1">
        <v>1319042</v>
      </c>
      <c r="AS9" s="1">
        <v>795000</v>
      </c>
      <c r="AT9" s="1">
        <f t="shared" si="2"/>
        <v>55986977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6939048</v>
      </c>
      <c r="G10" s="1">
        <v>9739594</v>
      </c>
      <c r="H10" s="1">
        <v>0</v>
      </c>
      <c r="I10" s="1">
        <v>6730877</v>
      </c>
      <c r="J10" s="1">
        <v>0</v>
      </c>
      <c r="K10" s="1">
        <v>0</v>
      </c>
      <c r="L10" s="1">
        <v>3620700</v>
      </c>
      <c r="M10" s="1">
        <v>400000</v>
      </c>
      <c r="N10" s="1">
        <v>3676317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5223564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3145041</v>
      </c>
      <c r="AE10" s="1">
        <v>0</v>
      </c>
      <c r="AF10" s="1">
        <v>4445076</v>
      </c>
      <c r="AG10" s="1">
        <v>0</v>
      </c>
      <c r="AH10" s="1">
        <v>0</v>
      </c>
      <c r="AI10" s="1">
        <v>0</v>
      </c>
      <c r="AJ10" s="1">
        <v>3666671</v>
      </c>
      <c r="AK10" s="1">
        <v>0</v>
      </c>
      <c r="AL10" s="1">
        <v>0</v>
      </c>
      <c r="AM10" s="1">
        <v>0</v>
      </c>
      <c r="AN10" s="1">
        <v>48686888</v>
      </c>
      <c r="AO10" s="1">
        <v>8492215</v>
      </c>
      <c r="AP10" s="1">
        <v>40194673</v>
      </c>
      <c r="AQ10" s="1">
        <v>8848362</v>
      </c>
      <c r="AR10" s="1">
        <v>1327254</v>
      </c>
      <c r="AS10" s="1">
        <v>530000</v>
      </c>
      <c r="AT10" s="1">
        <f t="shared" si="2"/>
        <v>59392504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6201241</v>
      </c>
      <c r="G11" s="1">
        <v>3003182</v>
      </c>
      <c r="H11" s="1">
        <v>2574156</v>
      </c>
      <c r="I11" s="1">
        <v>5767154</v>
      </c>
      <c r="J11" s="1">
        <v>0</v>
      </c>
      <c r="K11" s="1">
        <v>0</v>
      </c>
      <c r="L11" s="1">
        <v>3788741</v>
      </c>
      <c r="M11" s="1">
        <v>400000</v>
      </c>
      <c r="N11" s="1">
        <v>3263811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6720610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2222538</v>
      </c>
      <c r="AG11" s="1">
        <v>0</v>
      </c>
      <c r="AH11" s="1">
        <v>0</v>
      </c>
      <c r="AI11" s="1">
        <v>0</v>
      </c>
      <c r="AJ11" s="1">
        <v>0</v>
      </c>
      <c r="AK11" s="1">
        <v>1125000</v>
      </c>
      <c r="AL11" s="1">
        <v>0</v>
      </c>
      <c r="AM11" s="1">
        <v>0</v>
      </c>
      <c r="AN11" s="1">
        <v>36166433</v>
      </c>
      <c r="AO11" s="1">
        <v>7462933</v>
      </c>
      <c r="AP11" s="1">
        <v>28703500</v>
      </c>
      <c r="AQ11" s="1">
        <v>6048948</v>
      </c>
      <c r="AR11" s="1">
        <v>907342</v>
      </c>
      <c r="AS11" s="1">
        <v>1060000</v>
      </c>
      <c r="AT11" s="1">
        <f t="shared" si="2"/>
        <v>44182723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6492086</v>
      </c>
      <c r="G12" s="1">
        <v>6551584</v>
      </c>
      <c r="H12" s="1">
        <v>0</v>
      </c>
      <c r="I12" s="1">
        <v>5972719</v>
      </c>
      <c r="J12" s="1">
        <v>0</v>
      </c>
      <c r="K12" s="1">
        <v>0</v>
      </c>
      <c r="L12" s="1">
        <v>3620700</v>
      </c>
      <c r="M12" s="1">
        <v>400000</v>
      </c>
      <c r="N12" s="1">
        <v>3372512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6968540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2918703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3699718</v>
      </c>
      <c r="AK12" s="1">
        <v>0</v>
      </c>
      <c r="AL12" s="1">
        <v>0</v>
      </c>
      <c r="AM12" s="1">
        <v>0</v>
      </c>
      <c r="AN12" s="1">
        <v>41096562</v>
      </c>
      <c r="AO12" s="1">
        <v>9408816</v>
      </c>
      <c r="AP12" s="1">
        <v>31687746</v>
      </c>
      <c r="AQ12" s="1">
        <v>8219312</v>
      </c>
      <c r="AR12" s="1">
        <v>1232897</v>
      </c>
      <c r="AS12" s="1">
        <v>600000</v>
      </c>
      <c r="AT12" s="1">
        <f t="shared" si="2"/>
        <v>51148771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7976142</v>
      </c>
      <c r="G13" s="1">
        <v>3382606</v>
      </c>
      <c r="H13" s="1">
        <v>0</v>
      </c>
      <c r="I13" s="1">
        <v>7098766</v>
      </c>
      <c r="J13" s="1">
        <v>0</v>
      </c>
      <c r="K13" s="1">
        <v>0</v>
      </c>
      <c r="L13" s="1">
        <v>3460800</v>
      </c>
      <c r="M13" s="1">
        <v>400000</v>
      </c>
      <c r="N13" s="1">
        <v>4253942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8137033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2222538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38031827</v>
      </c>
      <c r="AO13" s="1">
        <v>6331111</v>
      </c>
      <c r="AP13" s="1">
        <v>31700716</v>
      </c>
      <c r="AQ13" s="1">
        <v>7161858</v>
      </c>
      <c r="AR13" s="1">
        <v>1074279</v>
      </c>
      <c r="AS13" s="1">
        <v>1060000</v>
      </c>
      <c r="AT13" s="1">
        <f t="shared" si="2"/>
        <v>47327964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8085325</v>
      </c>
      <c r="G14" s="1">
        <v>8656652</v>
      </c>
      <c r="H14" s="1">
        <v>0</v>
      </c>
      <c r="I14" s="1">
        <v>5498021</v>
      </c>
      <c r="J14" s="1">
        <v>0</v>
      </c>
      <c r="K14" s="1">
        <v>0</v>
      </c>
      <c r="L14" s="1">
        <v>3460800</v>
      </c>
      <c r="M14" s="1">
        <v>400000</v>
      </c>
      <c r="N14" s="1">
        <v>4312174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7599727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3203448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6756411</v>
      </c>
      <c r="AK14" s="1">
        <v>0</v>
      </c>
      <c r="AL14" s="1">
        <v>0</v>
      </c>
      <c r="AM14" s="1">
        <v>0</v>
      </c>
      <c r="AN14" s="1">
        <v>49072558</v>
      </c>
      <c r="AO14" s="1">
        <v>8750340</v>
      </c>
      <c r="AP14" s="1">
        <v>40322218</v>
      </c>
      <c r="AQ14" s="1">
        <v>9814512</v>
      </c>
      <c r="AR14" s="1">
        <v>1472177</v>
      </c>
      <c r="AS14" s="1">
        <v>265000</v>
      </c>
      <c r="AT14" s="1">
        <f t="shared" si="2"/>
        <v>60624247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6349242</v>
      </c>
      <c r="G15" s="1">
        <v>9094088</v>
      </c>
      <c r="H15" s="1">
        <v>0</v>
      </c>
      <c r="I15" s="1">
        <v>6031780</v>
      </c>
      <c r="J15" s="1">
        <v>0</v>
      </c>
      <c r="K15" s="1">
        <v>0</v>
      </c>
      <c r="L15" s="1">
        <v>3894748</v>
      </c>
      <c r="M15" s="1">
        <v>400000</v>
      </c>
      <c r="N15" s="1">
        <v>3174621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5139118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1393600</v>
      </c>
      <c r="AD15" s="1">
        <v>0</v>
      </c>
      <c r="AE15" s="1">
        <v>0</v>
      </c>
      <c r="AF15" s="1">
        <v>1111269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37688466</v>
      </c>
      <c r="AO15" s="1">
        <v>10742757</v>
      </c>
      <c r="AP15" s="1">
        <v>26945709</v>
      </c>
      <c r="AQ15" s="1">
        <v>7315439</v>
      </c>
      <c r="AR15" s="1">
        <v>1097316</v>
      </c>
      <c r="AS15" s="1">
        <v>795000</v>
      </c>
      <c r="AT15" s="1">
        <f t="shared" si="2"/>
        <v>46896221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5245510</v>
      </c>
      <c r="G16" s="1">
        <v>3226891</v>
      </c>
      <c r="H16" s="1">
        <v>0</v>
      </c>
      <c r="I16" s="1">
        <v>4511139</v>
      </c>
      <c r="J16" s="1">
        <v>0</v>
      </c>
      <c r="K16" s="1">
        <v>0</v>
      </c>
      <c r="L16" s="1">
        <v>5571645</v>
      </c>
      <c r="M16" s="1">
        <v>400000</v>
      </c>
      <c r="N16" s="1">
        <v>2458832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6798712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2222538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31535267</v>
      </c>
      <c r="AO16" s="1">
        <v>6261900</v>
      </c>
      <c r="AP16" s="1">
        <v>25273367</v>
      </c>
      <c r="AQ16" s="1">
        <v>5862546</v>
      </c>
      <c r="AR16" s="1">
        <v>879382</v>
      </c>
      <c r="AS16" s="1">
        <v>1060000</v>
      </c>
      <c r="AT16" s="1">
        <f t="shared" si="2"/>
        <v>39337195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6810244</v>
      </c>
      <c r="G17" s="1">
        <v>3663733</v>
      </c>
      <c r="H17" s="1">
        <v>0</v>
      </c>
      <c r="I17" s="1">
        <v>6129220</v>
      </c>
      <c r="J17" s="1">
        <v>0</v>
      </c>
      <c r="K17" s="1">
        <v>0</v>
      </c>
      <c r="L17" s="1">
        <v>3620700</v>
      </c>
      <c r="M17" s="1">
        <v>400000</v>
      </c>
      <c r="N17" s="1">
        <v>3584339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4978236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2222538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32509010</v>
      </c>
      <c r="AO17" s="1">
        <v>3495279</v>
      </c>
      <c r="AP17" s="1">
        <v>29013731</v>
      </c>
      <c r="AQ17" s="1">
        <v>6057294</v>
      </c>
      <c r="AR17" s="1">
        <v>908594</v>
      </c>
      <c r="AS17" s="1">
        <v>0</v>
      </c>
      <c r="AT17" s="1">
        <f t="shared" si="2"/>
        <v>39474898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8764562</v>
      </c>
      <c r="G18" s="1">
        <v>5791502</v>
      </c>
      <c r="H18" s="1">
        <v>0</v>
      </c>
      <c r="I18" s="1">
        <v>7362232</v>
      </c>
      <c r="J18" s="1">
        <v>0</v>
      </c>
      <c r="K18" s="1">
        <v>0</v>
      </c>
      <c r="L18" s="1">
        <v>3460800</v>
      </c>
      <c r="M18" s="1">
        <v>400000</v>
      </c>
      <c r="N18" s="1">
        <v>4523645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8889542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1532400</v>
      </c>
      <c r="AD18" s="1">
        <v>0</v>
      </c>
      <c r="AE18" s="1">
        <v>0</v>
      </c>
      <c r="AF18" s="1">
        <v>1111269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42935952</v>
      </c>
      <c r="AO18" s="1">
        <v>9651896</v>
      </c>
      <c r="AP18" s="1">
        <v>33284056</v>
      </c>
      <c r="AQ18" s="1">
        <v>8364937</v>
      </c>
      <c r="AR18" s="1">
        <v>1254740</v>
      </c>
      <c r="AS18" s="1">
        <v>900000</v>
      </c>
      <c r="AT18" s="1">
        <f t="shared" si="2"/>
        <v>53455629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7363434</v>
      </c>
      <c r="G19" s="1">
        <v>4137610</v>
      </c>
      <c r="H19" s="1">
        <v>0</v>
      </c>
      <c r="I19" s="1">
        <v>7216165</v>
      </c>
      <c r="J19" s="1">
        <v>0</v>
      </c>
      <c r="K19" s="1">
        <v>0</v>
      </c>
      <c r="L19" s="1">
        <v>3620700</v>
      </c>
      <c r="M19" s="1">
        <v>400000</v>
      </c>
      <c r="N19" s="1">
        <v>3927165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7737994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2222538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37725606</v>
      </c>
      <c r="AO19" s="1">
        <v>7425793</v>
      </c>
      <c r="AP19" s="1">
        <v>30299813</v>
      </c>
      <c r="AQ19" s="1">
        <v>7100614</v>
      </c>
      <c r="AR19" s="1">
        <v>1065092</v>
      </c>
      <c r="AS19" s="1">
        <v>795000</v>
      </c>
      <c r="AT19" s="1">
        <f t="shared" si="2"/>
        <v>46686312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7701870</v>
      </c>
      <c r="G20" s="1">
        <v>10126121</v>
      </c>
      <c r="H20" s="1">
        <v>0</v>
      </c>
      <c r="I20" s="1">
        <v>7393795</v>
      </c>
      <c r="J20" s="1">
        <v>0</v>
      </c>
      <c r="K20" s="1">
        <v>0</v>
      </c>
      <c r="L20" s="1">
        <v>3620700</v>
      </c>
      <c r="M20" s="1">
        <v>400000</v>
      </c>
      <c r="N20" s="1">
        <v>4080461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6134948</v>
      </c>
      <c r="W20" s="1">
        <v>1100000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1111269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41669164</v>
      </c>
      <c r="AO20" s="1">
        <v>22074616</v>
      </c>
      <c r="AP20" s="1">
        <v>19594548</v>
      </c>
      <c r="AQ20" s="1">
        <v>8111579</v>
      </c>
      <c r="AR20" s="1">
        <v>1216737</v>
      </c>
      <c r="AS20" s="1">
        <v>900000</v>
      </c>
      <c r="AT20" s="1">
        <f t="shared" si="2"/>
        <v>51897480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13410367</v>
      </c>
      <c r="G21" s="1">
        <v>5914957</v>
      </c>
      <c r="H21" s="1">
        <v>0</v>
      </c>
      <c r="I21" s="1">
        <v>10756796</v>
      </c>
      <c r="J21" s="1">
        <v>0</v>
      </c>
      <c r="K21" s="1">
        <v>4620000</v>
      </c>
      <c r="L21" s="1">
        <v>0</v>
      </c>
      <c r="M21" s="1">
        <v>400000</v>
      </c>
      <c r="N21" s="1">
        <v>2577412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7850266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1841008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4123858</v>
      </c>
      <c r="AM21" s="1">
        <v>0</v>
      </c>
      <c r="AN21" s="1">
        <v>52594664</v>
      </c>
      <c r="AO21" s="1">
        <v>10945832</v>
      </c>
      <c r="AP21" s="1">
        <v>41648832</v>
      </c>
      <c r="AQ21" s="1">
        <v>10518933</v>
      </c>
      <c r="AR21" s="1">
        <v>1577840</v>
      </c>
      <c r="AS21" s="1">
        <v>0</v>
      </c>
      <c r="AT21" s="1">
        <f t="shared" si="2"/>
        <v>64691437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7493436</v>
      </c>
      <c r="G22" s="1">
        <v>2047944</v>
      </c>
      <c r="H22" s="1">
        <v>0</v>
      </c>
      <c r="I22" s="1">
        <v>6144618</v>
      </c>
      <c r="J22" s="1">
        <v>0</v>
      </c>
      <c r="K22" s="1">
        <v>0</v>
      </c>
      <c r="L22" s="1">
        <v>3460800</v>
      </c>
      <c r="M22" s="1">
        <v>400000</v>
      </c>
      <c r="N22" s="1">
        <v>3996499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10111420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3164303</v>
      </c>
      <c r="AE22" s="1">
        <v>0</v>
      </c>
      <c r="AF22" s="1">
        <v>2222538</v>
      </c>
      <c r="AG22" s="1">
        <v>0</v>
      </c>
      <c r="AH22" s="1">
        <v>0</v>
      </c>
      <c r="AI22" s="1">
        <v>0</v>
      </c>
      <c r="AJ22" s="1">
        <v>4368948</v>
      </c>
      <c r="AK22" s="1">
        <v>0</v>
      </c>
      <c r="AL22" s="1">
        <v>0</v>
      </c>
      <c r="AM22" s="1">
        <v>0</v>
      </c>
      <c r="AN22" s="1">
        <v>44510506</v>
      </c>
      <c r="AO22" s="1">
        <v>9129530</v>
      </c>
      <c r="AP22" s="1">
        <v>35380976</v>
      </c>
      <c r="AQ22" s="1">
        <v>8457594</v>
      </c>
      <c r="AR22" s="1">
        <v>1268639</v>
      </c>
      <c r="AS22" s="1">
        <v>1060000</v>
      </c>
      <c r="AT22" s="1">
        <f t="shared" si="2"/>
        <v>55296739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7118509</v>
      </c>
      <c r="G23" s="1">
        <v>6803243</v>
      </c>
      <c r="H23" s="1">
        <v>0</v>
      </c>
      <c r="I23" s="1">
        <v>6904954</v>
      </c>
      <c r="J23" s="1">
        <v>0</v>
      </c>
      <c r="K23" s="1">
        <v>0</v>
      </c>
      <c r="L23" s="1">
        <v>4010885</v>
      </c>
      <c r="M23" s="1">
        <v>400000</v>
      </c>
      <c r="N23" s="1">
        <v>3559254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7563155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3239040</v>
      </c>
      <c r="AE23" s="1">
        <v>0</v>
      </c>
      <c r="AF23" s="1">
        <v>2222538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42921578</v>
      </c>
      <c r="AO23" s="1">
        <v>7886672</v>
      </c>
      <c r="AP23" s="1">
        <v>35034906</v>
      </c>
      <c r="AQ23" s="1">
        <v>8139808</v>
      </c>
      <c r="AR23" s="1">
        <v>1220971</v>
      </c>
      <c r="AS23" s="1">
        <v>1060000</v>
      </c>
      <c r="AT23" s="1">
        <f t="shared" si="2"/>
        <v>53342357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12507616</v>
      </c>
      <c r="G24" s="1">
        <v>0</v>
      </c>
      <c r="H24" s="1">
        <v>0</v>
      </c>
      <c r="I24" s="1">
        <v>11053294</v>
      </c>
      <c r="J24" s="1">
        <v>0</v>
      </c>
      <c r="K24" s="1">
        <v>4620000</v>
      </c>
      <c r="L24" s="1">
        <v>0</v>
      </c>
      <c r="M24" s="1">
        <v>400000</v>
      </c>
      <c r="N24" s="1">
        <v>2301178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13122398</v>
      </c>
      <c r="W24" s="1">
        <v>1100000</v>
      </c>
      <c r="X24" s="1">
        <v>1876142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1643699</v>
      </c>
      <c r="AF24" s="1">
        <v>2222538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7960153</v>
      </c>
      <c r="AM24" s="1">
        <v>0</v>
      </c>
      <c r="AN24" s="1">
        <v>58807018</v>
      </c>
      <c r="AO24" s="1">
        <v>12079011</v>
      </c>
      <c r="AP24" s="1">
        <v>46728007</v>
      </c>
      <c r="AQ24" s="1">
        <v>11316896</v>
      </c>
      <c r="AR24" s="1">
        <v>1697534</v>
      </c>
      <c r="AS24" s="1">
        <v>0</v>
      </c>
      <c r="AT24" s="1">
        <f t="shared" si="2"/>
        <v>71821448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12688244</v>
      </c>
      <c r="G25" s="1">
        <v>8197530</v>
      </c>
      <c r="H25" s="1">
        <v>0</v>
      </c>
      <c r="I25" s="1">
        <v>11103532</v>
      </c>
      <c r="J25" s="1">
        <v>0</v>
      </c>
      <c r="K25" s="1">
        <v>4620000</v>
      </c>
      <c r="L25" s="1">
        <v>0</v>
      </c>
      <c r="M25" s="1">
        <v>400000</v>
      </c>
      <c r="N25" s="1">
        <v>2346188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1270000</v>
      </c>
      <c r="U25" s="1">
        <v>0</v>
      </c>
      <c r="V25" s="1">
        <v>11658709</v>
      </c>
      <c r="W25" s="1">
        <v>1100000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1675848</v>
      </c>
      <c r="AF25" s="1">
        <v>1111269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5496784</v>
      </c>
      <c r="AM25" s="1">
        <v>0</v>
      </c>
      <c r="AN25" s="1">
        <v>61668104</v>
      </c>
      <c r="AO25" s="1">
        <v>17822336</v>
      </c>
      <c r="AP25" s="1">
        <v>43845768</v>
      </c>
      <c r="AQ25" s="1">
        <v>11857367</v>
      </c>
      <c r="AR25" s="1">
        <v>1778605</v>
      </c>
      <c r="AS25" s="1">
        <v>0</v>
      </c>
      <c r="AT25" s="1">
        <f t="shared" si="2"/>
        <v>75304076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6725514</v>
      </c>
      <c r="G26" s="1">
        <v>1479630</v>
      </c>
      <c r="H26" s="1">
        <v>0</v>
      </c>
      <c r="I26" s="1">
        <v>5582176</v>
      </c>
      <c r="J26" s="1">
        <v>0</v>
      </c>
      <c r="K26" s="1">
        <v>0</v>
      </c>
      <c r="L26" s="1">
        <v>3715549</v>
      </c>
      <c r="M26" s="1">
        <v>400000</v>
      </c>
      <c r="N26" s="1">
        <v>3539744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9425685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2934447</v>
      </c>
      <c r="AE26" s="1">
        <v>0</v>
      </c>
      <c r="AF26" s="1">
        <v>4445076</v>
      </c>
      <c r="AG26" s="1">
        <v>0</v>
      </c>
      <c r="AH26" s="1">
        <v>0</v>
      </c>
      <c r="AI26" s="1">
        <v>0</v>
      </c>
      <c r="AJ26" s="1">
        <v>4058414</v>
      </c>
      <c r="AK26" s="1">
        <v>0</v>
      </c>
      <c r="AL26" s="1">
        <v>0</v>
      </c>
      <c r="AM26" s="1">
        <v>0</v>
      </c>
      <c r="AN26" s="1">
        <v>43406235</v>
      </c>
      <c r="AO26" s="1">
        <v>7665879</v>
      </c>
      <c r="AP26" s="1">
        <v>35740356</v>
      </c>
      <c r="AQ26" s="1">
        <v>7792232</v>
      </c>
      <c r="AR26" s="1">
        <v>1168835</v>
      </c>
      <c r="AS26" s="1">
        <v>795000</v>
      </c>
      <c r="AT26" s="1">
        <f t="shared" si="2"/>
        <v>53162302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5490784</v>
      </c>
      <c r="G27" s="1">
        <v>845994</v>
      </c>
      <c r="H27" s="1">
        <v>0</v>
      </c>
      <c r="I27" s="1">
        <v>5106429</v>
      </c>
      <c r="J27" s="1">
        <v>0</v>
      </c>
      <c r="K27" s="1">
        <v>0</v>
      </c>
      <c r="L27" s="1">
        <v>3767125</v>
      </c>
      <c r="M27" s="1">
        <v>400000</v>
      </c>
      <c r="N27" s="1">
        <v>2745392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6094687</v>
      </c>
      <c r="W27" s="1">
        <v>1100000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25550411</v>
      </c>
      <c r="AO27" s="1">
        <v>8103343</v>
      </c>
      <c r="AP27" s="1">
        <v>17447068</v>
      </c>
      <c r="AQ27" s="1">
        <v>5110082</v>
      </c>
      <c r="AR27" s="1">
        <v>766512</v>
      </c>
      <c r="AS27" s="1">
        <v>600000</v>
      </c>
      <c r="AT27" s="1">
        <f t="shared" si="2"/>
        <v>32027005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6483027</v>
      </c>
      <c r="G28" s="1">
        <v>3201935</v>
      </c>
      <c r="H28" s="1">
        <v>0</v>
      </c>
      <c r="I28" s="1">
        <v>6223706</v>
      </c>
      <c r="J28" s="1">
        <v>0</v>
      </c>
      <c r="K28" s="1">
        <v>0</v>
      </c>
      <c r="L28" s="1">
        <v>3812433</v>
      </c>
      <c r="M28" s="1">
        <v>400000</v>
      </c>
      <c r="N28" s="1">
        <v>3241514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9514154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1111269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35088038</v>
      </c>
      <c r="AO28" s="1">
        <v>10671743</v>
      </c>
      <c r="AP28" s="1">
        <v>24416295</v>
      </c>
      <c r="AQ28" s="1">
        <v>6795354</v>
      </c>
      <c r="AR28" s="1">
        <v>1019303</v>
      </c>
      <c r="AS28" s="1">
        <v>795000</v>
      </c>
      <c r="AT28" s="1">
        <f t="shared" si="2"/>
        <v>43697695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5998472</v>
      </c>
      <c r="G29" s="1">
        <v>2779320</v>
      </c>
      <c r="H29" s="1">
        <v>0</v>
      </c>
      <c r="I29" s="1">
        <v>5698549</v>
      </c>
      <c r="J29" s="1">
        <v>0</v>
      </c>
      <c r="K29" s="1">
        <v>0</v>
      </c>
      <c r="L29" s="1">
        <v>3958775</v>
      </c>
      <c r="M29" s="1">
        <v>400000</v>
      </c>
      <c r="N29" s="1">
        <v>3116090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6639043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2222538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31912787</v>
      </c>
      <c r="AO29" s="1">
        <v>6085779</v>
      </c>
      <c r="AP29" s="1">
        <v>25827008</v>
      </c>
      <c r="AQ29" s="1">
        <v>5938050</v>
      </c>
      <c r="AR29" s="1">
        <v>890707</v>
      </c>
      <c r="AS29" s="1">
        <v>530000</v>
      </c>
      <c r="AT29" s="1">
        <f t="shared" si="2"/>
        <v>39271544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12174900</v>
      </c>
      <c r="G30" s="1">
        <v>5752737</v>
      </c>
      <c r="H30" s="1">
        <v>0</v>
      </c>
      <c r="I30" s="1">
        <v>10421687</v>
      </c>
      <c r="J30" s="1">
        <v>0</v>
      </c>
      <c r="K30" s="1">
        <v>3465000</v>
      </c>
      <c r="L30" s="1">
        <v>0</v>
      </c>
      <c r="M30" s="1">
        <v>400000</v>
      </c>
      <c r="N30" s="1">
        <v>2362022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8268204</v>
      </c>
      <c r="W30" s="1">
        <v>1100000</v>
      </c>
      <c r="X30" s="1">
        <v>1826235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1687158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8916403</v>
      </c>
      <c r="AM30" s="1">
        <v>0</v>
      </c>
      <c r="AN30" s="1">
        <v>56374346</v>
      </c>
      <c r="AO30" s="1">
        <v>9631942</v>
      </c>
      <c r="AP30" s="1">
        <v>46742404</v>
      </c>
      <c r="AQ30" s="1">
        <v>11274869</v>
      </c>
      <c r="AR30" s="1">
        <v>1691230</v>
      </c>
      <c r="AS30" s="1">
        <v>0</v>
      </c>
      <c r="AT30" s="1">
        <f t="shared" si="2"/>
        <v>69340445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13211377</v>
      </c>
      <c r="G31" s="1">
        <v>5038510</v>
      </c>
      <c r="H31" s="1">
        <v>0</v>
      </c>
      <c r="I31" s="1">
        <v>11916483</v>
      </c>
      <c r="J31" s="1">
        <v>0</v>
      </c>
      <c r="K31" s="1">
        <v>4620000</v>
      </c>
      <c r="L31" s="1">
        <v>0</v>
      </c>
      <c r="M31" s="1">
        <v>400000</v>
      </c>
      <c r="N31" s="1">
        <v>2534871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11233578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1810623</v>
      </c>
      <c r="AF31" s="1">
        <v>1111269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5359443</v>
      </c>
      <c r="AM31" s="1">
        <v>0</v>
      </c>
      <c r="AN31" s="1">
        <v>58336154</v>
      </c>
      <c r="AO31" s="1">
        <v>12088156</v>
      </c>
      <c r="AP31" s="1">
        <v>46247998</v>
      </c>
      <c r="AQ31" s="1">
        <v>11444977</v>
      </c>
      <c r="AR31" s="1">
        <v>1716747</v>
      </c>
      <c r="AS31" s="1">
        <v>0</v>
      </c>
      <c r="AT31" s="1">
        <f t="shared" si="2"/>
        <v>71497878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6981135</v>
      </c>
      <c r="G32" s="1">
        <v>7714297</v>
      </c>
      <c r="H32" s="1">
        <v>0</v>
      </c>
      <c r="I32" s="1">
        <v>6352833</v>
      </c>
      <c r="J32" s="1">
        <v>0</v>
      </c>
      <c r="K32" s="1">
        <v>0</v>
      </c>
      <c r="L32" s="1">
        <v>3620700</v>
      </c>
      <c r="M32" s="1">
        <v>400000</v>
      </c>
      <c r="N32" s="1">
        <v>3698614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5150638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3097992</v>
      </c>
      <c r="AE32" s="1">
        <v>0</v>
      </c>
      <c r="AF32" s="1">
        <v>1111269</v>
      </c>
      <c r="AG32" s="1">
        <v>0</v>
      </c>
      <c r="AH32" s="1">
        <v>0</v>
      </c>
      <c r="AI32" s="1">
        <v>0</v>
      </c>
      <c r="AJ32" s="1">
        <v>3612549</v>
      </c>
      <c r="AK32" s="1">
        <v>0</v>
      </c>
      <c r="AL32" s="1">
        <v>0</v>
      </c>
      <c r="AM32" s="1">
        <v>0</v>
      </c>
      <c r="AN32" s="1">
        <v>42840027</v>
      </c>
      <c r="AO32" s="1">
        <v>5306455</v>
      </c>
      <c r="AP32" s="1">
        <v>37533572</v>
      </c>
      <c r="AQ32" s="1">
        <v>8345752</v>
      </c>
      <c r="AR32" s="1">
        <v>1251863</v>
      </c>
      <c r="AS32" s="1">
        <v>0</v>
      </c>
      <c r="AT32" s="1">
        <f t="shared" si="2"/>
        <v>52437642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6667261</v>
      </c>
      <c r="G33" s="1">
        <v>5794082</v>
      </c>
      <c r="H33" s="1">
        <v>0</v>
      </c>
      <c r="I33" s="1">
        <v>5667172</v>
      </c>
      <c r="J33" s="1">
        <v>0</v>
      </c>
      <c r="K33" s="1">
        <v>0</v>
      </c>
      <c r="L33" s="1">
        <v>3620700</v>
      </c>
      <c r="M33" s="1">
        <v>400000</v>
      </c>
      <c r="N33" s="1">
        <v>3509085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7023013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33781313</v>
      </c>
      <c r="AO33" s="1">
        <v>6081671</v>
      </c>
      <c r="AP33" s="1">
        <v>27699642</v>
      </c>
      <c r="AQ33" s="1">
        <v>6756263</v>
      </c>
      <c r="AR33" s="1">
        <v>1013439</v>
      </c>
      <c r="AS33" s="1">
        <v>265000</v>
      </c>
      <c r="AT33" s="1">
        <f t="shared" si="2"/>
        <v>41816015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6964452</v>
      </c>
      <c r="G34" s="1">
        <v>0</v>
      </c>
      <c r="H34" s="1">
        <v>0</v>
      </c>
      <c r="I34" s="1">
        <v>6685873</v>
      </c>
      <c r="J34" s="1">
        <v>0</v>
      </c>
      <c r="K34" s="1">
        <v>0</v>
      </c>
      <c r="L34" s="1">
        <v>3460800</v>
      </c>
      <c r="M34" s="1">
        <v>400000</v>
      </c>
      <c r="N34" s="1">
        <v>3665501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5179315</v>
      </c>
      <c r="W34" s="1">
        <v>1100000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3116494</v>
      </c>
      <c r="AE34" s="1">
        <v>0</v>
      </c>
      <c r="AF34" s="1">
        <v>2222538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32794973</v>
      </c>
      <c r="AO34" s="1">
        <v>5209986</v>
      </c>
      <c r="AP34" s="1">
        <v>27584987</v>
      </c>
      <c r="AQ34" s="1">
        <v>6114487</v>
      </c>
      <c r="AR34" s="1">
        <v>917173</v>
      </c>
      <c r="AS34" s="1">
        <v>0</v>
      </c>
      <c r="AT34" s="1">
        <f t="shared" si="2"/>
        <v>39826633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6572218</v>
      </c>
      <c r="G35" s="1">
        <v>0</v>
      </c>
      <c r="H35" s="1">
        <v>0</v>
      </c>
      <c r="I35" s="1">
        <v>6112162</v>
      </c>
      <c r="J35" s="1">
        <v>0</v>
      </c>
      <c r="K35" s="1">
        <v>0</v>
      </c>
      <c r="L35" s="1">
        <v>3977494</v>
      </c>
      <c r="M35" s="1">
        <v>400000</v>
      </c>
      <c r="N35" s="1">
        <v>3286109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7560414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2222538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31230935</v>
      </c>
      <c r="AO35" s="1">
        <v>10963860</v>
      </c>
      <c r="AP35" s="1">
        <v>20267075</v>
      </c>
      <c r="AQ35" s="1">
        <v>5801679</v>
      </c>
      <c r="AR35" s="1">
        <v>870252</v>
      </c>
      <c r="AS35" s="1">
        <v>1200000</v>
      </c>
      <c r="AT35" s="1">
        <f t="shared" si="2"/>
        <v>39102866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7465132</v>
      </c>
      <c r="G36" s="1">
        <v>6669972</v>
      </c>
      <c r="H36" s="1">
        <v>0</v>
      </c>
      <c r="I36" s="1">
        <v>7166527</v>
      </c>
      <c r="J36" s="1">
        <v>0</v>
      </c>
      <c r="K36" s="1">
        <v>0</v>
      </c>
      <c r="L36" s="1">
        <v>3620700</v>
      </c>
      <c r="M36" s="1">
        <v>400000</v>
      </c>
      <c r="N36" s="1">
        <v>3955037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5511969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3331109</v>
      </c>
      <c r="AE36" s="1">
        <v>0</v>
      </c>
      <c r="AF36" s="1">
        <v>1111269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40331715</v>
      </c>
      <c r="AO36" s="1">
        <v>15631579</v>
      </c>
      <c r="AP36" s="1">
        <v>24700136</v>
      </c>
      <c r="AQ36" s="1">
        <v>7844089</v>
      </c>
      <c r="AR36" s="1">
        <v>1176613</v>
      </c>
      <c r="AS36" s="1">
        <v>795000</v>
      </c>
      <c r="AT36" s="1">
        <f t="shared" si="2"/>
        <v>50147417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6243607</v>
      </c>
      <c r="G37" s="1">
        <v>15493465</v>
      </c>
      <c r="H37" s="1">
        <v>0</v>
      </c>
      <c r="I37" s="1">
        <v>6368479</v>
      </c>
      <c r="J37" s="1">
        <v>0</v>
      </c>
      <c r="K37" s="1">
        <v>0</v>
      </c>
      <c r="L37" s="1">
        <v>3620700</v>
      </c>
      <c r="M37" s="1">
        <v>400000</v>
      </c>
      <c r="N37" s="1">
        <v>3286109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7041330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2927834</v>
      </c>
      <c r="AE37" s="1">
        <v>0</v>
      </c>
      <c r="AF37" s="1">
        <v>2222538</v>
      </c>
      <c r="AG37" s="1">
        <v>0</v>
      </c>
      <c r="AH37" s="1">
        <v>0</v>
      </c>
      <c r="AI37" s="1">
        <v>0</v>
      </c>
      <c r="AJ37" s="1">
        <v>3718431</v>
      </c>
      <c r="AK37" s="1">
        <v>0</v>
      </c>
      <c r="AL37" s="1">
        <v>0</v>
      </c>
      <c r="AM37" s="1">
        <v>0</v>
      </c>
      <c r="AN37" s="1">
        <v>52422493</v>
      </c>
      <c r="AO37" s="1">
        <v>9412990</v>
      </c>
      <c r="AP37" s="1">
        <v>43009503</v>
      </c>
      <c r="AQ37" s="1">
        <v>10039991</v>
      </c>
      <c r="AR37" s="1">
        <v>1505999</v>
      </c>
      <c r="AS37" s="1">
        <v>1060000</v>
      </c>
      <c r="AT37" s="1">
        <f t="shared" si="2"/>
        <v>65028483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7355520</v>
      </c>
      <c r="G38" s="1">
        <v>8192864</v>
      </c>
      <c r="H38" s="1">
        <v>0</v>
      </c>
      <c r="I38" s="1">
        <v>6178637</v>
      </c>
      <c r="J38" s="1">
        <v>0</v>
      </c>
      <c r="K38" s="1">
        <v>0</v>
      </c>
      <c r="L38" s="1">
        <v>3460800</v>
      </c>
      <c r="M38" s="1">
        <v>400000</v>
      </c>
      <c r="N38" s="1">
        <v>3922944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5212162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3137685</v>
      </c>
      <c r="AE38" s="1">
        <v>0</v>
      </c>
      <c r="AF38" s="1">
        <v>3333807</v>
      </c>
      <c r="AG38" s="1">
        <v>0</v>
      </c>
      <c r="AH38" s="1">
        <v>0</v>
      </c>
      <c r="AI38" s="1">
        <v>0</v>
      </c>
      <c r="AJ38" s="1">
        <v>3658209</v>
      </c>
      <c r="AK38" s="1">
        <v>0</v>
      </c>
      <c r="AL38" s="1">
        <v>0</v>
      </c>
      <c r="AM38" s="1">
        <v>0</v>
      </c>
      <c r="AN38" s="1">
        <v>45952628</v>
      </c>
      <c r="AO38" s="1">
        <v>10821344</v>
      </c>
      <c r="AP38" s="1">
        <v>35131284</v>
      </c>
      <c r="AQ38" s="1">
        <v>8523764</v>
      </c>
      <c r="AR38" s="1">
        <v>1278565</v>
      </c>
      <c r="AS38" s="1">
        <v>600000</v>
      </c>
      <c r="AT38" s="1">
        <f t="shared" si="2"/>
        <v>56354957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8990897</v>
      </c>
      <c r="G39" s="1">
        <v>503445</v>
      </c>
      <c r="H39" s="1">
        <v>0</v>
      </c>
      <c r="I39" s="1">
        <v>8451443</v>
      </c>
      <c r="J39" s="1">
        <v>0</v>
      </c>
      <c r="K39" s="1">
        <v>0</v>
      </c>
      <c r="L39" s="1">
        <v>3460800</v>
      </c>
      <c r="M39" s="1">
        <v>400000</v>
      </c>
      <c r="N39" s="1">
        <v>4732051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8886775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2222538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38747949</v>
      </c>
      <c r="AO39" s="1">
        <v>7473420</v>
      </c>
      <c r="AP39" s="1">
        <v>31274529</v>
      </c>
      <c r="AQ39" s="1">
        <v>7305082</v>
      </c>
      <c r="AR39" s="1">
        <v>1095762</v>
      </c>
      <c r="AS39" s="1">
        <v>300000</v>
      </c>
      <c r="AT39" s="1">
        <f t="shared" si="2"/>
        <v>47448793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7196829</v>
      </c>
      <c r="G40" s="1">
        <v>5218882</v>
      </c>
      <c r="H40" s="1">
        <v>0</v>
      </c>
      <c r="I40" s="1">
        <v>5613527</v>
      </c>
      <c r="J40" s="1">
        <v>0</v>
      </c>
      <c r="K40" s="1">
        <v>0</v>
      </c>
      <c r="L40" s="1">
        <v>3620700</v>
      </c>
      <c r="M40" s="1">
        <v>400000</v>
      </c>
      <c r="N40" s="1">
        <v>3812890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7284222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4445076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38692126</v>
      </c>
      <c r="AO40" s="1">
        <v>6049575</v>
      </c>
      <c r="AP40" s="1">
        <v>32642551</v>
      </c>
      <c r="AQ40" s="1">
        <v>6849410</v>
      </c>
      <c r="AR40" s="1">
        <v>1027412</v>
      </c>
      <c r="AS40" s="1">
        <v>0</v>
      </c>
      <c r="AT40" s="1">
        <f t="shared" si="2"/>
        <v>46568948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6018157</v>
      </c>
      <c r="G41" s="1">
        <v>901418</v>
      </c>
      <c r="H41" s="1">
        <v>0</v>
      </c>
      <c r="I41" s="1">
        <v>5657068</v>
      </c>
      <c r="J41" s="1">
        <v>0</v>
      </c>
      <c r="K41" s="1">
        <v>0</v>
      </c>
      <c r="L41" s="1">
        <v>3620700</v>
      </c>
      <c r="M41" s="1">
        <v>400000</v>
      </c>
      <c r="N41" s="1">
        <v>3146749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6281942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3333807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30459841</v>
      </c>
      <c r="AO41" s="1">
        <v>5460450</v>
      </c>
      <c r="AP41" s="1">
        <v>24999391</v>
      </c>
      <c r="AQ41" s="1">
        <v>5425207</v>
      </c>
      <c r="AR41" s="1">
        <v>813781</v>
      </c>
      <c r="AS41" s="1">
        <v>1325000</v>
      </c>
      <c r="AT41" s="1">
        <f t="shared" si="2"/>
        <v>38023829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6476617</v>
      </c>
      <c r="G42" s="1">
        <v>2889296</v>
      </c>
      <c r="H42" s="1">
        <v>0</v>
      </c>
      <c r="I42" s="1">
        <v>6023253</v>
      </c>
      <c r="J42" s="1">
        <v>0</v>
      </c>
      <c r="K42" s="1">
        <v>0</v>
      </c>
      <c r="L42" s="1">
        <v>3620700</v>
      </c>
      <c r="M42" s="1">
        <v>400000</v>
      </c>
      <c r="N42" s="1">
        <v>3408746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6887101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1111269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31916982</v>
      </c>
      <c r="AO42" s="1">
        <v>4902384</v>
      </c>
      <c r="AP42" s="1">
        <v>27014598</v>
      </c>
      <c r="AQ42" s="1">
        <v>6161143</v>
      </c>
      <c r="AR42" s="1">
        <v>924171</v>
      </c>
      <c r="AS42" s="1">
        <v>795000</v>
      </c>
      <c r="AT42" s="1">
        <f t="shared" si="2"/>
        <v>39797296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6704958</v>
      </c>
      <c r="G43" s="1">
        <v>7226818</v>
      </c>
      <c r="H43" s="1">
        <v>0</v>
      </c>
      <c r="I43" s="1">
        <v>4961669</v>
      </c>
      <c r="J43" s="1">
        <v>0</v>
      </c>
      <c r="K43" s="1">
        <v>0</v>
      </c>
      <c r="L43" s="1">
        <v>3620700</v>
      </c>
      <c r="M43" s="1">
        <v>400000</v>
      </c>
      <c r="N43" s="1">
        <v>3575978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4734468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2829496</v>
      </c>
      <c r="AE43" s="1">
        <v>0</v>
      </c>
      <c r="AF43" s="1">
        <v>1111269</v>
      </c>
      <c r="AG43" s="1">
        <v>0</v>
      </c>
      <c r="AH43" s="1">
        <v>0</v>
      </c>
      <c r="AI43" s="1">
        <v>0</v>
      </c>
      <c r="AJ43" s="1">
        <v>2202459</v>
      </c>
      <c r="AK43" s="1">
        <v>0</v>
      </c>
      <c r="AL43" s="1">
        <v>0</v>
      </c>
      <c r="AM43" s="1">
        <v>0</v>
      </c>
      <c r="AN43" s="1">
        <v>38467815</v>
      </c>
      <c r="AO43" s="1">
        <v>13919589</v>
      </c>
      <c r="AP43" s="1">
        <v>24548226</v>
      </c>
      <c r="AQ43" s="1">
        <v>7471309</v>
      </c>
      <c r="AR43" s="1">
        <v>1120696</v>
      </c>
      <c r="AS43" s="1">
        <v>795000</v>
      </c>
      <c r="AT43" s="1">
        <f t="shared" si="2"/>
        <v>47854820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5819674</v>
      </c>
      <c r="G44" s="1">
        <v>6362854</v>
      </c>
      <c r="H44" s="1">
        <v>0</v>
      </c>
      <c r="I44" s="1">
        <v>5528690</v>
      </c>
      <c r="J44" s="1">
        <v>0</v>
      </c>
      <c r="K44" s="1">
        <v>0</v>
      </c>
      <c r="L44" s="1">
        <v>4041049</v>
      </c>
      <c r="M44" s="1">
        <v>400000</v>
      </c>
      <c r="N44" s="1">
        <v>2909837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6632749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2744888</v>
      </c>
      <c r="AE44" s="1">
        <v>0</v>
      </c>
      <c r="AF44" s="1">
        <v>2222538</v>
      </c>
      <c r="AG44" s="1">
        <v>0</v>
      </c>
      <c r="AH44" s="1">
        <v>0</v>
      </c>
      <c r="AI44" s="1">
        <v>0</v>
      </c>
      <c r="AJ44" s="1">
        <v>3490480</v>
      </c>
      <c r="AK44" s="1">
        <v>0</v>
      </c>
      <c r="AL44" s="1">
        <v>0</v>
      </c>
      <c r="AM44" s="1">
        <v>0</v>
      </c>
      <c r="AN44" s="1">
        <v>41252759</v>
      </c>
      <c r="AO44" s="1">
        <v>9161515</v>
      </c>
      <c r="AP44" s="1">
        <v>32091244</v>
      </c>
      <c r="AQ44" s="1">
        <v>7806044</v>
      </c>
      <c r="AR44" s="1">
        <v>1170907</v>
      </c>
      <c r="AS44" s="1">
        <v>1060000</v>
      </c>
      <c r="AT44" s="1">
        <f t="shared" si="2"/>
        <v>51289710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9290643</v>
      </c>
      <c r="G45" s="1">
        <v>7326736</v>
      </c>
      <c r="H45" s="1">
        <v>0</v>
      </c>
      <c r="I45" s="1">
        <v>7897047</v>
      </c>
      <c r="J45" s="1">
        <v>0</v>
      </c>
      <c r="K45" s="1">
        <v>0</v>
      </c>
      <c r="L45" s="1">
        <v>3620700</v>
      </c>
      <c r="M45" s="1">
        <v>400000</v>
      </c>
      <c r="N45" s="1">
        <v>4922195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8918017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3859588</v>
      </c>
      <c r="AE45" s="1">
        <v>0</v>
      </c>
      <c r="AF45" s="1">
        <v>2222538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49557464</v>
      </c>
      <c r="AO45" s="1">
        <v>10479934</v>
      </c>
      <c r="AP45" s="1">
        <v>39077530</v>
      </c>
      <c r="AQ45" s="1">
        <v>9466985</v>
      </c>
      <c r="AR45" s="1">
        <v>1420048</v>
      </c>
      <c r="AS45" s="1">
        <v>1060000</v>
      </c>
      <c r="AT45" s="1">
        <f t="shared" si="2"/>
        <v>61504497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7133490</v>
      </c>
      <c r="G46" s="1">
        <v>2942158</v>
      </c>
      <c r="H46" s="1">
        <v>0</v>
      </c>
      <c r="I46" s="1">
        <v>6420141</v>
      </c>
      <c r="J46" s="1">
        <v>0</v>
      </c>
      <c r="K46" s="1">
        <v>0</v>
      </c>
      <c r="L46" s="1">
        <v>3620700</v>
      </c>
      <c r="M46" s="1">
        <v>400000</v>
      </c>
      <c r="N46" s="1">
        <v>3804528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10059289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3146829</v>
      </c>
      <c r="AE46" s="1">
        <v>0</v>
      </c>
      <c r="AF46" s="1">
        <v>2222538</v>
      </c>
      <c r="AG46" s="1">
        <v>0</v>
      </c>
      <c r="AH46" s="1">
        <v>0</v>
      </c>
      <c r="AI46" s="1">
        <v>0</v>
      </c>
      <c r="AJ46" s="1">
        <v>4345341</v>
      </c>
      <c r="AK46" s="1">
        <v>0</v>
      </c>
      <c r="AL46" s="1">
        <v>0</v>
      </c>
      <c r="AM46" s="1">
        <v>0</v>
      </c>
      <c r="AN46" s="1">
        <v>45195014</v>
      </c>
      <c r="AO46" s="1">
        <v>8394166</v>
      </c>
      <c r="AP46" s="1">
        <v>36800848</v>
      </c>
      <c r="AQ46" s="1">
        <v>8594495</v>
      </c>
      <c r="AR46" s="1">
        <v>1289174</v>
      </c>
      <c r="AS46" s="1">
        <v>1060000</v>
      </c>
      <c r="AT46" s="1">
        <f t="shared" si="2"/>
        <v>56138683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6594515</v>
      </c>
      <c r="G47" s="1">
        <v>10799967</v>
      </c>
      <c r="H47" s="1">
        <v>0</v>
      </c>
      <c r="I47" s="1">
        <v>5935064</v>
      </c>
      <c r="J47" s="1">
        <v>0</v>
      </c>
      <c r="K47" s="1">
        <v>0</v>
      </c>
      <c r="L47" s="1">
        <v>3968885</v>
      </c>
      <c r="M47" s="1">
        <v>400000</v>
      </c>
      <c r="N47" s="1">
        <v>3297258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7134067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2222538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41452294</v>
      </c>
      <c r="AO47" s="1">
        <v>20134416</v>
      </c>
      <c r="AP47" s="1">
        <v>21317878</v>
      </c>
      <c r="AQ47" s="1">
        <v>7845951</v>
      </c>
      <c r="AR47" s="1">
        <v>1176893</v>
      </c>
      <c r="AS47" s="1">
        <v>1200000</v>
      </c>
      <c r="AT47" s="1">
        <f t="shared" si="2"/>
        <v>51675138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13387650</v>
      </c>
      <c r="G48" s="1">
        <v>0</v>
      </c>
      <c r="H48" s="1">
        <v>0</v>
      </c>
      <c r="I48" s="1">
        <v>12348226</v>
      </c>
      <c r="J48" s="1">
        <v>0</v>
      </c>
      <c r="K48" s="1">
        <v>4620000</v>
      </c>
      <c r="L48" s="1">
        <v>0</v>
      </c>
      <c r="M48" s="1">
        <v>400000</v>
      </c>
      <c r="N48" s="1">
        <v>2616432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14438072</v>
      </c>
      <c r="W48" s="1">
        <v>1100000</v>
      </c>
      <c r="X48" s="1">
        <v>2008148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1868880</v>
      </c>
      <c r="AF48" s="1">
        <v>1111269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8800628</v>
      </c>
      <c r="AM48" s="1">
        <v>0</v>
      </c>
      <c r="AN48" s="1">
        <v>62699305</v>
      </c>
      <c r="AO48" s="1">
        <v>17166933</v>
      </c>
      <c r="AP48" s="1">
        <v>45532372</v>
      </c>
      <c r="AQ48" s="1">
        <v>12317607</v>
      </c>
      <c r="AR48" s="1">
        <v>1847641</v>
      </c>
      <c r="AS48" s="1">
        <v>0</v>
      </c>
      <c r="AT48" s="1">
        <f t="shared" si="2"/>
        <v>76864553</v>
      </c>
    </row>
    <row r="49" spans="1:4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10556321</v>
      </c>
      <c r="G49" s="1">
        <v>279593</v>
      </c>
      <c r="H49" s="1">
        <v>0</v>
      </c>
      <c r="I49" s="1">
        <v>8867309</v>
      </c>
      <c r="J49" s="1">
        <v>0</v>
      </c>
      <c r="K49" s="1">
        <v>0</v>
      </c>
      <c r="L49" s="1">
        <v>3460800</v>
      </c>
      <c r="M49" s="1">
        <v>400000</v>
      </c>
      <c r="N49" s="1">
        <v>5630038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9829738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1111269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41235068</v>
      </c>
      <c r="AO49" s="1">
        <v>19088711</v>
      </c>
      <c r="AP49" s="1">
        <v>22146357</v>
      </c>
      <c r="AQ49" s="1">
        <v>8024760</v>
      </c>
      <c r="AR49" s="1">
        <v>1203714</v>
      </c>
      <c r="AS49" s="1">
        <v>795000</v>
      </c>
      <c r="AT49" s="1">
        <f t="shared" si="2"/>
        <v>51258542</v>
      </c>
    </row>
    <row r="50" spans="1:4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6309663</v>
      </c>
      <c r="G50" s="1">
        <v>4894050</v>
      </c>
      <c r="H50" s="1">
        <v>2581477</v>
      </c>
      <c r="I50" s="1">
        <v>5867987</v>
      </c>
      <c r="J50" s="1">
        <v>0</v>
      </c>
      <c r="K50" s="1">
        <v>0</v>
      </c>
      <c r="L50" s="1">
        <v>3620700</v>
      </c>
      <c r="M50" s="1">
        <v>400000</v>
      </c>
      <c r="N50" s="1">
        <v>3277747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6738672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2222538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37012834</v>
      </c>
      <c r="AO50" s="1">
        <v>8045316</v>
      </c>
      <c r="AP50" s="1">
        <v>28967518</v>
      </c>
      <c r="AQ50" s="1">
        <v>6441764</v>
      </c>
      <c r="AR50" s="1">
        <v>966265</v>
      </c>
      <c r="AS50" s="1">
        <v>1060000</v>
      </c>
      <c r="AT50" s="1">
        <f t="shared" si="2"/>
        <v>45480863</v>
      </c>
    </row>
    <row r="51" spans="1:4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6581833</v>
      </c>
      <c r="G51" s="1">
        <v>5720616</v>
      </c>
      <c r="H51" s="1">
        <v>0</v>
      </c>
      <c r="I51" s="1">
        <v>5726195</v>
      </c>
      <c r="J51" s="1">
        <v>0</v>
      </c>
      <c r="K51" s="1">
        <v>0</v>
      </c>
      <c r="L51" s="1">
        <v>3646344</v>
      </c>
      <c r="M51" s="1">
        <v>400000</v>
      </c>
      <c r="N51" s="1">
        <v>3375299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6821717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33372004</v>
      </c>
      <c r="AO51" s="1">
        <v>9658059</v>
      </c>
      <c r="AP51" s="1">
        <v>23713945</v>
      </c>
      <c r="AQ51" s="1">
        <v>6674401</v>
      </c>
      <c r="AR51" s="1">
        <v>1001160</v>
      </c>
      <c r="AS51" s="1">
        <v>600000</v>
      </c>
      <c r="AT51" s="1">
        <f t="shared" si="2"/>
        <v>41647565</v>
      </c>
    </row>
    <row r="52" spans="1:4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69117295</v>
      </c>
      <c r="G52" s="1">
        <v>32046125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1260000</v>
      </c>
      <c r="Q52" s="1">
        <v>0</v>
      </c>
      <c r="R52" s="1">
        <v>0</v>
      </c>
      <c r="S52" s="1">
        <v>0</v>
      </c>
      <c r="T52" s="1">
        <v>1260000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103683420</v>
      </c>
      <c r="AO52" s="1">
        <v>12226410</v>
      </c>
      <c r="AP52" s="1">
        <v>91457010</v>
      </c>
      <c r="AQ52" s="1">
        <v>0</v>
      </c>
      <c r="AR52" s="1">
        <v>0</v>
      </c>
      <c r="AS52" s="1">
        <v>0</v>
      </c>
      <c r="AT52" s="1">
        <f t="shared" si="2"/>
        <v>103683420</v>
      </c>
    </row>
    <row r="53" spans="1:4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7917042</v>
      </c>
      <c r="G53" s="1">
        <v>9858600</v>
      </c>
      <c r="H53" s="1">
        <v>0</v>
      </c>
      <c r="I53" s="1">
        <v>5858611</v>
      </c>
      <c r="J53" s="1">
        <v>0</v>
      </c>
      <c r="K53" s="1">
        <v>0</v>
      </c>
      <c r="L53" s="1">
        <v>3620700</v>
      </c>
      <c r="M53" s="1">
        <v>400000</v>
      </c>
      <c r="N53" s="1">
        <v>4166864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5477514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2222538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40621869</v>
      </c>
      <c r="AO53" s="1">
        <v>8432905</v>
      </c>
      <c r="AP53" s="1">
        <v>32188964</v>
      </c>
      <c r="AQ53" s="1">
        <v>7679866</v>
      </c>
      <c r="AR53" s="1">
        <v>1151980</v>
      </c>
      <c r="AS53" s="1">
        <v>1060000</v>
      </c>
      <c r="AT53" s="1">
        <f t="shared" si="2"/>
        <v>50513715</v>
      </c>
    </row>
    <row r="54" spans="1:4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16568068</v>
      </c>
      <c r="G54" s="1">
        <v>26785849</v>
      </c>
      <c r="H54" s="1">
        <v>0</v>
      </c>
      <c r="I54" s="1">
        <v>14870859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1260000</v>
      </c>
      <c r="Q54" s="1">
        <v>0</v>
      </c>
      <c r="R54" s="1">
        <v>0</v>
      </c>
      <c r="S54" s="1">
        <v>0</v>
      </c>
      <c r="T54" s="1">
        <v>1380000</v>
      </c>
      <c r="U54" s="1">
        <v>0</v>
      </c>
      <c r="V54" s="1">
        <v>3629929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2484658</v>
      </c>
      <c r="AD54" s="1">
        <v>0</v>
      </c>
      <c r="AE54" s="1">
        <v>0</v>
      </c>
      <c r="AF54" s="1">
        <v>1111269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2375702</v>
      </c>
      <c r="AM54" s="1">
        <v>0</v>
      </c>
      <c r="AN54" s="1">
        <v>71966334</v>
      </c>
      <c r="AO54" s="1">
        <v>15237168</v>
      </c>
      <c r="AP54" s="1">
        <v>56729166</v>
      </c>
      <c r="AQ54" s="1">
        <v>13895013</v>
      </c>
      <c r="AR54" s="1">
        <v>2084252</v>
      </c>
      <c r="AS54" s="1">
        <v>0</v>
      </c>
      <c r="AT54" s="1">
        <f t="shared" si="2"/>
        <v>87945599</v>
      </c>
    </row>
    <row r="55" spans="1:4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1999067</v>
      </c>
      <c r="G55" s="1">
        <v>2464654</v>
      </c>
      <c r="H55" s="1">
        <v>0</v>
      </c>
      <c r="I55" s="1">
        <v>1819151</v>
      </c>
      <c r="J55" s="1">
        <v>0</v>
      </c>
      <c r="K55" s="1">
        <v>0</v>
      </c>
      <c r="L55" s="1">
        <v>965520</v>
      </c>
      <c r="M55" s="1">
        <v>106667</v>
      </c>
      <c r="N55" s="1">
        <v>0</v>
      </c>
      <c r="O55" s="1">
        <v>0</v>
      </c>
      <c r="P55" s="1">
        <v>336000</v>
      </c>
      <c r="Q55" s="1">
        <v>0</v>
      </c>
      <c r="R55" s="1">
        <v>0</v>
      </c>
      <c r="S55" s="1">
        <v>0</v>
      </c>
      <c r="T55" s="1">
        <v>120000</v>
      </c>
      <c r="U55" s="1">
        <v>0</v>
      </c>
      <c r="V55" s="1">
        <v>518374</v>
      </c>
      <c r="W55" s="1">
        <v>293333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8622766</v>
      </c>
      <c r="AO55" s="1">
        <v>2736091</v>
      </c>
      <c r="AP55" s="1">
        <v>5886675</v>
      </c>
      <c r="AQ55" s="1">
        <v>1700553</v>
      </c>
      <c r="AR55" s="1">
        <v>255083</v>
      </c>
      <c r="AS55" s="1">
        <v>1590000</v>
      </c>
      <c r="AT55" s="1">
        <f t="shared" si="2"/>
        <v>12168402</v>
      </c>
    </row>
    <row r="56" spans="1:4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5862318</v>
      </c>
      <c r="G56" s="1">
        <v>9358070</v>
      </c>
      <c r="H56" s="1">
        <v>0</v>
      </c>
      <c r="I56" s="1">
        <v>4279492</v>
      </c>
      <c r="J56" s="1">
        <v>0</v>
      </c>
      <c r="K56" s="1">
        <v>0</v>
      </c>
      <c r="L56" s="1">
        <v>3725741</v>
      </c>
      <c r="M56" s="1">
        <v>400000</v>
      </c>
      <c r="N56" s="1">
        <v>3085430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8211577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2542947</v>
      </c>
      <c r="AE56" s="1">
        <v>0</v>
      </c>
      <c r="AF56" s="1">
        <v>1111269</v>
      </c>
      <c r="AG56" s="1">
        <v>0</v>
      </c>
      <c r="AH56" s="1">
        <v>0</v>
      </c>
      <c r="AI56" s="1">
        <v>0</v>
      </c>
      <c r="AJ56" s="1">
        <v>4697384</v>
      </c>
      <c r="AK56" s="1">
        <v>0</v>
      </c>
      <c r="AL56" s="1">
        <v>0</v>
      </c>
      <c r="AM56" s="1">
        <v>0</v>
      </c>
      <c r="AN56" s="1">
        <v>44374228</v>
      </c>
      <c r="AO56" s="1">
        <v>8661867</v>
      </c>
      <c r="AP56" s="1">
        <v>35712361</v>
      </c>
      <c r="AQ56" s="1">
        <v>8652592</v>
      </c>
      <c r="AR56" s="1">
        <v>1297889</v>
      </c>
      <c r="AS56" s="1">
        <v>795000</v>
      </c>
      <c r="AT56" s="1">
        <f t="shared" si="2"/>
        <v>55119709</v>
      </c>
    </row>
    <row r="57" spans="1:4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15304244</v>
      </c>
      <c r="G57" s="1">
        <v>11544772</v>
      </c>
      <c r="H57" s="1">
        <v>0</v>
      </c>
      <c r="I57" s="1">
        <v>14642156</v>
      </c>
      <c r="J57" s="1">
        <v>0</v>
      </c>
      <c r="K57" s="1">
        <v>5500000</v>
      </c>
      <c r="L57" s="1">
        <v>0</v>
      </c>
      <c r="M57" s="1">
        <v>400000</v>
      </c>
      <c r="N57" s="1">
        <v>2705044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3998190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2461369</v>
      </c>
      <c r="AD57" s="1">
        <v>0</v>
      </c>
      <c r="AE57" s="1">
        <v>1932175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2936906</v>
      </c>
      <c r="AM57" s="1">
        <v>0</v>
      </c>
      <c r="AN57" s="1">
        <v>62524856</v>
      </c>
      <c r="AO57" s="1">
        <v>11685263</v>
      </c>
      <c r="AP57" s="1">
        <v>50839593</v>
      </c>
      <c r="AQ57" s="1">
        <v>12504971</v>
      </c>
      <c r="AR57" s="1">
        <v>1875746</v>
      </c>
      <c r="AS57" s="1">
        <v>0</v>
      </c>
      <c r="AT57" s="1">
        <f t="shared" si="2"/>
        <v>76905573</v>
      </c>
    </row>
    <row r="58" spans="1:4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12397503</v>
      </c>
      <c r="G58" s="1">
        <v>9965777</v>
      </c>
      <c r="H58" s="1">
        <v>0</v>
      </c>
      <c r="I58" s="1">
        <v>12363425</v>
      </c>
      <c r="J58" s="1">
        <v>0</v>
      </c>
      <c r="K58" s="1">
        <v>4620000</v>
      </c>
      <c r="L58" s="1">
        <v>0</v>
      </c>
      <c r="M58" s="1">
        <v>400000</v>
      </c>
      <c r="N58" s="1">
        <v>2468000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17537402</v>
      </c>
      <c r="W58" s="1">
        <v>1100000</v>
      </c>
      <c r="X58" s="1">
        <v>1859625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1762857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10418108</v>
      </c>
      <c r="AM58" s="1">
        <v>0</v>
      </c>
      <c r="AN58" s="1">
        <v>74892697</v>
      </c>
      <c r="AO58" s="1">
        <v>19639836</v>
      </c>
      <c r="AP58" s="1">
        <v>55252861</v>
      </c>
      <c r="AQ58" s="1">
        <v>14978539</v>
      </c>
      <c r="AR58" s="1">
        <v>2246781</v>
      </c>
      <c r="AS58" s="1">
        <v>0</v>
      </c>
      <c r="AT58" s="1">
        <f t="shared" si="2"/>
        <v>92118017</v>
      </c>
    </row>
    <row r="59" spans="1:4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17493795</v>
      </c>
      <c r="G59" s="1">
        <v>12244794</v>
      </c>
      <c r="H59" s="1">
        <v>0</v>
      </c>
      <c r="I59" s="1">
        <v>14363295</v>
      </c>
      <c r="J59" s="1">
        <v>0</v>
      </c>
      <c r="K59" s="1">
        <v>5500000</v>
      </c>
      <c r="L59" s="1">
        <v>0</v>
      </c>
      <c r="M59" s="1">
        <v>400000</v>
      </c>
      <c r="N59" s="1">
        <v>3056697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14512348</v>
      </c>
      <c r="W59" s="1">
        <v>1100000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2183355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4366710</v>
      </c>
      <c r="AM59" s="1">
        <v>0</v>
      </c>
      <c r="AN59" s="1">
        <v>75220994</v>
      </c>
      <c r="AO59" s="1">
        <v>13961128</v>
      </c>
      <c r="AP59" s="1">
        <v>61259866</v>
      </c>
      <c r="AQ59" s="1">
        <v>15044199</v>
      </c>
      <c r="AR59" s="1">
        <v>2256630</v>
      </c>
      <c r="AS59" s="1">
        <v>0</v>
      </c>
      <c r="AT59" s="1">
        <f t="shared" si="2"/>
        <v>92521823</v>
      </c>
    </row>
    <row r="60" spans="1:4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12077637</v>
      </c>
      <c r="G60" s="1">
        <v>14037820</v>
      </c>
      <c r="H60" s="1">
        <v>0</v>
      </c>
      <c r="I60" s="1">
        <v>11931126</v>
      </c>
      <c r="J60" s="1">
        <v>0</v>
      </c>
      <c r="K60" s="1">
        <v>4620000</v>
      </c>
      <c r="L60" s="1">
        <v>0</v>
      </c>
      <c r="M60" s="1">
        <v>400000</v>
      </c>
      <c r="N60" s="1">
        <v>2356047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1270000</v>
      </c>
      <c r="U60" s="1">
        <v>0</v>
      </c>
      <c r="V60" s="1">
        <v>16939359</v>
      </c>
      <c r="W60" s="1">
        <v>1100000</v>
      </c>
      <c r="X60" s="1">
        <v>1811646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1682890</v>
      </c>
      <c r="AF60" s="1">
        <v>2222538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10018275</v>
      </c>
      <c r="AM60" s="1">
        <v>0</v>
      </c>
      <c r="AN60" s="1">
        <v>80467338</v>
      </c>
      <c r="AO60" s="1">
        <v>21257877</v>
      </c>
      <c r="AP60" s="1">
        <v>59209461</v>
      </c>
      <c r="AQ60" s="1">
        <v>15394960</v>
      </c>
      <c r="AR60" s="1">
        <v>2309244</v>
      </c>
      <c r="AS60" s="1">
        <v>0</v>
      </c>
      <c r="AT60" s="1">
        <f t="shared" si="2"/>
        <v>98171542</v>
      </c>
    </row>
    <row r="61" spans="1:4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24007920</v>
      </c>
      <c r="G61" s="1">
        <v>21127996</v>
      </c>
      <c r="H61" s="1">
        <v>0</v>
      </c>
      <c r="I61" s="1">
        <v>28577245</v>
      </c>
      <c r="J61" s="1">
        <v>0</v>
      </c>
      <c r="K61" s="1">
        <v>0</v>
      </c>
      <c r="L61" s="1">
        <v>0</v>
      </c>
      <c r="M61" s="1">
        <v>400000</v>
      </c>
      <c r="N61" s="1">
        <v>4216481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6585349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2425950</v>
      </c>
      <c r="AD61" s="1">
        <v>0</v>
      </c>
      <c r="AE61" s="1">
        <v>3011772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3614126</v>
      </c>
      <c r="AM61" s="1">
        <v>0</v>
      </c>
      <c r="AN61" s="1">
        <v>95066839</v>
      </c>
      <c r="AO61" s="1">
        <v>26248999</v>
      </c>
      <c r="AP61" s="1">
        <v>68817840</v>
      </c>
      <c r="AQ61" s="1">
        <v>15557766</v>
      </c>
      <c r="AR61" s="1">
        <v>2333665</v>
      </c>
      <c r="AS61" s="1">
        <v>0</v>
      </c>
      <c r="AT61" s="1">
        <f t="shared" si="2"/>
        <v>112958270</v>
      </c>
    </row>
    <row r="62" spans="1:4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20022174</v>
      </c>
      <c r="G62" s="1">
        <v>9620781</v>
      </c>
      <c r="H62" s="1">
        <v>0</v>
      </c>
      <c r="I62" s="1">
        <v>18151532</v>
      </c>
      <c r="J62" s="1">
        <v>0</v>
      </c>
      <c r="K62" s="1">
        <v>5500000</v>
      </c>
      <c r="L62" s="1">
        <v>0</v>
      </c>
      <c r="M62" s="1">
        <v>400000</v>
      </c>
      <c r="N62" s="1">
        <v>3175569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17817004</v>
      </c>
      <c r="W62" s="1">
        <v>1100000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2268263</v>
      </c>
      <c r="AF62" s="1">
        <v>1111269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4536526</v>
      </c>
      <c r="AM62" s="1">
        <v>0</v>
      </c>
      <c r="AN62" s="1">
        <v>83703118</v>
      </c>
      <c r="AO62" s="1">
        <v>15056849</v>
      </c>
      <c r="AP62" s="1">
        <v>68646269</v>
      </c>
      <c r="AQ62" s="1">
        <v>15557766</v>
      </c>
      <c r="AR62" s="1">
        <v>2333665</v>
      </c>
      <c r="AS62" s="1">
        <v>0</v>
      </c>
      <c r="AT62" s="1">
        <f t="shared" si="2"/>
        <v>101594549</v>
      </c>
    </row>
    <row r="63" spans="1:4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13734471</v>
      </c>
      <c r="G63" s="1">
        <v>21426316</v>
      </c>
      <c r="H63" s="1">
        <v>0</v>
      </c>
      <c r="I63" s="1">
        <v>13290738</v>
      </c>
      <c r="J63" s="1">
        <v>0</v>
      </c>
      <c r="K63" s="1">
        <v>4620000</v>
      </c>
      <c r="L63" s="1">
        <v>0</v>
      </c>
      <c r="M63" s="1">
        <v>400000</v>
      </c>
      <c r="N63" s="1">
        <v>2737819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1270000</v>
      </c>
      <c r="U63" s="1">
        <v>0</v>
      </c>
      <c r="V63" s="1">
        <v>9984667</v>
      </c>
      <c r="W63" s="1">
        <v>1100000</v>
      </c>
      <c r="X63" s="1">
        <v>2060171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1955585</v>
      </c>
      <c r="AF63" s="1">
        <v>2222538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10769331</v>
      </c>
      <c r="AM63" s="1">
        <v>0</v>
      </c>
      <c r="AN63" s="1">
        <v>85571636</v>
      </c>
      <c r="AO63" s="1">
        <v>17062658</v>
      </c>
      <c r="AP63" s="1">
        <v>68508978</v>
      </c>
      <c r="AQ63" s="1">
        <v>15557766</v>
      </c>
      <c r="AR63" s="1">
        <v>2333665</v>
      </c>
      <c r="AS63" s="1">
        <v>0</v>
      </c>
      <c r="AT63" s="1">
        <f t="shared" si="2"/>
        <v>103463067</v>
      </c>
    </row>
    <row r="64" spans="1:4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17844210</v>
      </c>
      <c r="G64" s="1">
        <v>9614978</v>
      </c>
      <c r="H64" s="1">
        <v>0</v>
      </c>
      <c r="I64" s="1">
        <v>16413789</v>
      </c>
      <c r="J64" s="1">
        <v>0</v>
      </c>
      <c r="K64" s="1">
        <v>5500000</v>
      </c>
      <c r="L64" s="1">
        <v>0</v>
      </c>
      <c r="M64" s="1">
        <v>400000</v>
      </c>
      <c r="N64" s="1">
        <v>3179342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1270000</v>
      </c>
      <c r="U64" s="1">
        <v>0</v>
      </c>
      <c r="V64" s="1">
        <v>9629138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2425950</v>
      </c>
      <c r="AD64" s="1">
        <v>0</v>
      </c>
      <c r="AE64" s="1">
        <v>2270959</v>
      </c>
      <c r="AF64" s="1">
        <v>1111269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3179342</v>
      </c>
      <c r="AM64" s="1">
        <v>0</v>
      </c>
      <c r="AN64" s="1">
        <v>73938977</v>
      </c>
      <c r="AO64" s="1">
        <v>10352822</v>
      </c>
      <c r="AP64" s="1">
        <v>63586155</v>
      </c>
      <c r="AQ64" s="1">
        <v>14311542</v>
      </c>
      <c r="AR64" s="1">
        <v>2146731</v>
      </c>
      <c r="AS64" s="1">
        <v>0</v>
      </c>
      <c r="AT64" s="1">
        <f t="shared" si="2"/>
        <v>90397250</v>
      </c>
    </row>
    <row r="65" spans="1:4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15704660</v>
      </c>
      <c r="G65" s="1">
        <v>997413</v>
      </c>
      <c r="H65" s="1">
        <v>0</v>
      </c>
      <c r="I65" s="1">
        <v>12713423</v>
      </c>
      <c r="J65" s="1">
        <v>0</v>
      </c>
      <c r="K65" s="1">
        <v>5500000</v>
      </c>
      <c r="L65" s="1">
        <v>0</v>
      </c>
      <c r="M65" s="1">
        <v>400000</v>
      </c>
      <c r="N65" s="1">
        <v>2712078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9119207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1937198</v>
      </c>
      <c r="AF65" s="1">
        <v>1111269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3409470</v>
      </c>
      <c r="AM65" s="1">
        <v>0</v>
      </c>
      <c r="AN65" s="1">
        <v>54704718</v>
      </c>
      <c r="AO65" s="1">
        <v>10120389</v>
      </c>
      <c r="AP65" s="1">
        <v>44584329</v>
      </c>
      <c r="AQ65" s="1">
        <v>10718690</v>
      </c>
      <c r="AR65" s="1">
        <v>1607803</v>
      </c>
      <c r="AS65" s="1">
        <v>0</v>
      </c>
      <c r="AT65" s="1">
        <f t="shared" si="2"/>
        <v>67031211</v>
      </c>
    </row>
    <row r="66" spans="1:4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11567452</v>
      </c>
      <c r="G66" s="1">
        <v>13100565</v>
      </c>
      <c r="H66" s="1">
        <v>0</v>
      </c>
      <c r="I66" s="1">
        <v>10368970</v>
      </c>
      <c r="J66" s="1">
        <v>0</v>
      </c>
      <c r="K66" s="1">
        <v>3465000</v>
      </c>
      <c r="L66" s="1">
        <v>0</v>
      </c>
      <c r="M66" s="1">
        <v>400000</v>
      </c>
      <c r="N66" s="1">
        <v>2170746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1270000</v>
      </c>
      <c r="U66" s="1">
        <v>0</v>
      </c>
      <c r="V66" s="1">
        <v>14778546</v>
      </c>
      <c r="W66" s="1">
        <v>1100000</v>
      </c>
      <c r="X66" s="1">
        <v>1735118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1550533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8121833</v>
      </c>
      <c r="AM66" s="1">
        <v>0</v>
      </c>
      <c r="AN66" s="1">
        <v>69628763</v>
      </c>
      <c r="AO66" s="1">
        <v>12114272</v>
      </c>
      <c r="AP66" s="1">
        <v>57514491</v>
      </c>
      <c r="AQ66" s="1">
        <v>13671753</v>
      </c>
      <c r="AR66" s="1">
        <v>2050763</v>
      </c>
      <c r="AS66" s="1">
        <v>0</v>
      </c>
      <c r="AT66" s="1">
        <f t="shared" si="2"/>
        <v>85351279</v>
      </c>
    </row>
    <row r="67" spans="1:4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19547766</v>
      </c>
      <c r="G67" s="1">
        <v>8445056</v>
      </c>
      <c r="H67" s="1">
        <v>0</v>
      </c>
      <c r="I67" s="1">
        <v>17023700</v>
      </c>
      <c r="J67" s="1">
        <v>0</v>
      </c>
      <c r="K67" s="1">
        <v>5500000</v>
      </c>
      <c r="L67" s="1">
        <v>0</v>
      </c>
      <c r="M67" s="1">
        <v>400000</v>
      </c>
      <c r="N67" s="1">
        <v>3009526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1270000</v>
      </c>
      <c r="U67" s="1">
        <v>0</v>
      </c>
      <c r="V67" s="1">
        <v>11019112</v>
      </c>
      <c r="W67" s="1">
        <v>1100000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2149661</v>
      </c>
      <c r="AF67" s="1">
        <v>2222538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5159187</v>
      </c>
      <c r="AM67" s="1">
        <v>0</v>
      </c>
      <c r="AN67" s="1">
        <v>76846546</v>
      </c>
      <c r="AO67" s="1">
        <v>19480684</v>
      </c>
      <c r="AP67" s="1">
        <v>57365862</v>
      </c>
      <c r="AQ67" s="1">
        <v>14670802</v>
      </c>
      <c r="AR67" s="1">
        <v>2200620</v>
      </c>
      <c r="AS67" s="1">
        <v>0</v>
      </c>
      <c r="AT67" s="1">
        <f t="shared" ref="AT67:AT130" si="7">AS67+AR67+AQ67+AN67</f>
        <v>93717968</v>
      </c>
    </row>
    <row r="68" spans="1:4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13628236</v>
      </c>
      <c r="G68" s="1">
        <v>5338263</v>
      </c>
      <c r="H68" s="1">
        <v>0</v>
      </c>
      <c r="I68" s="1">
        <v>11344595</v>
      </c>
      <c r="J68" s="1">
        <v>950000</v>
      </c>
      <c r="K68" s="1">
        <v>4125000</v>
      </c>
      <c r="L68" s="1">
        <v>0</v>
      </c>
      <c r="M68" s="1">
        <v>400000</v>
      </c>
      <c r="N68" s="1">
        <v>2053109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3025226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1466507</v>
      </c>
      <c r="AF68" s="1">
        <v>2222538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1759808</v>
      </c>
      <c r="AM68" s="1">
        <v>0</v>
      </c>
      <c r="AN68" s="1">
        <v>47413282</v>
      </c>
      <c r="AO68" s="1">
        <v>7374269</v>
      </c>
      <c r="AP68" s="1">
        <v>40039013</v>
      </c>
      <c r="AQ68" s="1">
        <v>8848149</v>
      </c>
      <c r="AR68" s="1">
        <v>1327222</v>
      </c>
      <c r="AS68" s="1">
        <v>0</v>
      </c>
      <c r="AT68" s="1">
        <f t="shared" si="7"/>
        <v>57588653</v>
      </c>
    </row>
    <row r="69" spans="1:4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19704105</v>
      </c>
      <c r="G69" s="1">
        <v>5505662</v>
      </c>
      <c r="H69" s="1">
        <v>0</v>
      </c>
      <c r="I69" s="1">
        <v>18000909</v>
      </c>
      <c r="J69" s="1">
        <v>0</v>
      </c>
      <c r="K69" s="1">
        <v>4125000</v>
      </c>
      <c r="L69" s="1">
        <v>0</v>
      </c>
      <c r="M69" s="1">
        <v>400000</v>
      </c>
      <c r="N69" s="1">
        <v>3064244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1270000</v>
      </c>
      <c r="U69" s="1">
        <v>0</v>
      </c>
      <c r="V69" s="1">
        <v>10571108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2188746</v>
      </c>
      <c r="AF69" s="1">
        <v>1111269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4552592</v>
      </c>
      <c r="AM69" s="1">
        <v>0</v>
      </c>
      <c r="AN69" s="1">
        <v>71593635</v>
      </c>
      <c r="AO69" s="1">
        <v>10479701</v>
      </c>
      <c r="AP69" s="1">
        <v>61113934</v>
      </c>
      <c r="AQ69" s="1">
        <v>13842473</v>
      </c>
      <c r="AR69" s="1">
        <v>2076371</v>
      </c>
      <c r="AS69" s="1">
        <v>0</v>
      </c>
      <c r="AT69" s="1">
        <f t="shared" si="7"/>
        <v>87512479</v>
      </c>
    </row>
    <row r="70" spans="1:4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13125349</v>
      </c>
      <c r="G70" s="1">
        <v>28283871</v>
      </c>
      <c r="H70" s="1">
        <v>0</v>
      </c>
      <c r="I70" s="1">
        <v>12254141</v>
      </c>
      <c r="J70" s="1">
        <v>0</v>
      </c>
      <c r="K70" s="1">
        <v>4620000</v>
      </c>
      <c r="L70" s="1">
        <v>0</v>
      </c>
      <c r="M70" s="1">
        <v>400000</v>
      </c>
      <c r="N70" s="1">
        <v>2520074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1270000</v>
      </c>
      <c r="U70" s="1">
        <v>0</v>
      </c>
      <c r="V70" s="1">
        <v>9342989</v>
      </c>
      <c r="W70" s="1">
        <v>1100000</v>
      </c>
      <c r="X70" s="1">
        <v>1968802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1800053</v>
      </c>
      <c r="AF70" s="1">
        <v>1111269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10057785</v>
      </c>
      <c r="AM70" s="1">
        <v>0</v>
      </c>
      <c r="AN70" s="1">
        <v>87854333</v>
      </c>
      <c r="AO70" s="1">
        <v>16074388</v>
      </c>
      <c r="AP70" s="1">
        <v>71779945</v>
      </c>
      <c r="AQ70" s="1">
        <v>15557766</v>
      </c>
      <c r="AR70" s="1">
        <v>2333665</v>
      </c>
      <c r="AS70" s="1">
        <v>0</v>
      </c>
      <c r="AT70" s="1">
        <f t="shared" si="7"/>
        <v>105745764</v>
      </c>
    </row>
    <row r="71" spans="1:4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20354619</v>
      </c>
      <c r="G71" s="1">
        <v>8432636</v>
      </c>
      <c r="H71" s="1">
        <v>0</v>
      </c>
      <c r="I71" s="1">
        <v>18533266</v>
      </c>
      <c r="J71" s="1">
        <v>0</v>
      </c>
      <c r="K71" s="1">
        <v>5500000</v>
      </c>
      <c r="L71" s="1">
        <v>0</v>
      </c>
      <c r="M71" s="1">
        <v>400000</v>
      </c>
      <c r="N71" s="1">
        <v>3291924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1270000</v>
      </c>
      <c r="U71" s="1">
        <v>0</v>
      </c>
      <c r="V71" s="1">
        <v>14826613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2351374</v>
      </c>
      <c r="AF71" s="1">
        <v>1111269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4890859</v>
      </c>
      <c r="AM71" s="1">
        <v>0</v>
      </c>
      <c r="AN71" s="1">
        <v>82062560</v>
      </c>
      <c r="AO71" s="1">
        <v>18970993</v>
      </c>
      <c r="AP71" s="1">
        <v>63091567</v>
      </c>
      <c r="AQ71" s="1">
        <v>15557766</v>
      </c>
      <c r="AR71" s="1">
        <v>2333665</v>
      </c>
      <c r="AS71" s="1">
        <v>0</v>
      </c>
      <c r="AT71" s="1">
        <f t="shared" si="7"/>
        <v>99953991</v>
      </c>
    </row>
    <row r="72" spans="1:46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13204009</v>
      </c>
      <c r="G72" s="1">
        <v>26713367</v>
      </c>
      <c r="H72" s="1">
        <v>0</v>
      </c>
      <c r="I72" s="1">
        <v>12358812</v>
      </c>
      <c r="J72" s="1">
        <v>0</v>
      </c>
      <c r="K72" s="1">
        <v>4620000</v>
      </c>
      <c r="L72" s="1">
        <v>0</v>
      </c>
      <c r="M72" s="1">
        <v>400000</v>
      </c>
      <c r="N72" s="1">
        <v>2549675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1270000</v>
      </c>
      <c r="U72" s="1">
        <v>0</v>
      </c>
      <c r="V72" s="1">
        <v>9420436</v>
      </c>
      <c r="W72" s="1">
        <v>1100000</v>
      </c>
      <c r="X72" s="1">
        <v>1980601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1821196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10153270</v>
      </c>
      <c r="AM72" s="1">
        <v>0</v>
      </c>
      <c r="AN72" s="1">
        <v>85591366</v>
      </c>
      <c r="AO72" s="1">
        <v>15452006</v>
      </c>
      <c r="AP72" s="1">
        <v>70139360</v>
      </c>
      <c r="AQ72" s="1">
        <v>15557766</v>
      </c>
      <c r="AR72" s="1">
        <v>2333665</v>
      </c>
      <c r="AS72" s="1">
        <v>0</v>
      </c>
      <c r="AT72" s="1">
        <f t="shared" si="7"/>
        <v>103482797</v>
      </c>
    </row>
    <row r="73" spans="1:46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16219722</v>
      </c>
      <c r="G73" s="1">
        <v>18352890</v>
      </c>
      <c r="H73" s="1">
        <v>0</v>
      </c>
      <c r="I73" s="1">
        <v>15315094</v>
      </c>
      <c r="J73" s="1">
        <v>0</v>
      </c>
      <c r="K73" s="1">
        <v>5500000</v>
      </c>
      <c r="L73" s="1">
        <v>0</v>
      </c>
      <c r="M73" s="1">
        <v>400000</v>
      </c>
      <c r="N73" s="1">
        <v>2922102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1270000</v>
      </c>
      <c r="U73" s="1">
        <v>0</v>
      </c>
      <c r="V73" s="1">
        <v>22146331</v>
      </c>
      <c r="W73" s="1">
        <v>1100000</v>
      </c>
      <c r="X73" s="1">
        <v>2432958</v>
      </c>
      <c r="Y73" s="1">
        <v>0</v>
      </c>
      <c r="Z73" s="1">
        <v>0</v>
      </c>
      <c r="AA73" s="1">
        <v>0</v>
      </c>
      <c r="AB73" s="1">
        <v>0</v>
      </c>
      <c r="AC73" s="1">
        <v>3180690</v>
      </c>
      <c r="AD73" s="1">
        <v>0</v>
      </c>
      <c r="AE73" s="1">
        <v>2087216</v>
      </c>
      <c r="AF73" s="1">
        <v>1111269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10042211</v>
      </c>
      <c r="AM73" s="1">
        <v>0</v>
      </c>
      <c r="AN73" s="1">
        <v>102080483</v>
      </c>
      <c r="AO73" s="1">
        <v>18731585</v>
      </c>
      <c r="AP73" s="1">
        <v>83348898</v>
      </c>
      <c r="AQ73" s="1">
        <v>15557766</v>
      </c>
      <c r="AR73" s="1">
        <v>2333665</v>
      </c>
      <c r="AS73" s="1">
        <v>0</v>
      </c>
      <c r="AT73" s="1">
        <f t="shared" si="7"/>
        <v>119971914</v>
      </c>
    </row>
    <row r="74" spans="1:46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16079266</v>
      </c>
      <c r="G74" s="1">
        <v>637100</v>
      </c>
      <c r="H74" s="1">
        <v>0</v>
      </c>
      <c r="I74" s="1">
        <v>13412823</v>
      </c>
      <c r="J74" s="1">
        <v>0</v>
      </c>
      <c r="K74" s="1">
        <v>4125000</v>
      </c>
      <c r="L74" s="1">
        <v>0</v>
      </c>
      <c r="M74" s="1">
        <v>400000</v>
      </c>
      <c r="N74" s="1">
        <v>2830793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1270000</v>
      </c>
      <c r="U74" s="1">
        <v>0</v>
      </c>
      <c r="V74" s="1">
        <v>6106761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2021995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3235193</v>
      </c>
      <c r="AM74" s="1">
        <v>0</v>
      </c>
      <c r="AN74" s="1">
        <v>51218931</v>
      </c>
      <c r="AO74" s="1">
        <v>6832317</v>
      </c>
      <c r="AP74" s="1">
        <v>44386614</v>
      </c>
      <c r="AQ74" s="1">
        <v>9989786</v>
      </c>
      <c r="AR74" s="1">
        <v>1498468</v>
      </c>
      <c r="AS74" s="1">
        <v>0</v>
      </c>
      <c r="AT74" s="1">
        <f t="shared" si="7"/>
        <v>62707185</v>
      </c>
    </row>
    <row r="75" spans="1:46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15975305</v>
      </c>
      <c r="G75" s="1">
        <v>5650498</v>
      </c>
      <c r="H75" s="1">
        <v>0</v>
      </c>
      <c r="I75" s="1">
        <v>13800670</v>
      </c>
      <c r="J75" s="1">
        <v>0</v>
      </c>
      <c r="K75" s="1">
        <v>5500000</v>
      </c>
      <c r="L75" s="1">
        <v>0</v>
      </c>
      <c r="M75" s="1">
        <v>400000</v>
      </c>
      <c r="N75" s="1">
        <v>2806804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7988922</v>
      </c>
      <c r="W75" s="1">
        <v>1100000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2004860</v>
      </c>
      <c r="AF75" s="1">
        <v>1111269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3007290</v>
      </c>
      <c r="AM75" s="1">
        <v>0</v>
      </c>
      <c r="AN75" s="1">
        <v>59345618</v>
      </c>
      <c r="AO75" s="1">
        <v>12967163</v>
      </c>
      <c r="AP75" s="1">
        <v>46378455</v>
      </c>
      <c r="AQ75" s="1">
        <v>11646870</v>
      </c>
      <c r="AR75" s="1">
        <v>1747030</v>
      </c>
      <c r="AS75" s="1">
        <v>0</v>
      </c>
      <c r="AT75" s="1">
        <f t="shared" si="7"/>
        <v>72739518</v>
      </c>
    </row>
    <row r="76" spans="1:46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12663554</v>
      </c>
      <c r="G76" s="1">
        <v>11918985</v>
      </c>
      <c r="H76" s="1">
        <v>0</v>
      </c>
      <c r="I76" s="1">
        <v>11278064</v>
      </c>
      <c r="J76" s="1">
        <v>0</v>
      </c>
      <c r="K76" s="1">
        <v>3465000</v>
      </c>
      <c r="L76" s="1">
        <v>0</v>
      </c>
      <c r="M76" s="1">
        <v>400000</v>
      </c>
      <c r="N76" s="1">
        <v>2339823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1270000</v>
      </c>
      <c r="U76" s="1">
        <v>0</v>
      </c>
      <c r="V76" s="1">
        <v>8639944</v>
      </c>
      <c r="W76" s="1">
        <v>1100000</v>
      </c>
      <c r="X76" s="1">
        <v>1899533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1671302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8812972</v>
      </c>
      <c r="AM76" s="1">
        <v>0</v>
      </c>
      <c r="AN76" s="1">
        <v>65459177</v>
      </c>
      <c r="AO76" s="1">
        <v>13407964</v>
      </c>
      <c r="AP76" s="1">
        <v>52051213</v>
      </c>
      <c r="AQ76" s="1">
        <v>12837835</v>
      </c>
      <c r="AR76" s="1">
        <v>1925675</v>
      </c>
      <c r="AS76" s="1">
        <v>0</v>
      </c>
      <c r="AT76" s="1">
        <f t="shared" si="7"/>
        <v>80222687</v>
      </c>
    </row>
    <row r="77" spans="1:46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12224348</v>
      </c>
      <c r="G77" s="1">
        <v>0</v>
      </c>
      <c r="H77" s="1">
        <v>0</v>
      </c>
      <c r="I77" s="1">
        <v>10489912</v>
      </c>
      <c r="J77" s="1">
        <v>0</v>
      </c>
      <c r="K77" s="1">
        <v>4620000</v>
      </c>
      <c r="L77" s="1">
        <v>0</v>
      </c>
      <c r="M77" s="1">
        <v>400000</v>
      </c>
      <c r="N77" s="1">
        <v>2355191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7298716</v>
      </c>
      <c r="W77" s="1">
        <v>1100000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1682280</v>
      </c>
      <c r="AF77" s="1">
        <v>1111269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4306635</v>
      </c>
      <c r="AM77" s="1">
        <v>0</v>
      </c>
      <c r="AN77" s="1">
        <v>45588351</v>
      </c>
      <c r="AO77" s="1">
        <v>10319001</v>
      </c>
      <c r="AP77" s="1">
        <v>35269350</v>
      </c>
      <c r="AQ77" s="1">
        <v>8895416</v>
      </c>
      <c r="AR77" s="1">
        <v>1334312</v>
      </c>
      <c r="AS77" s="1">
        <v>0</v>
      </c>
      <c r="AT77" s="1">
        <f t="shared" si="7"/>
        <v>55818079</v>
      </c>
    </row>
    <row r="78" spans="1:46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12959730</v>
      </c>
      <c r="G78" s="1">
        <v>8140675</v>
      </c>
      <c r="H78" s="1">
        <v>0</v>
      </c>
      <c r="I78" s="1">
        <v>12268381</v>
      </c>
      <c r="J78" s="1">
        <v>0</v>
      </c>
      <c r="K78" s="1">
        <v>4620000</v>
      </c>
      <c r="L78" s="1">
        <v>0</v>
      </c>
      <c r="M78" s="1">
        <v>400000</v>
      </c>
      <c r="N78" s="1">
        <v>2459210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1270000</v>
      </c>
      <c r="U78" s="1">
        <v>0</v>
      </c>
      <c r="V78" s="1">
        <v>9236484</v>
      </c>
      <c r="W78" s="1">
        <v>1100000</v>
      </c>
      <c r="X78" s="1">
        <v>1943960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1756579</v>
      </c>
      <c r="AF78" s="1">
        <v>1111269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9860287</v>
      </c>
      <c r="AM78" s="1">
        <v>0</v>
      </c>
      <c r="AN78" s="1">
        <v>67126575</v>
      </c>
      <c r="AO78" s="1">
        <v>13667129</v>
      </c>
      <c r="AP78" s="1">
        <v>53459446</v>
      </c>
      <c r="AQ78" s="1">
        <v>12949061</v>
      </c>
      <c r="AR78" s="1">
        <v>1942359</v>
      </c>
      <c r="AS78" s="1">
        <v>0</v>
      </c>
      <c r="AT78" s="1">
        <f t="shared" si="7"/>
        <v>82017995</v>
      </c>
    </row>
    <row r="79" spans="1:46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11142552</v>
      </c>
      <c r="G79" s="1">
        <v>0</v>
      </c>
      <c r="H79" s="1">
        <v>0</v>
      </c>
      <c r="I79" s="1">
        <v>8650431</v>
      </c>
      <c r="J79" s="1">
        <v>0</v>
      </c>
      <c r="K79" s="1">
        <v>4620000</v>
      </c>
      <c r="L79" s="1">
        <v>0</v>
      </c>
      <c r="M79" s="1">
        <v>400000</v>
      </c>
      <c r="N79" s="1">
        <v>1952238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6224297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1394456</v>
      </c>
      <c r="AF79" s="1">
        <v>1111269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3346693</v>
      </c>
      <c r="AM79" s="1">
        <v>0</v>
      </c>
      <c r="AN79" s="1">
        <v>39941936</v>
      </c>
      <c r="AO79" s="1">
        <v>6777577</v>
      </c>
      <c r="AP79" s="1">
        <v>33164359</v>
      </c>
      <c r="AQ79" s="1">
        <v>7766133</v>
      </c>
      <c r="AR79" s="1">
        <v>1164920</v>
      </c>
      <c r="AS79" s="1">
        <v>0</v>
      </c>
      <c r="AT79" s="1">
        <f t="shared" si="7"/>
        <v>48872989</v>
      </c>
    </row>
    <row r="80" spans="1:46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10935158</v>
      </c>
      <c r="G80" s="1">
        <v>4519688</v>
      </c>
      <c r="H80" s="1">
        <v>0</v>
      </c>
      <c r="I80" s="1">
        <v>10063568</v>
      </c>
      <c r="J80" s="1">
        <v>0</v>
      </c>
      <c r="K80" s="1">
        <v>4620000</v>
      </c>
      <c r="L80" s="1">
        <v>0</v>
      </c>
      <c r="M80" s="1">
        <v>400000</v>
      </c>
      <c r="N80" s="1">
        <v>2098634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1270000</v>
      </c>
      <c r="U80" s="1">
        <v>0</v>
      </c>
      <c r="V80" s="1">
        <v>5208764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1499024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2818165</v>
      </c>
      <c r="AM80" s="1">
        <v>0</v>
      </c>
      <c r="AN80" s="1">
        <v>44533001</v>
      </c>
      <c r="AO80" s="1">
        <v>10169081</v>
      </c>
      <c r="AP80" s="1">
        <v>34363920</v>
      </c>
      <c r="AQ80" s="1">
        <v>8652600</v>
      </c>
      <c r="AR80" s="1">
        <v>1297890</v>
      </c>
      <c r="AS80" s="1">
        <v>0</v>
      </c>
      <c r="AT80" s="1">
        <f t="shared" si="7"/>
        <v>54483491</v>
      </c>
    </row>
    <row r="81" spans="1:46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17558931</v>
      </c>
      <c r="G81" s="1">
        <v>956188</v>
      </c>
      <c r="H81" s="1">
        <v>0</v>
      </c>
      <c r="I81" s="1">
        <v>15507383</v>
      </c>
      <c r="J81" s="1">
        <v>0</v>
      </c>
      <c r="K81" s="1">
        <v>5500000</v>
      </c>
      <c r="L81" s="1">
        <v>0</v>
      </c>
      <c r="M81" s="1">
        <v>400000</v>
      </c>
      <c r="N81" s="1">
        <v>2457868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1270000</v>
      </c>
      <c r="U81" s="1">
        <v>0</v>
      </c>
      <c r="V81" s="1">
        <v>3973766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1755619</v>
      </c>
      <c r="AF81" s="1">
        <v>3333807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2457868</v>
      </c>
      <c r="AM81" s="1">
        <v>0</v>
      </c>
      <c r="AN81" s="1">
        <v>56271430</v>
      </c>
      <c r="AO81" s="1">
        <v>12501157</v>
      </c>
      <c r="AP81" s="1">
        <v>43770273</v>
      </c>
      <c r="AQ81" s="1">
        <v>10333525</v>
      </c>
      <c r="AR81" s="1">
        <v>1550029</v>
      </c>
      <c r="AS81" s="1">
        <v>0</v>
      </c>
      <c r="AT81" s="1">
        <f t="shared" si="7"/>
        <v>68154984</v>
      </c>
    </row>
    <row r="82" spans="1:46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17036918</v>
      </c>
      <c r="G82" s="1">
        <v>14315305</v>
      </c>
      <c r="H82" s="1">
        <v>0</v>
      </c>
      <c r="I82" s="1">
        <v>14441670</v>
      </c>
      <c r="J82" s="1">
        <v>0</v>
      </c>
      <c r="K82" s="1">
        <v>5500000</v>
      </c>
      <c r="L82" s="1">
        <v>0</v>
      </c>
      <c r="M82" s="1">
        <v>400000</v>
      </c>
      <c r="N82" s="1">
        <v>2889738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8850681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2064099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3797941</v>
      </c>
      <c r="AM82" s="1">
        <v>0</v>
      </c>
      <c r="AN82" s="1">
        <v>70396352</v>
      </c>
      <c r="AO82" s="1">
        <v>15975865</v>
      </c>
      <c r="AP82" s="1">
        <v>54420487</v>
      </c>
      <c r="AQ82" s="1">
        <v>14079270</v>
      </c>
      <c r="AR82" s="1">
        <v>2111891</v>
      </c>
      <c r="AS82" s="1">
        <v>0</v>
      </c>
      <c r="AT82" s="1">
        <f t="shared" si="7"/>
        <v>86587513</v>
      </c>
    </row>
    <row r="83" spans="1:46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11989989</v>
      </c>
      <c r="G83" s="1">
        <v>9730892</v>
      </c>
      <c r="H83" s="1">
        <v>0</v>
      </c>
      <c r="I83" s="1">
        <v>11231324</v>
      </c>
      <c r="J83" s="1">
        <v>0</v>
      </c>
      <c r="K83" s="1">
        <v>4620000</v>
      </c>
      <c r="L83" s="1">
        <v>0</v>
      </c>
      <c r="M83" s="1">
        <v>400000</v>
      </c>
      <c r="N83" s="1">
        <v>2300297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1270000</v>
      </c>
      <c r="U83" s="1">
        <v>0</v>
      </c>
      <c r="V83" s="1">
        <v>8464582</v>
      </c>
      <c r="W83" s="1">
        <v>1100000</v>
      </c>
      <c r="X83" s="1">
        <v>1798498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1643069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8854817</v>
      </c>
      <c r="AM83" s="1">
        <v>0</v>
      </c>
      <c r="AN83" s="1">
        <v>63403468</v>
      </c>
      <c r="AO83" s="1">
        <v>17352881</v>
      </c>
      <c r="AP83" s="1">
        <v>46050587</v>
      </c>
      <c r="AQ83" s="1">
        <v>12426694</v>
      </c>
      <c r="AR83" s="1">
        <v>1864004</v>
      </c>
      <c r="AS83" s="1">
        <v>0</v>
      </c>
      <c r="AT83" s="1">
        <f t="shared" si="7"/>
        <v>77694166</v>
      </c>
    </row>
    <row r="84" spans="1:46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21912618</v>
      </c>
      <c r="G84" s="1">
        <v>15776875</v>
      </c>
      <c r="H84" s="1">
        <v>0</v>
      </c>
      <c r="I84" s="1">
        <v>23769303</v>
      </c>
      <c r="J84" s="1">
        <v>0</v>
      </c>
      <c r="K84" s="1">
        <v>0</v>
      </c>
      <c r="L84" s="1">
        <v>0</v>
      </c>
      <c r="M84" s="1">
        <v>400000</v>
      </c>
      <c r="N84" s="1">
        <v>3483125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5463853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2487946</v>
      </c>
      <c r="AF84" s="1">
        <v>1111269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2985536</v>
      </c>
      <c r="AM84" s="1">
        <v>0</v>
      </c>
      <c r="AN84" s="1">
        <v>78490525</v>
      </c>
      <c r="AO84" s="1">
        <v>16717739</v>
      </c>
      <c r="AP84" s="1">
        <v>61772786</v>
      </c>
      <c r="AQ84" s="1">
        <v>15475851</v>
      </c>
      <c r="AR84" s="1">
        <v>2321378</v>
      </c>
      <c r="AS84" s="1">
        <v>0</v>
      </c>
      <c r="AT84" s="1">
        <f t="shared" si="7"/>
        <v>96287754</v>
      </c>
    </row>
    <row r="85" spans="1:46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12137925</v>
      </c>
      <c r="G85" s="1">
        <v>2746595</v>
      </c>
      <c r="H85" s="1">
        <v>0</v>
      </c>
      <c r="I85" s="1">
        <v>10401177</v>
      </c>
      <c r="J85" s="1">
        <v>950000</v>
      </c>
      <c r="K85" s="1">
        <v>3465000</v>
      </c>
      <c r="L85" s="1">
        <v>0</v>
      </c>
      <c r="M85" s="1">
        <v>400000</v>
      </c>
      <c r="N85" s="1">
        <v>2321950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1270000</v>
      </c>
      <c r="U85" s="1">
        <v>0</v>
      </c>
      <c r="V85" s="1">
        <v>7167517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1658535</v>
      </c>
      <c r="AF85" s="1">
        <v>1111269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3980485</v>
      </c>
      <c r="AM85" s="1">
        <v>0</v>
      </c>
      <c r="AN85" s="1">
        <v>48710453</v>
      </c>
      <c r="AO85" s="1">
        <v>9561665</v>
      </c>
      <c r="AP85" s="1">
        <v>39148788</v>
      </c>
      <c r="AQ85" s="1">
        <v>9075837</v>
      </c>
      <c r="AR85" s="1">
        <v>1361376</v>
      </c>
      <c r="AS85" s="1">
        <v>0</v>
      </c>
      <c r="AT85" s="1">
        <f t="shared" si="7"/>
        <v>59147666</v>
      </c>
    </row>
    <row r="86" spans="1:46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19393224</v>
      </c>
      <c r="G86" s="1">
        <v>9828071</v>
      </c>
      <c r="H86" s="1">
        <v>0</v>
      </c>
      <c r="I86" s="1">
        <v>17322991</v>
      </c>
      <c r="J86" s="1">
        <v>0</v>
      </c>
      <c r="K86" s="1">
        <v>5500000</v>
      </c>
      <c r="L86" s="1">
        <v>0</v>
      </c>
      <c r="M86" s="1">
        <v>400000</v>
      </c>
      <c r="N86" s="1">
        <v>2955436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1270000</v>
      </c>
      <c r="U86" s="1">
        <v>0</v>
      </c>
      <c r="V86" s="1">
        <v>17334181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2111026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5066462</v>
      </c>
      <c r="AM86" s="1">
        <v>0</v>
      </c>
      <c r="AN86" s="1">
        <v>82281391</v>
      </c>
      <c r="AO86" s="1">
        <v>13691676</v>
      </c>
      <c r="AP86" s="1">
        <v>68589715</v>
      </c>
      <c r="AQ86" s="1">
        <v>15557766</v>
      </c>
      <c r="AR86" s="1">
        <v>2333665</v>
      </c>
      <c r="AS86" s="1">
        <v>0</v>
      </c>
      <c r="AT86" s="1">
        <f t="shared" si="7"/>
        <v>100172822</v>
      </c>
    </row>
    <row r="87" spans="1:46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8687587</v>
      </c>
      <c r="G87" s="1">
        <v>0</v>
      </c>
      <c r="H87" s="1">
        <v>0</v>
      </c>
      <c r="I87" s="1">
        <v>7283859</v>
      </c>
      <c r="J87" s="1">
        <v>0</v>
      </c>
      <c r="K87" s="1">
        <v>2200000</v>
      </c>
      <c r="L87" s="1">
        <v>0</v>
      </c>
      <c r="M87" s="1">
        <v>213333</v>
      </c>
      <c r="N87" s="1">
        <v>1552769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3469348</v>
      </c>
      <c r="W87" s="1">
        <v>586667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1109121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1774594</v>
      </c>
      <c r="AM87" s="1">
        <v>0</v>
      </c>
      <c r="AN87" s="1">
        <v>26877278</v>
      </c>
      <c r="AO87" s="1">
        <v>10780926</v>
      </c>
      <c r="AP87" s="1">
        <v>16096352</v>
      </c>
      <c r="AQ87" s="1">
        <v>5375456</v>
      </c>
      <c r="AR87" s="1">
        <v>806318</v>
      </c>
      <c r="AS87" s="1">
        <v>0</v>
      </c>
      <c r="AT87" s="1">
        <f t="shared" si="7"/>
        <v>33059052</v>
      </c>
    </row>
    <row r="88" spans="1:46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12259559</v>
      </c>
      <c r="G88" s="1">
        <v>0</v>
      </c>
      <c r="H88" s="1">
        <v>0</v>
      </c>
      <c r="I88" s="1">
        <v>10800699</v>
      </c>
      <c r="J88" s="1">
        <v>0</v>
      </c>
      <c r="K88" s="1">
        <v>3465000</v>
      </c>
      <c r="L88" s="1">
        <v>0</v>
      </c>
      <c r="M88" s="1">
        <v>400000</v>
      </c>
      <c r="N88" s="1">
        <v>2368076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7327154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1691483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4059559</v>
      </c>
      <c r="AM88" s="1">
        <v>0</v>
      </c>
      <c r="AN88" s="1">
        <v>43471530</v>
      </c>
      <c r="AO88" s="1">
        <v>7683219</v>
      </c>
      <c r="AP88" s="1">
        <v>35788311</v>
      </c>
      <c r="AQ88" s="1">
        <v>8694306</v>
      </c>
      <c r="AR88" s="1">
        <v>1304146</v>
      </c>
      <c r="AS88" s="1">
        <v>0</v>
      </c>
      <c r="AT88" s="1">
        <f t="shared" si="7"/>
        <v>53469982</v>
      </c>
    </row>
    <row r="89" spans="1:46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13125484</v>
      </c>
      <c r="G89" s="1">
        <v>29721003</v>
      </c>
      <c r="H89" s="1">
        <v>0</v>
      </c>
      <c r="I89" s="1">
        <v>12732578</v>
      </c>
      <c r="J89" s="1">
        <v>0</v>
      </c>
      <c r="K89" s="1">
        <v>4620000</v>
      </c>
      <c r="L89" s="1">
        <v>0</v>
      </c>
      <c r="M89" s="1">
        <v>400000</v>
      </c>
      <c r="N89" s="1">
        <v>2523226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1270000</v>
      </c>
      <c r="U89" s="1">
        <v>0</v>
      </c>
      <c r="V89" s="1">
        <v>9458531</v>
      </c>
      <c r="W89" s="1">
        <v>1100000</v>
      </c>
      <c r="X89" s="1">
        <v>1968823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1802304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10065478</v>
      </c>
      <c r="AM89" s="1">
        <v>0</v>
      </c>
      <c r="AN89" s="1">
        <v>88787427</v>
      </c>
      <c r="AO89" s="1">
        <v>17939481</v>
      </c>
      <c r="AP89" s="1">
        <v>70847946</v>
      </c>
      <c r="AQ89" s="1">
        <v>15557766</v>
      </c>
      <c r="AR89" s="1">
        <v>2333665</v>
      </c>
      <c r="AS89" s="1">
        <v>0</v>
      </c>
      <c r="AT89" s="1">
        <f t="shared" si="7"/>
        <v>106678858</v>
      </c>
    </row>
    <row r="90" spans="1:46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11851333</v>
      </c>
      <c r="G90" s="1">
        <v>8721419</v>
      </c>
      <c r="H90" s="1">
        <v>0</v>
      </c>
      <c r="I90" s="1">
        <v>10687147</v>
      </c>
      <c r="J90" s="1">
        <v>0</v>
      </c>
      <c r="K90" s="1">
        <v>4620000</v>
      </c>
      <c r="L90" s="1">
        <v>0</v>
      </c>
      <c r="M90" s="1">
        <v>400000</v>
      </c>
      <c r="N90" s="1">
        <v>2243909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11074818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1602791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5257157</v>
      </c>
      <c r="AM90" s="1">
        <v>0</v>
      </c>
      <c r="AN90" s="1">
        <v>57558574</v>
      </c>
      <c r="AO90" s="1">
        <v>10832737</v>
      </c>
      <c r="AP90" s="1">
        <v>46725837</v>
      </c>
      <c r="AQ90" s="1">
        <v>11511715</v>
      </c>
      <c r="AR90" s="1">
        <v>1726757</v>
      </c>
      <c r="AS90" s="1">
        <v>0</v>
      </c>
      <c r="AT90" s="1">
        <f t="shared" si="7"/>
        <v>70797046</v>
      </c>
    </row>
    <row r="91" spans="1:46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15100191</v>
      </c>
      <c r="G91" s="1">
        <v>12253781</v>
      </c>
      <c r="H91" s="1">
        <v>0</v>
      </c>
      <c r="I91" s="1">
        <v>14086918</v>
      </c>
      <c r="J91" s="1">
        <v>0</v>
      </c>
      <c r="K91" s="1">
        <v>5500000</v>
      </c>
      <c r="L91" s="1">
        <v>0</v>
      </c>
      <c r="M91" s="1">
        <v>400000</v>
      </c>
      <c r="N91" s="1">
        <v>2530266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1270000</v>
      </c>
      <c r="U91" s="1">
        <v>0</v>
      </c>
      <c r="V91" s="1">
        <v>13062496</v>
      </c>
      <c r="W91" s="1">
        <v>1100000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1807333</v>
      </c>
      <c r="AF91" s="1">
        <v>1111269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4337599</v>
      </c>
      <c r="AM91" s="1">
        <v>0</v>
      </c>
      <c r="AN91" s="1">
        <v>72559853</v>
      </c>
      <c r="AO91" s="1">
        <v>14768692</v>
      </c>
      <c r="AP91" s="1">
        <v>57791161</v>
      </c>
      <c r="AQ91" s="1">
        <v>14035717</v>
      </c>
      <c r="AR91" s="1">
        <v>2105358</v>
      </c>
      <c r="AS91" s="1">
        <v>0</v>
      </c>
      <c r="AT91" s="1">
        <f t="shared" si="7"/>
        <v>88700928</v>
      </c>
    </row>
    <row r="92" spans="1:46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18347370</v>
      </c>
      <c r="G92" s="1">
        <v>21446498</v>
      </c>
      <c r="H92" s="1">
        <v>0</v>
      </c>
      <c r="I92" s="1">
        <v>21891773</v>
      </c>
      <c r="J92" s="1">
        <v>0</v>
      </c>
      <c r="K92" s="1">
        <v>4620000</v>
      </c>
      <c r="L92" s="1">
        <v>0</v>
      </c>
      <c r="M92" s="1">
        <v>400000</v>
      </c>
      <c r="N92" s="1">
        <v>2893170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1270000</v>
      </c>
      <c r="U92" s="1">
        <v>0</v>
      </c>
      <c r="V92" s="1">
        <v>9906027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2066550</v>
      </c>
      <c r="AF92" s="1">
        <v>1111269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3719790</v>
      </c>
      <c r="AM92" s="1">
        <v>0</v>
      </c>
      <c r="AN92" s="1">
        <v>88772447</v>
      </c>
      <c r="AO92" s="1">
        <v>20442256</v>
      </c>
      <c r="AP92" s="1">
        <v>68330191</v>
      </c>
      <c r="AQ92" s="1">
        <v>15557766</v>
      </c>
      <c r="AR92" s="1">
        <v>2333665</v>
      </c>
      <c r="AS92" s="1">
        <v>0</v>
      </c>
      <c r="AT92" s="1">
        <f t="shared" si="7"/>
        <v>106663878</v>
      </c>
    </row>
    <row r="93" spans="1:46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17524344</v>
      </c>
      <c r="G93" s="1">
        <v>8532371</v>
      </c>
      <c r="H93" s="1">
        <v>0</v>
      </c>
      <c r="I93" s="1">
        <v>15619708</v>
      </c>
      <c r="J93" s="1">
        <v>0</v>
      </c>
      <c r="K93" s="1">
        <v>5500000</v>
      </c>
      <c r="L93" s="1">
        <v>0</v>
      </c>
      <c r="M93" s="1">
        <v>400000</v>
      </c>
      <c r="N93" s="1">
        <v>3067389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1270000</v>
      </c>
      <c r="U93" s="1">
        <v>0</v>
      </c>
      <c r="V93" s="1">
        <v>15723273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2190992</v>
      </c>
      <c r="AF93" s="1">
        <v>1111269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4381984</v>
      </c>
      <c r="AM93" s="1">
        <v>0</v>
      </c>
      <c r="AN93" s="1">
        <v>76421330</v>
      </c>
      <c r="AO93" s="1">
        <v>16995420</v>
      </c>
      <c r="AP93" s="1">
        <v>59425910</v>
      </c>
      <c r="AQ93" s="1">
        <v>14808012</v>
      </c>
      <c r="AR93" s="1">
        <v>2221202</v>
      </c>
      <c r="AS93" s="1">
        <v>0</v>
      </c>
      <c r="AT93" s="1">
        <f t="shared" si="7"/>
        <v>93450544</v>
      </c>
    </row>
    <row r="94" spans="1:46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19630428</v>
      </c>
      <c r="G94" s="1">
        <v>20942868</v>
      </c>
      <c r="H94" s="1">
        <v>0</v>
      </c>
      <c r="I94" s="1">
        <v>18121083</v>
      </c>
      <c r="J94" s="1">
        <v>0</v>
      </c>
      <c r="K94" s="1">
        <v>4125000</v>
      </c>
      <c r="L94" s="1">
        <v>0</v>
      </c>
      <c r="M94" s="1">
        <v>400000</v>
      </c>
      <c r="N94" s="1">
        <v>3038457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1270000</v>
      </c>
      <c r="U94" s="1">
        <v>0</v>
      </c>
      <c r="V94" s="1">
        <v>8451146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2776365</v>
      </c>
      <c r="AD94" s="1">
        <v>0</v>
      </c>
      <c r="AE94" s="1">
        <v>2170327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3255490</v>
      </c>
      <c r="AM94" s="1">
        <v>0</v>
      </c>
      <c r="AN94" s="1">
        <v>85281164</v>
      </c>
      <c r="AO94" s="1">
        <v>16761654</v>
      </c>
      <c r="AP94" s="1">
        <v>68519510</v>
      </c>
      <c r="AQ94" s="1">
        <v>15557766</v>
      </c>
      <c r="AR94" s="1">
        <v>2333665</v>
      </c>
      <c r="AS94" s="1">
        <v>0</v>
      </c>
      <c r="AT94" s="1">
        <f t="shared" si="7"/>
        <v>103172595</v>
      </c>
    </row>
    <row r="95" spans="1:46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11551286</v>
      </c>
      <c r="G95" s="1">
        <v>4908256</v>
      </c>
      <c r="H95" s="1">
        <v>0</v>
      </c>
      <c r="I95" s="1">
        <v>10200003</v>
      </c>
      <c r="J95" s="1">
        <v>0</v>
      </c>
      <c r="K95" s="1">
        <v>4620000</v>
      </c>
      <c r="L95" s="1">
        <v>0</v>
      </c>
      <c r="M95" s="1">
        <v>400000</v>
      </c>
      <c r="N95" s="1">
        <v>2135898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1270000</v>
      </c>
      <c r="U95" s="1">
        <v>0</v>
      </c>
      <c r="V95" s="1">
        <v>8005368</v>
      </c>
      <c r="W95" s="1">
        <v>1100000</v>
      </c>
      <c r="X95" s="1">
        <v>1732693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1525641</v>
      </c>
      <c r="AF95" s="1">
        <v>1111269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8652567</v>
      </c>
      <c r="AM95" s="1">
        <v>0</v>
      </c>
      <c r="AN95" s="1">
        <v>57212981</v>
      </c>
      <c r="AO95" s="1">
        <v>12523752</v>
      </c>
      <c r="AP95" s="1">
        <v>44689229</v>
      </c>
      <c r="AQ95" s="1">
        <v>10966342</v>
      </c>
      <c r="AR95" s="1">
        <v>1644951</v>
      </c>
      <c r="AS95" s="1">
        <v>0</v>
      </c>
      <c r="AT95" s="1">
        <f t="shared" si="7"/>
        <v>69824274</v>
      </c>
    </row>
    <row r="96" spans="1:46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11972678</v>
      </c>
      <c r="G96" s="1">
        <v>8996382</v>
      </c>
      <c r="H96" s="1">
        <v>0</v>
      </c>
      <c r="I96" s="1">
        <v>10966477</v>
      </c>
      <c r="J96" s="1">
        <v>0</v>
      </c>
      <c r="K96" s="1">
        <v>4620000</v>
      </c>
      <c r="L96" s="1">
        <v>0</v>
      </c>
      <c r="M96" s="1">
        <v>400000</v>
      </c>
      <c r="N96" s="1">
        <v>2279269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9851552</v>
      </c>
      <c r="W96" s="1">
        <v>1100000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1628049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4428294</v>
      </c>
      <c r="AM96" s="1">
        <v>0</v>
      </c>
      <c r="AN96" s="1">
        <v>56242701</v>
      </c>
      <c r="AO96" s="1">
        <v>9591671</v>
      </c>
      <c r="AP96" s="1">
        <v>46651030</v>
      </c>
      <c r="AQ96" s="1">
        <v>11248540</v>
      </c>
      <c r="AR96" s="1">
        <v>1687281</v>
      </c>
      <c r="AS96" s="1">
        <v>0</v>
      </c>
      <c r="AT96" s="1">
        <f t="shared" si="7"/>
        <v>69178522</v>
      </c>
    </row>
    <row r="97" spans="1:46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7646962</v>
      </c>
      <c r="G97" s="1">
        <v>5907080</v>
      </c>
      <c r="H97" s="1">
        <v>0</v>
      </c>
      <c r="I97" s="1">
        <v>5582282</v>
      </c>
      <c r="J97" s="1">
        <v>0</v>
      </c>
      <c r="K97" s="1">
        <v>0</v>
      </c>
      <c r="L97" s="1">
        <v>3620700</v>
      </c>
      <c r="M97" s="1">
        <v>400000</v>
      </c>
      <c r="N97" s="1">
        <v>4024717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5258045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3131199</v>
      </c>
      <c r="AE97" s="1">
        <v>0</v>
      </c>
      <c r="AF97" s="1">
        <v>1111269</v>
      </c>
      <c r="AG97" s="1">
        <v>0</v>
      </c>
      <c r="AH97" s="1">
        <v>0</v>
      </c>
      <c r="AI97" s="1">
        <v>0</v>
      </c>
      <c r="AJ97" s="1">
        <v>3658579</v>
      </c>
      <c r="AK97" s="1">
        <v>0</v>
      </c>
      <c r="AL97" s="1">
        <v>0</v>
      </c>
      <c r="AM97" s="1">
        <v>0</v>
      </c>
      <c r="AN97" s="1">
        <v>41440833</v>
      </c>
      <c r="AO97" s="1">
        <v>6025390</v>
      </c>
      <c r="AP97" s="1">
        <v>35415443</v>
      </c>
      <c r="AQ97" s="1">
        <v>8065913</v>
      </c>
      <c r="AR97" s="1">
        <v>1209887</v>
      </c>
      <c r="AS97" s="1">
        <v>530000</v>
      </c>
      <c r="AT97" s="1">
        <f t="shared" si="7"/>
        <v>51246633</v>
      </c>
    </row>
    <row r="98" spans="1:46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13300508</v>
      </c>
      <c r="G98" s="1">
        <v>2885916</v>
      </c>
      <c r="H98" s="1">
        <v>0</v>
      </c>
      <c r="I98" s="1">
        <v>12335446</v>
      </c>
      <c r="J98" s="1">
        <v>0</v>
      </c>
      <c r="K98" s="1">
        <v>4620000</v>
      </c>
      <c r="L98" s="1">
        <v>0</v>
      </c>
      <c r="M98" s="1">
        <v>400000</v>
      </c>
      <c r="N98" s="1">
        <v>2555722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9212336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1825515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4746339</v>
      </c>
      <c r="AM98" s="1">
        <v>0</v>
      </c>
      <c r="AN98" s="1">
        <v>52981782</v>
      </c>
      <c r="AO98" s="1">
        <v>12842145</v>
      </c>
      <c r="AP98" s="1">
        <v>40139637</v>
      </c>
      <c r="AQ98" s="1">
        <v>10596356</v>
      </c>
      <c r="AR98" s="1">
        <v>1589453</v>
      </c>
      <c r="AS98" s="1">
        <v>0</v>
      </c>
      <c r="AT98" s="1">
        <f t="shared" si="7"/>
        <v>65167591</v>
      </c>
    </row>
    <row r="99" spans="1:46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12343765</v>
      </c>
      <c r="G99" s="1">
        <v>1676100</v>
      </c>
      <c r="H99" s="1">
        <v>0</v>
      </c>
      <c r="I99" s="1">
        <v>10459567</v>
      </c>
      <c r="J99" s="1">
        <v>950000</v>
      </c>
      <c r="K99" s="1">
        <v>3465000</v>
      </c>
      <c r="L99" s="1">
        <v>0</v>
      </c>
      <c r="M99" s="1">
        <v>400000</v>
      </c>
      <c r="N99" s="1">
        <v>2396801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1270000</v>
      </c>
      <c r="U99" s="1">
        <v>0</v>
      </c>
      <c r="V99" s="1">
        <v>7289919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1712000</v>
      </c>
      <c r="AF99" s="1">
        <v>1111269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4108800</v>
      </c>
      <c r="AM99" s="1">
        <v>0</v>
      </c>
      <c r="AN99" s="1">
        <v>48283221</v>
      </c>
      <c r="AO99" s="1">
        <v>6365884</v>
      </c>
      <c r="AP99" s="1">
        <v>41917337</v>
      </c>
      <c r="AQ99" s="1">
        <v>8990390</v>
      </c>
      <c r="AR99" s="1">
        <v>1348559</v>
      </c>
      <c r="AS99" s="1">
        <v>0</v>
      </c>
      <c r="AT99" s="1">
        <f t="shared" si="7"/>
        <v>58622170</v>
      </c>
    </row>
    <row r="100" spans="1:46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11473442</v>
      </c>
      <c r="G100" s="1">
        <v>0</v>
      </c>
      <c r="H100" s="1">
        <v>0</v>
      </c>
      <c r="I100" s="1">
        <v>10157602</v>
      </c>
      <c r="J100" s="1">
        <v>0</v>
      </c>
      <c r="K100" s="1">
        <v>3300000</v>
      </c>
      <c r="L100" s="1">
        <v>0</v>
      </c>
      <c r="M100" s="1">
        <v>320000</v>
      </c>
      <c r="N100" s="1">
        <v>1857757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2654083</v>
      </c>
      <c r="W100" s="1">
        <v>880000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1326969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1725060</v>
      </c>
      <c r="AM100" s="1">
        <v>0</v>
      </c>
      <c r="AN100" s="1">
        <v>33694913</v>
      </c>
      <c r="AO100" s="1">
        <v>10326694</v>
      </c>
      <c r="AP100" s="1">
        <v>23368219</v>
      </c>
      <c r="AQ100" s="1">
        <v>6738983</v>
      </c>
      <c r="AR100" s="1">
        <v>1010847</v>
      </c>
      <c r="AS100" s="1">
        <v>0</v>
      </c>
      <c r="AT100" s="1">
        <f t="shared" si="7"/>
        <v>41444743</v>
      </c>
    </row>
    <row r="101" spans="1:46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12720023</v>
      </c>
      <c r="G101" s="1">
        <v>2311760</v>
      </c>
      <c r="H101" s="1">
        <v>0</v>
      </c>
      <c r="I101" s="1">
        <v>11240682</v>
      </c>
      <c r="J101" s="1">
        <v>0</v>
      </c>
      <c r="K101" s="1">
        <v>3465000</v>
      </c>
      <c r="L101" s="1">
        <v>0</v>
      </c>
      <c r="M101" s="1">
        <v>400000</v>
      </c>
      <c r="N101" s="1">
        <v>2358967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8618246</v>
      </c>
      <c r="W101" s="1">
        <v>1100000</v>
      </c>
      <c r="X101" s="1">
        <v>1908003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1684976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8668738</v>
      </c>
      <c r="AM101" s="1">
        <v>0</v>
      </c>
      <c r="AN101" s="1">
        <v>54476395</v>
      </c>
      <c r="AO101" s="1">
        <v>10709927</v>
      </c>
      <c r="AP101" s="1">
        <v>43766468</v>
      </c>
      <c r="AQ101" s="1">
        <v>10895279</v>
      </c>
      <c r="AR101" s="1">
        <v>1634292</v>
      </c>
      <c r="AS101" s="1">
        <v>0</v>
      </c>
      <c r="AT101" s="1">
        <f t="shared" si="7"/>
        <v>67005966</v>
      </c>
    </row>
    <row r="102" spans="1:46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16282617</v>
      </c>
      <c r="G102" s="1">
        <v>10425955</v>
      </c>
      <c r="H102" s="1">
        <v>0</v>
      </c>
      <c r="I102" s="1">
        <v>14865178</v>
      </c>
      <c r="J102" s="1">
        <v>0</v>
      </c>
      <c r="K102" s="1">
        <v>5500000</v>
      </c>
      <c r="L102" s="1">
        <v>0</v>
      </c>
      <c r="M102" s="1">
        <v>400000</v>
      </c>
      <c r="N102" s="1">
        <v>2944115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22016648</v>
      </c>
      <c r="W102" s="1">
        <v>1100000</v>
      </c>
      <c r="X102" s="1">
        <v>2442393</v>
      </c>
      <c r="Y102" s="1">
        <v>0</v>
      </c>
      <c r="Z102" s="1">
        <v>0</v>
      </c>
      <c r="AA102" s="1">
        <v>0</v>
      </c>
      <c r="AB102" s="1">
        <v>0</v>
      </c>
      <c r="AC102" s="1">
        <v>3180690</v>
      </c>
      <c r="AD102" s="1">
        <v>0</v>
      </c>
      <c r="AE102" s="1">
        <v>2102939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10100074</v>
      </c>
      <c r="AM102" s="1">
        <v>0</v>
      </c>
      <c r="AN102" s="1">
        <v>91360609</v>
      </c>
      <c r="AO102" s="1">
        <v>15018598</v>
      </c>
      <c r="AP102" s="1">
        <v>76342011</v>
      </c>
      <c r="AQ102" s="1">
        <v>15557766</v>
      </c>
      <c r="AR102" s="1">
        <v>2333665</v>
      </c>
      <c r="AS102" s="1">
        <v>0</v>
      </c>
      <c r="AT102" s="1">
        <f t="shared" si="7"/>
        <v>109252040</v>
      </c>
    </row>
    <row r="103" spans="1:46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7000889</v>
      </c>
      <c r="G103" s="1">
        <v>10220956</v>
      </c>
      <c r="H103" s="1">
        <v>0</v>
      </c>
      <c r="I103" s="1">
        <v>5320676</v>
      </c>
      <c r="J103" s="1">
        <v>0</v>
      </c>
      <c r="K103" s="1">
        <v>0</v>
      </c>
      <c r="L103" s="1">
        <v>3620700</v>
      </c>
      <c r="M103" s="1">
        <v>400000</v>
      </c>
      <c r="N103" s="1">
        <v>3684678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4964832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2944041</v>
      </c>
      <c r="AE103" s="1">
        <v>0</v>
      </c>
      <c r="AF103" s="1">
        <v>2222538</v>
      </c>
      <c r="AG103" s="1">
        <v>0</v>
      </c>
      <c r="AH103" s="1">
        <v>0</v>
      </c>
      <c r="AI103" s="1">
        <v>0</v>
      </c>
      <c r="AJ103" s="1">
        <v>4590465</v>
      </c>
      <c r="AK103" s="1">
        <v>0</v>
      </c>
      <c r="AL103" s="1">
        <v>0</v>
      </c>
      <c r="AM103" s="1">
        <v>0</v>
      </c>
      <c r="AN103" s="1">
        <v>46069775</v>
      </c>
      <c r="AO103" s="1">
        <v>9448153</v>
      </c>
      <c r="AP103" s="1">
        <v>36621622</v>
      </c>
      <c r="AQ103" s="1">
        <v>8769447</v>
      </c>
      <c r="AR103" s="1">
        <v>1315417</v>
      </c>
      <c r="AS103" s="1">
        <v>1060000</v>
      </c>
      <c r="AT103" s="1">
        <f t="shared" si="7"/>
        <v>57214639</v>
      </c>
    </row>
    <row r="104" spans="1:46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12810184</v>
      </c>
      <c r="G104" s="1">
        <v>363424</v>
      </c>
      <c r="H104" s="1">
        <v>0</v>
      </c>
      <c r="I104" s="1">
        <v>10312567</v>
      </c>
      <c r="J104" s="1">
        <v>0</v>
      </c>
      <c r="K104" s="1">
        <v>3025000</v>
      </c>
      <c r="L104" s="1">
        <v>0</v>
      </c>
      <c r="M104" s="1">
        <v>293333</v>
      </c>
      <c r="N104" s="1">
        <v>2234169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1270000</v>
      </c>
      <c r="U104" s="1">
        <v>0</v>
      </c>
      <c r="V104" s="1">
        <v>6405691</v>
      </c>
      <c r="W104" s="1">
        <v>806667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1595835</v>
      </c>
      <c r="AF104" s="1">
        <v>1111269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3191670</v>
      </c>
      <c r="AM104" s="1">
        <v>0</v>
      </c>
      <c r="AN104" s="1">
        <v>43419809</v>
      </c>
      <c r="AO104" s="1">
        <v>5175832</v>
      </c>
      <c r="AP104" s="1">
        <v>38243977</v>
      </c>
      <c r="AQ104" s="1">
        <v>8207708</v>
      </c>
      <c r="AR104" s="1">
        <v>1231156</v>
      </c>
      <c r="AS104" s="1">
        <v>0</v>
      </c>
      <c r="AT104" s="1">
        <f t="shared" si="7"/>
        <v>52858673</v>
      </c>
    </row>
    <row r="105" spans="1:46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12992310</v>
      </c>
      <c r="G105" s="1">
        <v>14959980</v>
      </c>
      <c r="H105" s="1">
        <v>0</v>
      </c>
      <c r="I105" s="1">
        <v>12702292</v>
      </c>
      <c r="J105" s="1">
        <v>0</v>
      </c>
      <c r="K105" s="1">
        <v>4620000</v>
      </c>
      <c r="L105" s="1">
        <v>0</v>
      </c>
      <c r="M105" s="1">
        <v>400000</v>
      </c>
      <c r="N105" s="1">
        <v>2478063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1270000</v>
      </c>
      <c r="U105" s="1">
        <v>0</v>
      </c>
      <c r="V105" s="1">
        <v>18052125</v>
      </c>
      <c r="W105" s="1">
        <v>1100000</v>
      </c>
      <c r="X105" s="1">
        <v>1948847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1770045</v>
      </c>
      <c r="AF105" s="1">
        <v>2222538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10623864</v>
      </c>
      <c r="AM105" s="1">
        <v>0</v>
      </c>
      <c r="AN105" s="1">
        <v>85140064</v>
      </c>
      <c r="AO105" s="1">
        <v>19076042</v>
      </c>
      <c r="AP105" s="1">
        <v>66064022</v>
      </c>
      <c r="AQ105" s="1">
        <v>15557766</v>
      </c>
      <c r="AR105" s="1">
        <v>2333665</v>
      </c>
      <c r="AS105" s="1">
        <v>0</v>
      </c>
      <c r="AT105" s="1">
        <f t="shared" si="7"/>
        <v>103031495</v>
      </c>
    </row>
    <row r="106" spans="1:46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17048139</v>
      </c>
      <c r="G106" s="1">
        <v>0</v>
      </c>
      <c r="H106" s="1">
        <v>0</v>
      </c>
      <c r="I106" s="1">
        <v>15192672</v>
      </c>
      <c r="J106" s="1">
        <v>0</v>
      </c>
      <c r="K106" s="1">
        <v>4125000</v>
      </c>
      <c r="L106" s="1">
        <v>0</v>
      </c>
      <c r="M106" s="1">
        <v>400000</v>
      </c>
      <c r="N106" s="1">
        <v>2900717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1270000</v>
      </c>
      <c r="U106" s="1">
        <v>0</v>
      </c>
      <c r="V106" s="1">
        <v>9215894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2425950</v>
      </c>
      <c r="AD106" s="1">
        <v>0</v>
      </c>
      <c r="AE106" s="1">
        <v>2071941</v>
      </c>
      <c r="AF106" s="1">
        <v>1111269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3729494</v>
      </c>
      <c r="AM106" s="1">
        <v>0</v>
      </c>
      <c r="AN106" s="1">
        <v>60591076</v>
      </c>
      <c r="AO106" s="1">
        <v>11105270</v>
      </c>
      <c r="AP106" s="1">
        <v>49485806</v>
      </c>
      <c r="AQ106" s="1">
        <v>11641961</v>
      </c>
      <c r="AR106" s="1">
        <v>1746294</v>
      </c>
      <c r="AS106" s="1">
        <v>0</v>
      </c>
      <c r="AT106" s="1">
        <f t="shared" si="7"/>
        <v>73979331</v>
      </c>
    </row>
    <row r="107" spans="1:46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12264525</v>
      </c>
      <c r="G107" s="1">
        <v>4444406</v>
      </c>
      <c r="H107" s="1">
        <v>0</v>
      </c>
      <c r="I107" s="1">
        <v>10766618</v>
      </c>
      <c r="J107" s="1">
        <v>0</v>
      </c>
      <c r="K107" s="1">
        <v>4620000</v>
      </c>
      <c r="L107" s="1">
        <v>0</v>
      </c>
      <c r="M107" s="1">
        <v>400000</v>
      </c>
      <c r="N107" s="1">
        <v>2421458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15642199</v>
      </c>
      <c r="W107" s="1">
        <v>1100000</v>
      </c>
      <c r="X107" s="1">
        <v>1839679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1729612</v>
      </c>
      <c r="AF107" s="1">
        <v>2222538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7968797</v>
      </c>
      <c r="AM107" s="1">
        <v>0</v>
      </c>
      <c r="AN107" s="1">
        <v>65419832</v>
      </c>
      <c r="AO107" s="1">
        <v>19195742</v>
      </c>
      <c r="AP107" s="1">
        <v>46224090</v>
      </c>
      <c r="AQ107" s="1">
        <v>12639459</v>
      </c>
      <c r="AR107" s="1">
        <v>1895919</v>
      </c>
      <c r="AS107" s="1">
        <v>0</v>
      </c>
      <c r="AT107" s="1">
        <f t="shared" si="7"/>
        <v>79955210</v>
      </c>
    </row>
    <row r="108" spans="1:46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7191568</v>
      </c>
      <c r="G108" s="1">
        <v>2550399</v>
      </c>
      <c r="H108" s="1">
        <v>0</v>
      </c>
      <c r="I108" s="1">
        <v>5321761</v>
      </c>
      <c r="J108" s="1">
        <v>0</v>
      </c>
      <c r="K108" s="1">
        <v>0</v>
      </c>
      <c r="L108" s="1">
        <v>3620700</v>
      </c>
      <c r="M108" s="1">
        <v>400000</v>
      </c>
      <c r="N108" s="1">
        <v>3810102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5039371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2991620</v>
      </c>
      <c r="AE108" s="1">
        <v>0</v>
      </c>
      <c r="AF108" s="1">
        <v>3333807</v>
      </c>
      <c r="AG108" s="1">
        <v>0</v>
      </c>
      <c r="AH108" s="1">
        <v>0</v>
      </c>
      <c r="AI108" s="1">
        <v>0</v>
      </c>
      <c r="AJ108" s="1">
        <v>3497690</v>
      </c>
      <c r="AK108" s="1">
        <v>0</v>
      </c>
      <c r="AL108" s="1">
        <v>0</v>
      </c>
      <c r="AM108" s="1">
        <v>0</v>
      </c>
      <c r="AN108" s="1">
        <v>38857018</v>
      </c>
      <c r="AO108" s="1">
        <v>5188177</v>
      </c>
      <c r="AP108" s="1">
        <v>33668841</v>
      </c>
      <c r="AQ108" s="1">
        <v>7104642</v>
      </c>
      <c r="AR108" s="1">
        <v>1065696</v>
      </c>
      <c r="AS108" s="1">
        <v>390000</v>
      </c>
      <c r="AT108" s="1">
        <f t="shared" si="7"/>
        <v>47417356</v>
      </c>
    </row>
    <row r="109" spans="1:46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11841481</v>
      </c>
      <c r="G109" s="1">
        <v>6873946</v>
      </c>
      <c r="H109" s="1">
        <v>0</v>
      </c>
      <c r="I109" s="1">
        <v>10531437</v>
      </c>
      <c r="J109" s="1">
        <v>0</v>
      </c>
      <c r="K109" s="1">
        <v>4620000</v>
      </c>
      <c r="L109" s="1">
        <v>0</v>
      </c>
      <c r="M109" s="1">
        <v>400000</v>
      </c>
      <c r="N109" s="1">
        <v>2073203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1270000</v>
      </c>
      <c r="U109" s="1">
        <v>0</v>
      </c>
      <c r="V109" s="1">
        <v>15279807</v>
      </c>
      <c r="W109" s="1">
        <v>1100000</v>
      </c>
      <c r="X109" s="1">
        <v>1776222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1480859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8409663</v>
      </c>
      <c r="AM109" s="1">
        <v>0</v>
      </c>
      <c r="AN109" s="1">
        <v>65656618</v>
      </c>
      <c r="AO109" s="1">
        <v>13383913</v>
      </c>
      <c r="AP109" s="1">
        <v>52272705</v>
      </c>
      <c r="AQ109" s="1">
        <v>12877324</v>
      </c>
      <c r="AR109" s="1">
        <v>1931599</v>
      </c>
      <c r="AS109" s="1">
        <v>0</v>
      </c>
      <c r="AT109" s="1">
        <f t="shared" si="7"/>
        <v>80465541</v>
      </c>
    </row>
    <row r="110" spans="1:46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16537791</v>
      </c>
      <c r="G110" s="1">
        <v>4736762</v>
      </c>
      <c r="H110" s="1">
        <v>0</v>
      </c>
      <c r="I110" s="1">
        <v>14228880</v>
      </c>
      <c r="J110" s="1">
        <v>0</v>
      </c>
      <c r="K110" s="1">
        <v>5500000</v>
      </c>
      <c r="L110" s="1">
        <v>0</v>
      </c>
      <c r="M110" s="1">
        <v>400000</v>
      </c>
      <c r="N110" s="1">
        <v>2722096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14034850</v>
      </c>
      <c r="W110" s="1">
        <v>1100000</v>
      </c>
      <c r="X110" s="1">
        <v>2480669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1944354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4666450</v>
      </c>
      <c r="AM110" s="1">
        <v>0</v>
      </c>
      <c r="AN110" s="1">
        <v>68351852</v>
      </c>
      <c r="AO110" s="1">
        <v>12728009</v>
      </c>
      <c r="AP110" s="1">
        <v>55623843</v>
      </c>
      <c r="AQ110" s="1">
        <v>13670370</v>
      </c>
      <c r="AR110" s="1">
        <v>2050556</v>
      </c>
      <c r="AS110" s="1">
        <v>0</v>
      </c>
      <c r="AT110" s="1">
        <f t="shared" si="7"/>
        <v>84072778</v>
      </c>
    </row>
    <row r="111" spans="1:46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12010296</v>
      </c>
      <c r="G111" s="1">
        <v>8028802</v>
      </c>
      <c r="H111" s="1">
        <v>0</v>
      </c>
      <c r="I111" s="1">
        <v>10828157</v>
      </c>
      <c r="J111" s="1">
        <v>0</v>
      </c>
      <c r="K111" s="1">
        <v>3465000</v>
      </c>
      <c r="L111" s="1">
        <v>0</v>
      </c>
      <c r="M111" s="1">
        <v>400000</v>
      </c>
      <c r="N111" s="1">
        <v>2305346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1270000</v>
      </c>
      <c r="U111" s="1">
        <v>0</v>
      </c>
      <c r="V111" s="1">
        <v>8380788</v>
      </c>
      <c r="W111" s="1">
        <v>1100000</v>
      </c>
      <c r="X111" s="1">
        <v>1801544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1646676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8872452</v>
      </c>
      <c r="AM111" s="1">
        <v>0</v>
      </c>
      <c r="AN111" s="1">
        <v>60109061</v>
      </c>
      <c r="AO111" s="1">
        <v>14748162</v>
      </c>
      <c r="AP111" s="1">
        <v>45360899</v>
      </c>
      <c r="AQ111" s="1">
        <v>11767812</v>
      </c>
      <c r="AR111" s="1">
        <v>1765172</v>
      </c>
      <c r="AS111" s="1">
        <v>0</v>
      </c>
      <c r="AT111" s="1">
        <f t="shared" si="7"/>
        <v>73642045</v>
      </c>
    </row>
    <row r="112" spans="1:46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16133466</v>
      </c>
      <c r="G112" s="1">
        <v>9667209</v>
      </c>
      <c r="H112" s="1">
        <v>0</v>
      </c>
      <c r="I112" s="1">
        <v>13455420</v>
      </c>
      <c r="J112" s="1">
        <v>0</v>
      </c>
      <c r="K112" s="1">
        <v>5500000</v>
      </c>
      <c r="L112" s="1">
        <v>0</v>
      </c>
      <c r="M112" s="1">
        <v>400000</v>
      </c>
      <c r="N112" s="1">
        <v>2891912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16714966</v>
      </c>
      <c r="W112" s="1">
        <v>1100000</v>
      </c>
      <c r="X112" s="1">
        <v>2420020</v>
      </c>
      <c r="Y112" s="1">
        <v>0</v>
      </c>
      <c r="Z112" s="1">
        <v>0</v>
      </c>
      <c r="AA112" s="1">
        <v>0</v>
      </c>
      <c r="AB112" s="1">
        <v>0</v>
      </c>
      <c r="AC112" s="1">
        <v>3180690</v>
      </c>
      <c r="AD112" s="1">
        <v>0</v>
      </c>
      <c r="AE112" s="1">
        <v>2065652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15336245</v>
      </c>
      <c r="AM112" s="1">
        <v>0</v>
      </c>
      <c r="AN112" s="1">
        <v>88865580</v>
      </c>
      <c r="AO112" s="1">
        <v>14375095</v>
      </c>
      <c r="AP112" s="1">
        <v>74490485</v>
      </c>
      <c r="AQ112" s="1">
        <v>15557766</v>
      </c>
      <c r="AR112" s="1">
        <v>2333665</v>
      </c>
      <c r="AS112" s="1">
        <v>0</v>
      </c>
      <c r="AT112" s="1">
        <f t="shared" si="7"/>
        <v>106757011</v>
      </c>
    </row>
    <row r="113" spans="1:46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16090338</v>
      </c>
      <c r="G113" s="1">
        <v>7820728</v>
      </c>
      <c r="H113" s="1">
        <v>0</v>
      </c>
      <c r="I113" s="1">
        <v>15177692</v>
      </c>
      <c r="J113" s="1">
        <v>0</v>
      </c>
      <c r="K113" s="1">
        <v>5500000</v>
      </c>
      <c r="L113" s="1">
        <v>0</v>
      </c>
      <c r="M113" s="1">
        <v>400000</v>
      </c>
      <c r="N113" s="1">
        <v>2876817</v>
      </c>
      <c r="O113" s="1">
        <v>0</v>
      </c>
      <c r="P113" s="1">
        <v>0</v>
      </c>
      <c r="Q113" s="1">
        <v>0</v>
      </c>
      <c r="R113" s="1">
        <v>0</v>
      </c>
      <c r="S113" s="1">
        <v>2542500</v>
      </c>
      <c r="T113" s="1">
        <v>0</v>
      </c>
      <c r="U113" s="1">
        <v>0</v>
      </c>
      <c r="V113" s="1">
        <v>13154000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2054870</v>
      </c>
      <c r="AF113" s="1">
        <v>2222538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4274129</v>
      </c>
      <c r="AM113" s="1">
        <v>0</v>
      </c>
      <c r="AN113" s="1">
        <v>73213612</v>
      </c>
      <c r="AO113" s="1">
        <v>13722511</v>
      </c>
      <c r="AP113" s="1">
        <v>59491101</v>
      </c>
      <c r="AQ113" s="1">
        <v>13689715</v>
      </c>
      <c r="AR113" s="1">
        <v>2053457</v>
      </c>
      <c r="AS113" s="1">
        <v>0</v>
      </c>
      <c r="AT113" s="1">
        <f t="shared" si="7"/>
        <v>88956784</v>
      </c>
    </row>
    <row r="114" spans="1:46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16341270</v>
      </c>
      <c r="G114" s="1">
        <v>11936570</v>
      </c>
      <c r="H114" s="1">
        <v>0</v>
      </c>
      <c r="I114" s="1">
        <v>14090391</v>
      </c>
      <c r="J114" s="1">
        <v>0</v>
      </c>
      <c r="K114" s="1">
        <v>4125000</v>
      </c>
      <c r="L114" s="1">
        <v>0</v>
      </c>
      <c r="M114" s="1">
        <v>400000</v>
      </c>
      <c r="N114" s="1">
        <v>2951971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1270000</v>
      </c>
      <c r="U114" s="1">
        <v>0</v>
      </c>
      <c r="V114" s="1">
        <v>8438223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2108551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4217102</v>
      </c>
      <c r="AM114" s="1">
        <v>0</v>
      </c>
      <c r="AN114" s="1">
        <v>66979078</v>
      </c>
      <c r="AO114" s="1">
        <v>10134021</v>
      </c>
      <c r="AP114" s="1">
        <v>56845057</v>
      </c>
      <c r="AQ114" s="1">
        <v>13141816</v>
      </c>
      <c r="AR114" s="1">
        <v>1971272</v>
      </c>
      <c r="AS114" s="1">
        <v>0</v>
      </c>
      <c r="AT114" s="1">
        <f t="shared" si="7"/>
        <v>82092166</v>
      </c>
    </row>
    <row r="115" spans="1:46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14730361</v>
      </c>
      <c r="G115" s="1">
        <v>4886535</v>
      </c>
      <c r="H115" s="1">
        <v>0</v>
      </c>
      <c r="I115" s="1">
        <v>13650501</v>
      </c>
      <c r="J115" s="1">
        <v>0</v>
      </c>
      <c r="K115" s="1">
        <v>4125000</v>
      </c>
      <c r="L115" s="1">
        <v>0</v>
      </c>
      <c r="M115" s="1">
        <v>400000</v>
      </c>
      <c r="N115" s="1">
        <v>2508366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1270000</v>
      </c>
      <c r="U115" s="1">
        <v>0</v>
      </c>
      <c r="V115" s="1">
        <v>6815120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2457487</v>
      </c>
      <c r="AD115" s="1">
        <v>0</v>
      </c>
      <c r="AE115" s="1">
        <v>1791690</v>
      </c>
      <c r="AF115" s="1">
        <v>1111269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2723369</v>
      </c>
      <c r="AM115" s="1">
        <v>0</v>
      </c>
      <c r="AN115" s="1">
        <v>57569698</v>
      </c>
      <c r="AO115" s="1">
        <v>15755180</v>
      </c>
      <c r="AP115" s="1">
        <v>41814518</v>
      </c>
      <c r="AQ115" s="1">
        <v>11037686</v>
      </c>
      <c r="AR115" s="1">
        <v>1655653</v>
      </c>
      <c r="AS115" s="1">
        <v>0</v>
      </c>
      <c r="AT115" s="1">
        <f t="shared" si="7"/>
        <v>70263037</v>
      </c>
    </row>
    <row r="116" spans="1:46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11984481</v>
      </c>
      <c r="G116" s="1">
        <v>8718483</v>
      </c>
      <c r="H116" s="1">
        <v>0</v>
      </c>
      <c r="I116" s="1">
        <v>9759118</v>
      </c>
      <c r="J116" s="1">
        <v>0</v>
      </c>
      <c r="K116" s="1">
        <v>4620000</v>
      </c>
      <c r="L116" s="1">
        <v>0</v>
      </c>
      <c r="M116" s="1">
        <v>400000</v>
      </c>
      <c r="N116" s="1">
        <v>2313525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14556075</v>
      </c>
      <c r="W116" s="1">
        <v>1100000</v>
      </c>
      <c r="X116" s="1">
        <v>1797672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1652518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7561387</v>
      </c>
      <c r="AM116" s="1">
        <v>0</v>
      </c>
      <c r="AN116" s="1">
        <v>64463259</v>
      </c>
      <c r="AO116" s="1">
        <v>16616418</v>
      </c>
      <c r="AP116" s="1">
        <v>47846841</v>
      </c>
      <c r="AQ116" s="1">
        <v>12892652</v>
      </c>
      <c r="AR116" s="1">
        <v>1933898</v>
      </c>
      <c r="AS116" s="1">
        <v>0</v>
      </c>
      <c r="AT116" s="1">
        <f t="shared" si="7"/>
        <v>79289809</v>
      </c>
    </row>
    <row r="117" spans="1:46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6155183</v>
      </c>
      <c r="G117" s="1">
        <v>4829628</v>
      </c>
      <c r="H117" s="1">
        <v>0</v>
      </c>
      <c r="I117" s="1">
        <v>4554835</v>
      </c>
      <c r="J117" s="1">
        <v>0</v>
      </c>
      <c r="K117" s="1">
        <v>0</v>
      </c>
      <c r="L117" s="1">
        <v>3620700</v>
      </c>
      <c r="M117" s="1">
        <v>400000</v>
      </c>
      <c r="N117" s="1">
        <v>3261024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4486559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2222538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30630467</v>
      </c>
      <c r="AO117" s="1">
        <v>4583682</v>
      </c>
      <c r="AP117" s="1">
        <v>26046785</v>
      </c>
      <c r="AQ117" s="1">
        <v>5681586</v>
      </c>
      <c r="AR117" s="1">
        <v>852238</v>
      </c>
      <c r="AS117" s="1">
        <v>780000</v>
      </c>
      <c r="AT117" s="1">
        <f t="shared" si="7"/>
        <v>37944291</v>
      </c>
    </row>
    <row r="118" spans="1:46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13355304</v>
      </c>
      <c r="G118" s="1">
        <v>19748444</v>
      </c>
      <c r="H118" s="1">
        <v>0</v>
      </c>
      <c r="I118" s="1">
        <v>12438074</v>
      </c>
      <c r="J118" s="1">
        <v>0</v>
      </c>
      <c r="K118" s="1">
        <v>4620000</v>
      </c>
      <c r="L118" s="1">
        <v>0</v>
      </c>
      <c r="M118" s="1">
        <v>400000</v>
      </c>
      <c r="N118" s="1">
        <v>2605111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1270000</v>
      </c>
      <c r="U118" s="1">
        <v>0</v>
      </c>
      <c r="V118" s="1">
        <v>13053566</v>
      </c>
      <c r="W118" s="1">
        <v>1100000</v>
      </c>
      <c r="X118" s="1">
        <v>2003296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1860794</v>
      </c>
      <c r="AF118" s="1">
        <v>1111269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10854311</v>
      </c>
      <c r="AM118" s="1">
        <v>0</v>
      </c>
      <c r="AN118" s="1">
        <v>84420169</v>
      </c>
      <c r="AO118" s="1">
        <v>16375554</v>
      </c>
      <c r="AP118" s="1">
        <v>68044615</v>
      </c>
      <c r="AQ118" s="1">
        <v>15557766</v>
      </c>
      <c r="AR118" s="1">
        <v>2333665</v>
      </c>
      <c r="AS118" s="1">
        <v>0</v>
      </c>
      <c r="AT118" s="1">
        <f t="shared" si="7"/>
        <v>102311600</v>
      </c>
    </row>
    <row r="119" spans="1:46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12279943</v>
      </c>
      <c r="G119" s="1">
        <v>11560582</v>
      </c>
      <c r="H119" s="1">
        <v>0</v>
      </c>
      <c r="I119" s="1">
        <v>11803357</v>
      </c>
      <c r="J119" s="1">
        <v>0</v>
      </c>
      <c r="K119" s="1">
        <v>4620000</v>
      </c>
      <c r="L119" s="1">
        <v>0</v>
      </c>
      <c r="M119" s="1">
        <v>400000</v>
      </c>
      <c r="N119" s="1">
        <v>2411511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8873090</v>
      </c>
      <c r="W119" s="1">
        <v>1100000</v>
      </c>
      <c r="X119" s="1">
        <v>1841991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1722508</v>
      </c>
      <c r="AF119" s="1">
        <v>1111269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9540508</v>
      </c>
      <c r="AM119" s="1">
        <v>0</v>
      </c>
      <c r="AN119" s="1">
        <v>67264759</v>
      </c>
      <c r="AO119" s="1">
        <v>14739462</v>
      </c>
      <c r="AP119" s="1">
        <v>52525297</v>
      </c>
      <c r="AQ119" s="1">
        <v>13230698</v>
      </c>
      <c r="AR119" s="1">
        <v>1984605</v>
      </c>
      <c r="AS119" s="1">
        <v>0</v>
      </c>
      <c r="AT119" s="1">
        <f t="shared" si="7"/>
        <v>82480062</v>
      </c>
    </row>
    <row r="120" spans="1:46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6699035</v>
      </c>
      <c r="G120" s="1">
        <v>4469236</v>
      </c>
      <c r="H120" s="1">
        <v>0</v>
      </c>
      <c r="I120" s="1">
        <v>4957286</v>
      </c>
      <c r="J120" s="1">
        <v>0</v>
      </c>
      <c r="K120" s="1">
        <v>0</v>
      </c>
      <c r="L120" s="1">
        <v>3620700</v>
      </c>
      <c r="M120" s="1">
        <v>400000</v>
      </c>
      <c r="N120" s="1">
        <v>3525808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4771165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2820424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3300359</v>
      </c>
      <c r="AK120" s="1">
        <v>0</v>
      </c>
      <c r="AL120" s="1">
        <v>0</v>
      </c>
      <c r="AM120" s="1">
        <v>0</v>
      </c>
      <c r="AN120" s="1">
        <v>35664013</v>
      </c>
      <c r="AO120" s="1">
        <v>8457099</v>
      </c>
      <c r="AP120" s="1">
        <v>27206914</v>
      </c>
      <c r="AQ120" s="1">
        <v>7132803</v>
      </c>
      <c r="AR120" s="1">
        <v>1069920</v>
      </c>
      <c r="AS120" s="1">
        <v>265000</v>
      </c>
      <c r="AT120" s="1">
        <f t="shared" si="7"/>
        <v>44131736</v>
      </c>
    </row>
    <row r="121" spans="1:46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12041827</v>
      </c>
      <c r="G121" s="1">
        <v>0</v>
      </c>
      <c r="H121" s="1">
        <v>0</v>
      </c>
      <c r="I121" s="1">
        <v>10380810</v>
      </c>
      <c r="J121" s="1">
        <v>0</v>
      </c>
      <c r="K121" s="1">
        <v>4620000</v>
      </c>
      <c r="L121" s="1">
        <v>0</v>
      </c>
      <c r="M121" s="1">
        <v>400000</v>
      </c>
      <c r="N121" s="1">
        <v>2309085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1270000</v>
      </c>
      <c r="U121" s="1">
        <v>0</v>
      </c>
      <c r="V121" s="1">
        <v>8071754</v>
      </c>
      <c r="W121" s="1">
        <v>1100000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1649346</v>
      </c>
      <c r="AF121" s="1">
        <v>2222538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7966821</v>
      </c>
      <c r="AM121" s="1">
        <v>0</v>
      </c>
      <c r="AN121" s="1">
        <v>52032181</v>
      </c>
      <c r="AO121" s="1">
        <v>9750754</v>
      </c>
      <c r="AP121" s="1">
        <v>42281427</v>
      </c>
      <c r="AQ121" s="1">
        <v>9707929</v>
      </c>
      <c r="AR121" s="1">
        <v>1456189</v>
      </c>
      <c r="AS121" s="1">
        <v>0</v>
      </c>
      <c r="AT121" s="1">
        <f t="shared" si="7"/>
        <v>63196299</v>
      </c>
    </row>
    <row r="122" spans="1:46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12737136</v>
      </c>
      <c r="G122" s="1">
        <v>18209472</v>
      </c>
      <c r="H122" s="1">
        <v>0</v>
      </c>
      <c r="I122" s="1">
        <v>11784010</v>
      </c>
      <c r="J122" s="1">
        <v>0</v>
      </c>
      <c r="K122" s="1">
        <v>3465000</v>
      </c>
      <c r="L122" s="1">
        <v>0</v>
      </c>
      <c r="M122" s="1">
        <v>400000</v>
      </c>
      <c r="N122" s="1">
        <v>2388752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12931491</v>
      </c>
      <c r="W122" s="1">
        <v>1100000</v>
      </c>
      <c r="X122" s="1">
        <v>1910570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1706252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9417646</v>
      </c>
      <c r="AM122" s="1">
        <v>0</v>
      </c>
      <c r="AN122" s="1">
        <v>76050329</v>
      </c>
      <c r="AO122" s="1">
        <v>13774784</v>
      </c>
      <c r="AP122" s="1">
        <v>62275545</v>
      </c>
      <c r="AQ122" s="1">
        <v>15210066</v>
      </c>
      <c r="AR122" s="1">
        <v>2281510</v>
      </c>
      <c r="AS122" s="1">
        <v>0</v>
      </c>
      <c r="AT122" s="1">
        <f t="shared" si="7"/>
        <v>93541905</v>
      </c>
    </row>
    <row r="123" spans="1:46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12228944</v>
      </c>
      <c r="G123" s="1">
        <v>9015799</v>
      </c>
      <c r="H123" s="1">
        <v>0</v>
      </c>
      <c r="I123" s="1">
        <v>10703362</v>
      </c>
      <c r="J123" s="1">
        <v>0</v>
      </c>
      <c r="K123" s="1">
        <v>3465000</v>
      </c>
      <c r="L123" s="1">
        <v>0</v>
      </c>
      <c r="M123" s="1">
        <v>400000</v>
      </c>
      <c r="N123" s="1">
        <v>2358110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7352386</v>
      </c>
      <c r="W123" s="1">
        <v>1100000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1684364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4311972</v>
      </c>
      <c r="AM123" s="1">
        <v>0</v>
      </c>
      <c r="AN123" s="1">
        <v>52619937</v>
      </c>
      <c r="AO123" s="1">
        <v>10876251</v>
      </c>
      <c r="AP123" s="1">
        <v>41743686</v>
      </c>
      <c r="AQ123" s="1">
        <v>10523987</v>
      </c>
      <c r="AR123" s="1">
        <v>1578598</v>
      </c>
      <c r="AS123" s="1">
        <v>0</v>
      </c>
      <c r="AT123" s="1">
        <f t="shared" si="7"/>
        <v>64722522</v>
      </c>
    </row>
    <row r="124" spans="1:46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15619524</v>
      </c>
      <c r="G124" s="1">
        <v>7316003</v>
      </c>
      <c r="H124" s="1">
        <v>0</v>
      </c>
      <c r="I124" s="1">
        <v>15641278</v>
      </c>
      <c r="J124" s="1">
        <v>0</v>
      </c>
      <c r="K124" s="1">
        <v>5500000</v>
      </c>
      <c r="L124" s="1">
        <v>0</v>
      </c>
      <c r="M124" s="1">
        <v>400000</v>
      </c>
      <c r="N124" s="1">
        <v>2712032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9297730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1937166</v>
      </c>
      <c r="AF124" s="1">
        <v>1111269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4959145</v>
      </c>
      <c r="AM124" s="1">
        <v>0</v>
      </c>
      <c r="AN124" s="1">
        <v>65594147</v>
      </c>
      <c r="AO124" s="1">
        <v>14111147</v>
      </c>
      <c r="AP124" s="1">
        <v>51483000</v>
      </c>
      <c r="AQ124" s="1">
        <v>12896576</v>
      </c>
      <c r="AR124" s="1">
        <v>1934486</v>
      </c>
      <c r="AS124" s="1">
        <v>0</v>
      </c>
      <c r="AT124" s="1">
        <f t="shared" si="7"/>
        <v>80425209</v>
      </c>
    </row>
    <row r="125" spans="1:46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17100252</v>
      </c>
      <c r="G125" s="1">
        <v>19997707</v>
      </c>
      <c r="H125" s="1">
        <v>0</v>
      </c>
      <c r="I125" s="1">
        <v>19157490</v>
      </c>
      <c r="J125" s="1">
        <v>0</v>
      </c>
      <c r="K125" s="1">
        <v>5500000</v>
      </c>
      <c r="L125" s="1">
        <v>0</v>
      </c>
      <c r="M125" s="1">
        <v>400000</v>
      </c>
      <c r="N125" s="1">
        <v>3079339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4704190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2425950</v>
      </c>
      <c r="AD125" s="1">
        <v>0</v>
      </c>
      <c r="AE125" s="1">
        <v>2199528</v>
      </c>
      <c r="AF125" s="1">
        <v>1111269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3079339</v>
      </c>
      <c r="AM125" s="1">
        <v>0</v>
      </c>
      <c r="AN125" s="1">
        <v>79855064</v>
      </c>
      <c r="AO125" s="1">
        <v>14322043</v>
      </c>
      <c r="AP125" s="1">
        <v>65533021</v>
      </c>
      <c r="AQ125" s="1">
        <v>15557766</v>
      </c>
      <c r="AR125" s="1">
        <v>2333665</v>
      </c>
      <c r="AS125" s="1">
        <v>0</v>
      </c>
      <c r="AT125" s="1">
        <f t="shared" si="7"/>
        <v>97746495</v>
      </c>
    </row>
    <row r="126" spans="1:46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10008863</v>
      </c>
      <c r="G126" s="1">
        <v>1221351</v>
      </c>
      <c r="H126" s="1">
        <v>0</v>
      </c>
      <c r="I126" s="1">
        <v>5089689</v>
      </c>
      <c r="J126" s="1">
        <v>0</v>
      </c>
      <c r="K126" s="1">
        <v>4620000</v>
      </c>
      <c r="L126" s="1">
        <v>0</v>
      </c>
      <c r="M126" s="1">
        <v>400000</v>
      </c>
      <c r="N126" s="1">
        <v>1530469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1903404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1093192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1311830</v>
      </c>
      <c r="AM126" s="1">
        <v>0</v>
      </c>
      <c r="AN126" s="1">
        <v>28278798</v>
      </c>
      <c r="AO126" s="1">
        <v>2935735</v>
      </c>
      <c r="AP126" s="1">
        <v>25343063</v>
      </c>
      <c r="AQ126" s="1">
        <v>5655760</v>
      </c>
      <c r="AR126" s="1">
        <v>848364</v>
      </c>
      <c r="AS126" s="1">
        <v>0</v>
      </c>
      <c r="AT126" s="1">
        <f t="shared" si="7"/>
        <v>34782922</v>
      </c>
    </row>
    <row r="127" spans="1:46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13697027</v>
      </c>
      <c r="G127" s="1">
        <v>12168542</v>
      </c>
      <c r="H127" s="1">
        <v>0</v>
      </c>
      <c r="I127" s="1">
        <v>12318154</v>
      </c>
      <c r="J127" s="1">
        <v>0</v>
      </c>
      <c r="K127" s="1">
        <v>4620000</v>
      </c>
      <c r="L127" s="1">
        <v>0</v>
      </c>
      <c r="M127" s="1">
        <v>400000</v>
      </c>
      <c r="N127" s="1">
        <v>2694089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1270000</v>
      </c>
      <c r="U127" s="1">
        <v>0</v>
      </c>
      <c r="V127" s="1">
        <v>8356589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1924349</v>
      </c>
      <c r="AF127" s="1">
        <v>2222538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4926334</v>
      </c>
      <c r="AM127" s="1">
        <v>0</v>
      </c>
      <c r="AN127" s="1">
        <v>65697622</v>
      </c>
      <c r="AO127" s="1">
        <v>14580369</v>
      </c>
      <c r="AP127" s="1">
        <v>51117253</v>
      </c>
      <c r="AQ127" s="1">
        <v>12441017</v>
      </c>
      <c r="AR127" s="1">
        <v>1866153</v>
      </c>
      <c r="AS127" s="1">
        <v>0</v>
      </c>
      <c r="AT127" s="1">
        <f t="shared" si="7"/>
        <v>80004792</v>
      </c>
    </row>
    <row r="128" spans="1:46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12757101</v>
      </c>
      <c r="G128" s="1">
        <v>14806685</v>
      </c>
      <c r="H128" s="1">
        <v>0</v>
      </c>
      <c r="I128" s="1">
        <v>11619077</v>
      </c>
      <c r="J128" s="1">
        <v>0</v>
      </c>
      <c r="K128" s="1">
        <v>4620000</v>
      </c>
      <c r="L128" s="1">
        <v>0</v>
      </c>
      <c r="M128" s="1">
        <v>400000</v>
      </c>
      <c r="N128" s="1">
        <v>2376289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8781713</v>
      </c>
      <c r="W128" s="1">
        <v>1100000</v>
      </c>
      <c r="X128" s="1">
        <v>1913565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1697350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8919178</v>
      </c>
      <c r="AM128" s="1">
        <v>0</v>
      </c>
      <c r="AN128" s="1">
        <v>68990958</v>
      </c>
      <c r="AO128" s="1">
        <v>15122402</v>
      </c>
      <c r="AP128" s="1">
        <v>53868556</v>
      </c>
      <c r="AQ128" s="1">
        <v>13798192</v>
      </c>
      <c r="AR128" s="1">
        <v>2069729</v>
      </c>
      <c r="AS128" s="1">
        <v>0</v>
      </c>
      <c r="AT128" s="1">
        <f t="shared" si="7"/>
        <v>84858879</v>
      </c>
    </row>
    <row r="129" spans="1:46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15692474</v>
      </c>
      <c r="G129" s="1">
        <v>14454144</v>
      </c>
      <c r="H129" s="1">
        <v>0</v>
      </c>
      <c r="I129" s="1">
        <v>13114832</v>
      </c>
      <c r="J129" s="1">
        <v>0</v>
      </c>
      <c r="K129" s="1">
        <v>5500000</v>
      </c>
      <c r="L129" s="1">
        <v>0</v>
      </c>
      <c r="M129" s="1">
        <v>400000</v>
      </c>
      <c r="N129" s="1">
        <v>2734535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1270000</v>
      </c>
      <c r="U129" s="1">
        <v>0</v>
      </c>
      <c r="V129" s="1">
        <v>12155506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1953239</v>
      </c>
      <c r="AF129" s="1">
        <v>1111269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3906478</v>
      </c>
      <c r="AM129" s="1">
        <v>0</v>
      </c>
      <c r="AN129" s="1">
        <v>73392477</v>
      </c>
      <c r="AO129" s="1">
        <v>14960573</v>
      </c>
      <c r="AP129" s="1">
        <v>58431904</v>
      </c>
      <c r="AQ129" s="1">
        <v>14202242</v>
      </c>
      <c r="AR129" s="1">
        <v>2130336</v>
      </c>
      <c r="AS129" s="1">
        <v>0</v>
      </c>
      <c r="AT129" s="1">
        <f t="shared" si="7"/>
        <v>89725055</v>
      </c>
    </row>
    <row r="130" spans="1:46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14393970</v>
      </c>
      <c r="G130" s="1">
        <v>22823214</v>
      </c>
      <c r="H130" s="1">
        <v>0</v>
      </c>
      <c r="I130" s="1">
        <v>13866730</v>
      </c>
      <c r="J130" s="1">
        <v>0</v>
      </c>
      <c r="K130" s="1">
        <v>0</v>
      </c>
      <c r="L130" s="1">
        <v>0</v>
      </c>
      <c r="M130" s="1">
        <v>400000</v>
      </c>
      <c r="N130" s="1">
        <v>2905749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1270000</v>
      </c>
      <c r="U130" s="1">
        <v>0</v>
      </c>
      <c r="V130" s="1">
        <v>9188391</v>
      </c>
      <c r="W130" s="1">
        <v>1100000</v>
      </c>
      <c r="X130" s="1">
        <v>2159096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2075535</v>
      </c>
      <c r="AF130" s="1">
        <v>2222538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8054154</v>
      </c>
      <c r="AM130" s="1">
        <v>0</v>
      </c>
      <c r="AN130" s="1">
        <v>80459377</v>
      </c>
      <c r="AO130" s="1">
        <v>18044864</v>
      </c>
      <c r="AP130" s="1">
        <v>62414513</v>
      </c>
      <c r="AQ130" s="1">
        <v>15393368</v>
      </c>
      <c r="AR130" s="1">
        <v>2309005</v>
      </c>
      <c r="AS130" s="1">
        <v>0</v>
      </c>
      <c r="AT130" s="1">
        <f t="shared" si="7"/>
        <v>98161750</v>
      </c>
    </row>
    <row r="131" spans="1:46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10861302</v>
      </c>
      <c r="G131" s="1">
        <v>8808375</v>
      </c>
      <c r="H131" s="1">
        <v>0</v>
      </c>
      <c r="I131" s="1">
        <v>9668906</v>
      </c>
      <c r="J131" s="1">
        <v>0</v>
      </c>
      <c r="K131" s="1">
        <v>4620000</v>
      </c>
      <c r="L131" s="1">
        <v>0</v>
      </c>
      <c r="M131" s="1">
        <v>400000</v>
      </c>
      <c r="N131" s="1">
        <v>1914051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1270000</v>
      </c>
      <c r="U131" s="1">
        <v>0</v>
      </c>
      <c r="V131" s="1">
        <v>14196649</v>
      </c>
      <c r="W131" s="1">
        <v>1100000</v>
      </c>
      <c r="X131" s="1">
        <v>1629195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1367179</v>
      </c>
      <c r="AF131" s="1">
        <v>1111269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8453671</v>
      </c>
      <c r="AM131" s="1">
        <v>0</v>
      </c>
      <c r="AN131" s="1">
        <v>65400597</v>
      </c>
      <c r="AO131" s="1">
        <v>8869272</v>
      </c>
      <c r="AP131" s="1">
        <v>56531325</v>
      </c>
      <c r="AQ131" s="1">
        <v>12603866</v>
      </c>
      <c r="AR131" s="1">
        <v>1890580</v>
      </c>
      <c r="AS131" s="1">
        <v>0</v>
      </c>
      <c r="AT131" s="1">
        <f t="shared" ref="AT131:AT194" si="12">AS131+AR131+AQ131+AN131</f>
        <v>79895043</v>
      </c>
    </row>
    <row r="132" spans="1:46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15872901</v>
      </c>
      <c r="G132" s="1">
        <v>10364787</v>
      </c>
      <c r="H132" s="1">
        <v>0</v>
      </c>
      <c r="I132" s="1">
        <v>11894771</v>
      </c>
      <c r="J132" s="1">
        <v>0</v>
      </c>
      <c r="K132" s="1">
        <v>5500000</v>
      </c>
      <c r="L132" s="1">
        <v>0</v>
      </c>
      <c r="M132" s="1">
        <v>400000</v>
      </c>
      <c r="N132" s="1">
        <v>2800714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11759981</v>
      </c>
      <c r="W132" s="1">
        <v>1100000</v>
      </c>
      <c r="X132" s="1">
        <v>2380935</v>
      </c>
      <c r="Y132" s="1">
        <v>0</v>
      </c>
      <c r="Z132" s="1">
        <v>0</v>
      </c>
      <c r="AA132" s="1">
        <v>0</v>
      </c>
      <c r="AB132" s="1">
        <v>0</v>
      </c>
      <c r="AC132" s="1">
        <v>3180690</v>
      </c>
      <c r="AD132" s="1">
        <v>0</v>
      </c>
      <c r="AE132" s="1">
        <v>2000510</v>
      </c>
      <c r="AF132" s="1">
        <v>1111269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14292888</v>
      </c>
      <c r="AM132" s="1">
        <v>0</v>
      </c>
      <c r="AN132" s="1">
        <v>82659446</v>
      </c>
      <c r="AO132" s="1">
        <v>13846482</v>
      </c>
      <c r="AP132" s="1">
        <v>68812964</v>
      </c>
      <c r="AQ132" s="1">
        <v>15557766</v>
      </c>
      <c r="AR132" s="1">
        <v>2333665</v>
      </c>
      <c r="AS132" s="1">
        <v>0</v>
      </c>
      <c r="AT132" s="1">
        <f t="shared" si="12"/>
        <v>100550877</v>
      </c>
    </row>
    <row r="133" spans="1:46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17215260</v>
      </c>
      <c r="G133" s="1">
        <v>14407341</v>
      </c>
      <c r="H133" s="1">
        <v>0</v>
      </c>
      <c r="I133" s="1">
        <v>15610941</v>
      </c>
      <c r="J133" s="1">
        <v>0</v>
      </c>
      <c r="K133" s="1">
        <v>0</v>
      </c>
      <c r="L133" s="1">
        <v>0</v>
      </c>
      <c r="M133" s="1">
        <v>400000</v>
      </c>
      <c r="N133" s="1">
        <v>2959210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1270000</v>
      </c>
      <c r="U133" s="1">
        <v>0</v>
      </c>
      <c r="V133" s="1">
        <v>20282802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2776365</v>
      </c>
      <c r="AD133" s="1">
        <v>0</v>
      </c>
      <c r="AE133" s="1">
        <v>2113721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4903833</v>
      </c>
      <c r="AM133" s="1">
        <v>0</v>
      </c>
      <c r="AN133" s="1">
        <v>83039473</v>
      </c>
      <c r="AO133" s="1">
        <v>25201060</v>
      </c>
      <c r="AP133" s="1">
        <v>57838413</v>
      </c>
      <c r="AQ133" s="1">
        <v>15557766</v>
      </c>
      <c r="AR133" s="1">
        <v>2333665</v>
      </c>
      <c r="AS133" s="1">
        <v>0</v>
      </c>
      <c r="AT133" s="1">
        <f t="shared" si="12"/>
        <v>100930904</v>
      </c>
    </row>
    <row r="134" spans="1:46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11617698</v>
      </c>
      <c r="G134" s="1">
        <v>14604224</v>
      </c>
      <c r="H134" s="1">
        <v>0</v>
      </c>
      <c r="I134" s="1">
        <v>10433374</v>
      </c>
      <c r="J134" s="1">
        <v>0</v>
      </c>
      <c r="K134" s="1">
        <v>4620000</v>
      </c>
      <c r="L134" s="1">
        <v>0</v>
      </c>
      <c r="M134" s="1">
        <v>400000</v>
      </c>
      <c r="N134" s="1">
        <v>2189828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14867503</v>
      </c>
      <c r="W134" s="1">
        <v>1100000</v>
      </c>
      <c r="X134" s="1">
        <v>1742655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1564163</v>
      </c>
      <c r="AF134" s="1">
        <v>1111269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8177800</v>
      </c>
      <c r="AM134" s="1">
        <v>0</v>
      </c>
      <c r="AN134" s="1">
        <v>72428514</v>
      </c>
      <c r="AO134" s="1">
        <v>16199690</v>
      </c>
      <c r="AP134" s="1">
        <v>56228824</v>
      </c>
      <c r="AQ134" s="1">
        <v>14263449</v>
      </c>
      <c r="AR134" s="1">
        <v>2139517</v>
      </c>
      <c r="AS134" s="1">
        <v>0</v>
      </c>
      <c r="AT134" s="1">
        <f t="shared" si="12"/>
        <v>88831480</v>
      </c>
    </row>
    <row r="135" spans="1:46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17682480</v>
      </c>
      <c r="G135" s="1">
        <v>12682340</v>
      </c>
      <c r="H135" s="1">
        <v>0</v>
      </c>
      <c r="I135" s="1">
        <v>15978310</v>
      </c>
      <c r="J135" s="1">
        <v>0</v>
      </c>
      <c r="K135" s="1">
        <v>5500000</v>
      </c>
      <c r="L135" s="1">
        <v>0</v>
      </c>
      <c r="M135" s="1">
        <v>400000</v>
      </c>
      <c r="N135" s="1">
        <v>3122737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1270000</v>
      </c>
      <c r="U135" s="1">
        <v>0</v>
      </c>
      <c r="V135" s="1">
        <v>10342452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2230526</v>
      </c>
      <c r="AF135" s="1">
        <v>1111269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4996379</v>
      </c>
      <c r="AM135" s="1">
        <v>0</v>
      </c>
      <c r="AN135" s="1">
        <v>76416493</v>
      </c>
      <c r="AO135" s="1">
        <v>15951941</v>
      </c>
      <c r="AP135" s="1">
        <v>60464552</v>
      </c>
      <c r="AQ135" s="1">
        <v>14807045</v>
      </c>
      <c r="AR135" s="1">
        <v>2221057</v>
      </c>
      <c r="AS135" s="1">
        <v>0</v>
      </c>
      <c r="AT135" s="1">
        <f t="shared" si="12"/>
        <v>93444595</v>
      </c>
    </row>
    <row r="136" spans="1:46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16239489</v>
      </c>
      <c r="G136" s="1">
        <v>9549221</v>
      </c>
      <c r="H136" s="1">
        <v>0</v>
      </c>
      <c r="I136" s="1">
        <v>14565545</v>
      </c>
      <c r="J136" s="1">
        <v>0</v>
      </c>
      <c r="K136" s="1">
        <v>4125000</v>
      </c>
      <c r="L136" s="1">
        <v>0</v>
      </c>
      <c r="M136" s="1">
        <v>400000</v>
      </c>
      <c r="N136" s="1">
        <v>2929020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1270000</v>
      </c>
      <c r="U136" s="1">
        <v>0</v>
      </c>
      <c r="V136" s="1">
        <v>14221708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2092157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4519060</v>
      </c>
      <c r="AM136" s="1">
        <v>0</v>
      </c>
      <c r="AN136" s="1">
        <v>71011200</v>
      </c>
      <c r="AO136" s="1">
        <v>17044644</v>
      </c>
      <c r="AP136" s="1">
        <v>53966556</v>
      </c>
      <c r="AQ136" s="1">
        <v>13948240</v>
      </c>
      <c r="AR136" s="1">
        <v>2092236</v>
      </c>
      <c r="AS136" s="1">
        <v>0</v>
      </c>
      <c r="AT136" s="1">
        <f t="shared" si="12"/>
        <v>87051676</v>
      </c>
    </row>
    <row r="137" spans="1:46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15926811</v>
      </c>
      <c r="G137" s="1">
        <v>13628767</v>
      </c>
      <c r="H137" s="1">
        <v>0</v>
      </c>
      <c r="I137" s="1">
        <v>13535091</v>
      </c>
      <c r="J137" s="1">
        <v>0</v>
      </c>
      <c r="K137" s="1">
        <v>5500000</v>
      </c>
      <c r="L137" s="1">
        <v>0</v>
      </c>
      <c r="M137" s="1">
        <v>400000</v>
      </c>
      <c r="N137" s="1">
        <v>2819583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16582530</v>
      </c>
      <c r="W137" s="1">
        <v>1100000</v>
      </c>
      <c r="X137" s="1">
        <v>2389022</v>
      </c>
      <c r="Y137" s="1">
        <v>0</v>
      </c>
      <c r="Z137" s="1">
        <v>0</v>
      </c>
      <c r="AA137" s="1">
        <v>0</v>
      </c>
      <c r="AB137" s="1">
        <v>0</v>
      </c>
      <c r="AC137" s="1">
        <v>3180690</v>
      </c>
      <c r="AD137" s="1">
        <v>0</v>
      </c>
      <c r="AE137" s="1">
        <v>2013988</v>
      </c>
      <c r="AF137" s="1">
        <v>1111269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15166788</v>
      </c>
      <c r="AM137" s="1">
        <v>0</v>
      </c>
      <c r="AN137" s="1">
        <v>93354539</v>
      </c>
      <c r="AO137" s="1">
        <v>17571992</v>
      </c>
      <c r="AP137" s="1">
        <v>75782547</v>
      </c>
      <c r="AQ137" s="1">
        <v>15557766</v>
      </c>
      <c r="AR137" s="1">
        <v>2333665</v>
      </c>
      <c r="AS137" s="1">
        <v>0</v>
      </c>
      <c r="AT137" s="1">
        <f t="shared" si="12"/>
        <v>111245970</v>
      </c>
    </row>
    <row r="138" spans="1:46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12302262</v>
      </c>
      <c r="G138" s="1">
        <v>20962248</v>
      </c>
      <c r="H138" s="1">
        <v>0</v>
      </c>
      <c r="I138" s="1">
        <v>12234707</v>
      </c>
      <c r="J138" s="1">
        <v>0</v>
      </c>
      <c r="K138" s="1">
        <v>4620000</v>
      </c>
      <c r="L138" s="1">
        <v>0</v>
      </c>
      <c r="M138" s="1">
        <v>400000</v>
      </c>
      <c r="N138" s="1">
        <v>2434665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1270000</v>
      </c>
      <c r="U138" s="1">
        <v>0</v>
      </c>
      <c r="V138" s="1">
        <v>17359333</v>
      </c>
      <c r="W138" s="1">
        <v>1100000</v>
      </c>
      <c r="X138" s="1">
        <v>1845339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1739047</v>
      </c>
      <c r="AF138" s="1">
        <v>1111269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10299057</v>
      </c>
      <c r="AM138" s="1">
        <v>0</v>
      </c>
      <c r="AN138" s="1">
        <v>87677927</v>
      </c>
      <c r="AO138" s="1">
        <v>21258520</v>
      </c>
      <c r="AP138" s="1">
        <v>66419407</v>
      </c>
      <c r="AQ138" s="1">
        <v>15557766</v>
      </c>
      <c r="AR138" s="1">
        <v>2333665</v>
      </c>
      <c r="AS138" s="1">
        <v>0</v>
      </c>
      <c r="AT138" s="1">
        <f t="shared" si="12"/>
        <v>105569358</v>
      </c>
    </row>
    <row r="139" spans="1:46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11779362</v>
      </c>
      <c r="G139" s="1">
        <v>14044140</v>
      </c>
      <c r="H139" s="1">
        <v>0</v>
      </c>
      <c r="I139" s="1">
        <v>10190945</v>
      </c>
      <c r="J139" s="1">
        <v>0</v>
      </c>
      <c r="K139" s="1">
        <v>4620000</v>
      </c>
      <c r="L139" s="1">
        <v>0</v>
      </c>
      <c r="M139" s="1">
        <v>400000</v>
      </c>
      <c r="N139" s="1">
        <v>2243043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1270000</v>
      </c>
      <c r="U139" s="1">
        <v>0</v>
      </c>
      <c r="V139" s="1">
        <v>14828612</v>
      </c>
      <c r="W139" s="1">
        <v>1100000</v>
      </c>
      <c r="X139" s="1">
        <v>1766904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1602174</v>
      </c>
      <c r="AF139" s="1">
        <v>1111269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7507200</v>
      </c>
      <c r="AM139" s="1">
        <v>0</v>
      </c>
      <c r="AN139" s="1">
        <v>72463649</v>
      </c>
      <c r="AO139" s="1">
        <v>15540346</v>
      </c>
      <c r="AP139" s="1">
        <v>56923303</v>
      </c>
      <c r="AQ139" s="1">
        <v>14016476</v>
      </c>
      <c r="AR139" s="1">
        <v>2102471</v>
      </c>
      <c r="AS139" s="1">
        <v>0</v>
      </c>
      <c r="AT139" s="1">
        <f t="shared" si="12"/>
        <v>88582596</v>
      </c>
    </row>
    <row r="140" spans="1:46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14358609</v>
      </c>
      <c r="G140" s="1">
        <v>7001861</v>
      </c>
      <c r="H140" s="1">
        <v>0</v>
      </c>
      <c r="I140" s="1">
        <v>10866291</v>
      </c>
      <c r="J140" s="1">
        <v>0</v>
      </c>
      <c r="K140" s="1">
        <v>5500000</v>
      </c>
      <c r="L140" s="1">
        <v>0</v>
      </c>
      <c r="M140" s="1">
        <v>400000</v>
      </c>
      <c r="N140" s="1">
        <v>2314751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3117711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1653393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1984072</v>
      </c>
      <c r="AM140" s="1">
        <v>0</v>
      </c>
      <c r="AN140" s="1">
        <v>48296688</v>
      </c>
      <c r="AO140" s="1">
        <v>11062557</v>
      </c>
      <c r="AP140" s="1">
        <v>37234131</v>
      </c>
      <c r="AQ140" s="1">
        <v>9659338</v>
      </c>
      <c r="AR140" s="1">
        <v>1448901</v>
      </c>
      <c r="AS140" s="1">
        <v>0</v>
      </c>
      <c r="AT140" s="1">
        <f t="shared" si="12"/>
        <v>59404927</v>
      </c>
    </row>
    <row r="141" spans="1:46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11234689</v>
      </c>
      <c r="G141" s="1">
        <v>5960533</v>
      </c>
      <c r="H141" s="1">
        <v>0</v>
      </c>
      <c r="I141" s="1">
        <v>9258942</v>
      </c>
      <c r="J141" s="1">
        <v>0</v>
      </c>
      <c r="K141" s="1">
        <v>3465000</v>
      </c>
      <c r="L141" s="1">
        <v>0</v>
      </c>
      <c r="M141" s="1">
        <v>400000</v>
      </c>
      <c r="N141" s="1">
        <v>1996649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8201784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1426177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3422825</v>
      </c>
      <c r="AM141" s="1">
        <v>0</v>
      </c>
      <c r="AN141" s="1">
        <v>46466599</v>
      </c>
      <c r="AO141" s="1">
        <v>9583775</v>
      </c>
      <c r="AP141" s="1">
        <v>36882824</v>
      </c>
      <c r="AQ141" s="1">
        <v>9293320</v>
      </c>
      <c r="AR141" s="1">
        <v>1393998</v>
      </c>
      <c r="AS141" s="1">
        <v>0</v>
      </c>
      <c r="AT141" s="1">
        <f t="shared" si="12"/>
        <v>57153917</v>
      </c>
    </row>
    <row r="142" spans="1:46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12393909</v>
      </c>
      <c r="G142" s="1">
        <v>33206526</v>
      </c>
      <c r="H142" s="1">
        <v>0</v>
      </c>
      <c r="I142" s="1">
        <v>12358567</v>
      </c>
      <c r="J142" s="1">
        <v>0</v>
      </c>
      <c r="K142" s="1">
        <v>4620000</v>
      </c>
      <c r="L142" s="1">
        <v>0</v>
      </c>
      <c r="M142" s="1">
        <v>400000</v>
      </c>
      <c r="N142" s="1">
        <v>2466742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1270000</v>
      </c>
      <c r="U142" s="1">
        <v>0</v>
      </c>
      <c r="V142" s="1">
        <v>17530682</v>
      </c>
      <c r="W142" s="1">
        <v>1100000</v>
      </c>
      <c r="X142" s="1">
        <v>1859086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1761958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10413615</v>
      </c>
      <c r="AM142" s="1">
        <v>0</v>
      </c>
      <c r="AN142" s="1">
        <v>99381085</v>
      </c>
      <c r="AO142" s="1">
        <v>27949675</v>
      </c>
      <c r="AP142" s="1">
        <v>71431410</v>
      </c>
      <c r="AQ142" s="1">
        <v>15557766</v>
      </c>
      <c r="AR142" s="1">
        <v>2333665</v>
      </c>
      <c r="AS142" s="1">
        <v>0</v>
      </c>
      <c r="AT142" s="1">
        <f t="shared" si="12"/>
        <v>117272516</v>
      </c>
    </row>
    <row r="143" spans="1:46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15106060</v>
      </c>
      <c r="G143" s="1">
        <v>7194427</v>
      </c>
      <c r="H143" s="1">
        <v>0</v>
      </c>
      <c r="I143" s="1">
        <v>12670709</v>
      </c>
      <c r="J143" s="1">
        <v>0</v>
      </c>
      <c r="K143" s="1">
        <v>5500000</v>
      </c>
      <c r="L143" s="1">
        <v>0</v>
      </c>
      <c r="M143" s="1">
        <v>400000</v>
      </c>
      <c r="N143" s="1">
        <v>2527637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1270000</v>
      </c>
      <c r="U143" s="1">
        <v>0</v>
      </c>
      <c r="V143" s="1">
        <v>13323569</v>
      </c>
      <c r="W143" s="1">
        <v>1100000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1805455</v>
      </c>
      <c r="AF143" s="1">
        <v>1111269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3899783</v>
      </c>
      <c r="AM143" s="1">
        <v>0</v>
      </c>
      <c r="AN143" s="1">
        <v>65908909</v>
      </c>
      <c r="AO143" s="1">
        <v>11876149</v>
      </c>
      <c r="AP143" s="1">
        <v>54032760</v>
      </c>
      <c r="AQ143" s="1">
        <v>12705528</v>
      </c>
      <c r="AR143" s="1">
        <v>1905829</v>
      </c>
      <c r="AS143" s="1">
        <v>0</v>
      </c>
      <c r="AT143" s="1">
        <f t="shared" si="12"/>
        <v>80520266</v>
      </c>
    </row>
    <row r="144" spans="1:46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15412246</v>
      </c>
      <c r="G144" s="1">
        <v>8178085</v>
      </c>
      <c r="H144" s="1">
        <v>0</v>
      </c>
      <c r="I144" s="1">
        <v>12870105</v>
      </c>
      <c r="J144" s="1">
        <v>0</v>
      </c>
      <c r="K144" s="1">
        <v>5500000</v>
      </c>
      <c r="L144" s="1">
        <v>0</v>
      </c>
      <c r="M144" s="1">
        <v>400000</v>
      </c>
      <c r="N144" s="1">
        <v>2631220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1270000</v>
      </c>
      <c r="U144" s="1">
        <v>0</v>
      </c>
      <c r="V144" s="1">
        <v>11610413</v>
      </c>
      <c r="W144" s="1">
        <v>1100000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1879443</v>
      </c>
      <c r="AF144" s="1">
        <v>1111269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4360308</v>
      </c>
      <c r="AM144" s="1">
        <v>0</v>
      </c>
      <c r="AN144" s="1">
        <v>66323089</v>
      </c>
      <c r="AO144" s="1">
        <v>13022249</v>
      </c>
      <c r="AP144" s="1">
        <v>53300840</v>
      </c>
      <c r="AQ144" s="1">
        <v>12788364</v>
      </c>
      <c r="AR144" s="1">
        <v>1918255</v>
      </c>
      <c r="AS144" s="1">
        <v>0</v>
      </c>
      <c r="AT144" s="1">
        <f t="shared" si="12"/>
        <v>81029708</v>
      </c>
    </row>
    <row r="145" spans="1:46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24821961</v>
      </c>
      <c r="G145" s="1">
        <v>33652288</v>
      </c>
      <c r="H145" s="1">
        <v>0</v>
      </c>
      <c r="I145" s="1">
        <v>26339901</v>
      </c>
      <c r="J145" s="1">
        <v>0</v>
      </c>
      <c r="K145" s="1">
        <v>0</v>
      </c>
      <c r="L145" s="1">
        <v>0</v>
      </c>
      <c r="M145" s="1">
        <v>400000</v>
      </c>
      <c r="N145" s="1">
        <v>4501395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13218053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3215282</v>
      </c>
      <c r="AF145" s="1">
        <v>2222538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4822923</v>
      </c>
      <c r="AM145" s="1">
        <v>0</v>
      </c>
      <c r="AN145" s="1">
        <v>114294341</v>
      </c>
      <c r="AO145" s="1">
        <v>15945900</v>
      </c>
      <c r="AP145" s="1">
        <v>98348441</v>
      </c>
      <c r="AQ145" s="1">
        <v>15557766</v>
      </c>
      <c r="AR145" s="1">
        <v>2333665</v>
      </c>
      <c r="AS145" s="1">
        <v>0</v>
      </c>
      <c r="AT145" s="1">
        <f t="shared" si="12"/>
        <v>132185772</v>
      </c>
    </row>
    <row r="146" spans="1:46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3613103</v>
      </c>
      <c r="G146" s="1">
        <v>1633221</v>
      </c>
      <c r="H146" s="1">
        <v>0</v>
      </c>
      <c r="I146" s="1">
        <v>3102281</v>
      </c>
      <c r="J146" s="1">
        <v>0</v>
      </c>
      <c r="K146" s="1">
        <v>1039500</v>
      </c>
      <c r="L146" s="1">
        <v>0</v>
      </c>
      <c r="M146" s="1">
        <v>120000</v>
      </c>
      <c r="N146" s="1">
        <v>686240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1270000</v>
      </c>
      <c r="U146" s="1">
        <v>0</v>
      </c>
      <c r="V146" s="1">
        <v>2131028</v>
      </c>
      <c r="W146" s="1">
        <v>330000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490171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1176411</v>
      </c>
      <c r="AM146" s="1">
        <v>0</v>
      </c>
      <c r="AN146" s="1">
        <v>15591955</v>
      </c>
      <c r="AO146" s="1">
        <v>6169203</v>
      </c>
      <c r="AP146" s="1">
        <v>9422752</v>
      </c>
      <c r="AQ146" s="1">
        <v>2864391</v>
      </c>
      <c r="AR146" s="1">
        <v>429659</v>
      </c>
      <c r="AS146" s="1">
        <v>0</v>
      </c>
      <c r="AT146" s="1">
        <f t="shared" si="12"/>
        <v>18886005</v>
      </c>
    </row>
    <row r="147" spans="1:46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16129872</v>
      </c>
      <c r="G147" s="1">
        <v>7641738</v>
      </c>
      <c r="H147" s="1">
        <v>0</v>
      </c>
      <c r="I147" s="1">
        <v>13972773</v>
      </c>
      <c r="J147" s="1">
        <v>0</v>
      </c>
      <c r="K147" s="1">
        <v>4125000</v>
      </c>
      <c r="L147" s="1">
        <v>0</v>
      </c>
      <c r="M147" s="1">
        <v>400000</v>
      </c>
      <c r="N147" s="1">
        <v>2890654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1270000</v>
      </c>
      <c r="U147" s="1">
        <v>0</v>
      </c>
      <c r="V147" s="1">
        <v>12552208</v>
      </c>
      <c r="W147" s="1">
        <v>1100000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2064753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4790227</v>
      </c>
      <c r="AM147" s="1">
        <v>0</v>
      </c>
      <c r="AN147" s="1">
        <v>66937225</v>
      </c>
      <c r="AO147" s="1">
        <v>10024991</v>
      </c>
      <c r="AP147" s="1">
        <v>56912234</v>
      </c>
      <c r="AQ147" s="1">
        <v>13133445</v>
      </c>
      <c r="AR147" s="1">
        <v>1970017</v>
      </c>
      <c r="AS147" s="1">
        <v>0</v>
      </c>
      <c r="AT147" s="1">
        <f t="shared" si="12"/>
        <v>82040687</v>
      </c>
    </row>
    <row r="148" spans="1:46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13549380</v>
      </c>
      <c r="G148" s="1">
        <v>11754312</v>
      </c>
      <c r="H148" s="1">
        <v>0</v>
      </c>
      <c r="I148" s="1">
        <v>13455173</v>
      </c>
      <c r="J148" s="1">
        <v>0</v>
      </c>
      <c r="K148" s="1">
        <v>4620000</v>
      </c>
      <c r="L148" s="1">
        <v>0</v>
      </c>
      <c r="M148" s="1">
        <v>400000</v>
      </c>
      <c r="N148" s="1">
        <v>2673038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1270000</v>
      </c>
      <c r="U148" s="1">
        <v>0</v>
      </c>
      <c r="V148" s="1">
        <v>19093662</v>
      </c>
      <c r="W148" s="1">
        <v>1100000</v>
      </c>
      <c r="X148" s="1">
        <v>2032407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1909312</v>
      </c>
      <c r="AF148" s="1">
        <v>2222538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11320202</v>
      </c>
      <c r="AM148" s="1">
        <v>0</v>
      </c>
      <c r="AN148" s="1">
        <v>85400024</v>
      </c>
      <c r="AO148" s="1">
        <v>22313747</v>
      </c>
      <c r="AP148" s="1">
        <v>63086277</v>
      </c>
      <c r="AQ148" s="1">
        <v>15557766</v>
      </c>
      <c r="AR148" s="1">
        <v>2333665</v>
      </c>
      <c r="AS148" s="1">
        <v>0</v>
      </c>
      <c r="AT148" s="1">
        <f t="shared" si="12"/>
        <v>103291455</v>
      </c>
    </row>
    <row r="149" spans="1:46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5883500</v>
      </c>
      <c r="G149" s="1">
        <v>4124167</v>
      </c>
      <c r="H149" s="1">
        <v>0</v>
      </c>
      <c r="I149" s="1">
        <v>4471460</v>
      </c>
      <c r="J149" s="1">
        <v>0</v>
      </c>
      <c r="K149" s="1">
        <v>0</v>
      </c>
      <c r="L149" s="1">
        <v>3877488</v>
      </c>
      <c r="M149" s="1">
        <v>400000</v>
      </c>
      <c r="N149" s="1">
        <v>3096579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4424822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2599354</v>
      </c>
      <c r="AE149" s="1">
        <v>0</v>
      </c>
      <c r="AF149" s="1">
        <v>3333807</v>
      </c>
      <c r="AG149" s="1">
        <v>0</v>
      </c>
      <c r="AH149" s="1">
        <v>0</v>
      </c>
      <c r="AI149" s="1">
        <v>0</v>
      </c>
      <c r="AJ149" s="1">
        <v>3045539</v>
      </c>
      <c r="AK149" s="1">
        <v>0</v>
      </c>
      <c r="AL149" s="1">
        <v>0</v>
      </c>
      <c r="AM149" s="1">
        <v>0</v>
      </c>
      <c r="AN149" s="1">
        <v>36356716</v>
      </c>
      <c r="AO149" s="1">
        <v>5119127</v>
      </c>
      <c r="AP149" s="1">
        <v>31237589</v>
      </c>
      <c r="AQ149" s="1">
        <v>6604582</v>
      </c>
      <c r="AR149" s="1">
        <v>990687</v>
      </c>
      <c r="AS149" s="1">
        <v>585000</v>
      </c>
      <c r="AT149" s="1">
        <f t="shared" si="12"/>
        <v>44536985</v>
      </c>
    </row>
    <row r="150" spans="1:46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20631357</v>
      </c>
      <c r="G150" s="1">
        <v>13650051</v>
      </c>
      <c r="H150" s="1">
        <v>0</v>
      </c>
      <c r="I150" s="1">
        <v>20188729</v>
      </c>
      <c r="J150" s="1">
        <v>0</v>
      </c>
      <c r="K150" s="1">
        <v>5500000</v>
      </c>
      <c r="L150" s="1">
        <v>0</v>
      </c>
      <c r="M150" s="1">
        <v>400000</v>
      </c>
      <c r="N150" s="1">
        <v>3034684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1270000</v>
      </c>
      <c r="U150" s="1">
        <v>0</v>
      </c>
      <c r="V150" s="1">
        <v>4862356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2167631</v>
      </c>
      <c r="AF150" s="1">
        <v>2222538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2601158</v>
      </c>
      <c r="AM150" s="1">
        <v>0</v>
      </c>
      <c r="AN150" s="1">
        <v>77628504</v>
      </c>
      <c r="AO150" s="1">
        <v>23242818</v>
      </c>
      <c r="AP150" s="1">
        <v>54385686</v>
      </c>
      <c r="AQ150" s="1">
        <v>14827193</v>
      </c>
      <c r="AR150" s="1">
        <v>2224079</v>
      </c>
      <c r="AS150" s="1">
        <v>0</v>
      </c>
      <c r="AT150" s="1">
        <f t="shared" si="12"/>
        <v>94679776</v>
      </c>
    </row>
    <row r="151" spans="1:46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20379777</v>
      </c>
      <c r="G151" s="1">
        <v>15217944</v>
      </c>
      <c r="H151" s="1">
        <v>0</v>
      </c>
      <c r="I151" s="1">
        <v>17529494</v>
      </c>
      <c r="J151" s="1">
        <v>0</v>
      </c>
      <c r="K151" s="1">
        <v>4125000</v>
      </c>
      <c r="L151" s="1">
        <v>0</v>
      </c>
      <c r="M151" s="1">
        <v>400000</v>
      </c>
      <c r="N151" s="1">
        <v>3300730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11346503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2357664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4715328</v>
      </c>
      <c r="AM151" s="1">
        <v>0</v>
      </c>
      <c r="AN151" s="1">
        <v>80472440</v>
      </c>
      <c r="AO151" s="1">
        <v>18099414</v>
      </c>
      <c r="AP151" s="1">
        <v>62373026</v>
      </c>
      <c r="AQ151" s="1">
        <v>15557766</v>
      </c>
      <c r="AR151" s="1">
        <v>2333665</v>
      </c>
      <c r="AS151" s="1">
        <v>0</v>
      </c>
      <c r="AT151" s="1">
        <f t="shared" si="12"/>
        <v>98363871</v>
      </c>
    </row>
    <row r="152" spans="1:46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11893834</v>
      </c>
      <c r="G152" s="1">
        <v>8171228</v>
      </c>
      <c r="H152" s="1">
        <v>0</v>
      </c>
      <c r="I152" s="1">
        <v>10718647</v>
      </c>
      <c r="J152" s="1">
        <v>0</v>
      </c>
      <c r="K152" s="1">
        <v>4620000</v>
      </c>
      <c r="L152" s="1">
        <v>0</v>
      </c>
      <c r="M152" s="1">
        <v>400000</v>
      </c>
      <c r="N152" s="1">
        <v>2260468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8201402</v>
      </c>
      <c r="W152" s="1">
        <v>1100000</v>
      </c>
      <c r="X152" s="1">
        <v>1784075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1614620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8412010</v>
      </c>
      <c r="AM152" s="1">
        <v>0</v>
      </c>
      <c r="AN152" s="1">
        <v>59176284</v>
      </c>
      <c r="AO152" s="1">
        <v>17403359</v>
      </c>
      <c r="AP152" s="1">
        <v>41772925</v>
      </c>
      <c r="AQ152" s="1">
        <v>11835257</v>
      </c>
      <c r="AR152" s="1">
        <v>1775289</v>
      </c>
      <c r="AS152" s="1">
        <v>0</v>
      </c>
      <c r="AT152" s="1">
        <f t="shared" si="12"/>
        <v>72786830</v>
      </c>
    </row>
    <row r="153" spans="1:46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13073241</v>
      </c>
      <c r="G153" s="1">
        <v>38097705</v>
      </c>
      <c r="H153" s="1">
        <v>0</v>
      </c>
      <c r="I153" s="1">
        <v>12184635</v>
      </c>
      <c r="J153" s="1">
        <v>0</v>
      </c>
      <c r="K153" s="1">
        <v>4620000</v>
      </c>
      <c r="L153" s="1">
        <v>0</v>
      </c>
      <c r="M153" s="1">
        <v>400000</v>
      </c>
      <c r="N153" s="1">
        <v>2500388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1270000</v>
      </c>
      <c r="U153" s="1">
        <v>0</v>
      </c>
      <c r="V153" s="1">
        <v>9291571</v>
      </c>
      <c r="W153" s="1">
        <v>1100000</v>
      </c>
      <c r="X153" s="1">
        <v>1960986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1785991</v>
      </c>
      <c r="AF153" s="1">
        <v>1111269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9994343</v>
      </c>
      <c r="AM153" s="1">
        <v>0</v>
      </c>
      <c r="AN153" s="1">
        <v>97390129</v>
      </c>
      <c r="AO153" s="1">
        <v>23230507</v>
      </c>
      <c r="AP153" s="1">
        <v>74159622</v>
      </c>
      <c r="AQ153" s="1">
        <v>15557766</v>
      </c>
      <c r="AR153" s="1">
        <v>2333665</v>
      </c>
      <c r="AS153" s="1">
        <v>0</v>
      </c>
      <c r="AT153" s="1">
        <f t="shared" si="12"/>
        <v>115281560</v>
      </c>
    </row>
    <row r="154" spans="1:46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12935564</v>
      </c>
      <c r="G154" s="1">
        <v>13978045</v>
      </c>
      <c r="H154" s="1">
        <v>0</v>
      </c>
      <c r="I154" s="1">
        <v>11624156</v>
      </c>
      <c r="J154" s="1">
        <v>0</v>
      </c>
      <c r="K154" s="1">
        <v>4620000</v>
      </c>
      <c r="L154" s="1">
        <v>0</v>
      </c>
      <c r="M154" s="1">
        <v>400000</v>
      </c>
      <c r="N154" s="1">
        <v>2441854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8896858</v>
      </c>
      <c r="W154" s="1">
        <v>1100000</v>
      </c>
      <c r="X154" s="1">
        <v>1940335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1744182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9113215</v>
      </c>
      <c r="AM154" s="1">
        <v>0</v>
      </c>
      <c r="AN154" s="1">
        <v>68794209</v>
      </c>
      <c r="AO154" s="1">
        <v>14451945</v>
      </c>
      <c r="AP154" s="1">
        <v>54342264</v>
      </c>
      <c r="AQ154" s="1">
        <v>13758842</v>
      </c>
      <c r="AR154" s="1">
        <v>2063826</v>
      </c>
      <c r="AS154" s="1">
        <v>0</v>
      </c>
      <c r="AT154" s="1">
        <f t="shared" si="12"/>
        <v>84616877</v>
      </c>
    </row>
    <row r="155" spans="1:46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12223194</v>
      </c>
      <c r="G155" s="1">
        <v>14263347</v>
      </c>
      <c r="H155" s="1">
        <v>0</v>
      </c>
      <c r="I155" s="1">
        <v>12127846</v>
      </c>
      <c r="J155" s="1">
        <v>0</v>
      </c>
      <c r="K155" s="1">
        <v>4620000</v>
      </c>
      <c r="L155" s="1">
        <v>0</v>
      </c>
      <c r="M155" s="1">
        <v>400000</v>
      </c>
      <c r="N155" s="1">
        <v>2406992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1270000</v>
      </c>
      <c r="U155" s="1">
        <v>0</v>
      </c>
      <c r="V155" s="1">
        <v>17211502</v>
      </c>
      <c r="W155" s="1">
        <v>1100000</v>
      </c>
      <c r="X155" s="1">
        <v>1833479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1719280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10200221</v>
      </c>
      <c r="AM155" s="1">
        <v>0</v>
      </c>
      <c r="AN155" s="1">
        <v>79375861</v>
      </c>
      <c r="AO155" s="1">
        <v>19610630</v>
      </c>
      <c r="AP155" s="1">
        <v>59765231</v>
      </c>
      <c r="AQ155" s="1">
        <v>15557766</v>
      </c>
      <c r="AR155" s="1">
        <v>2333665</v>
      </c>
      <c r="AS155" s="1">
        <v>0</v>
      </c>
      <c r="AT155" s="1">
        <f t="shared" si="12"/>
        <v>97267292</v>
      </c>
    </row>
    <row r="156" spans="1:46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16447941</v>
      </c>
      <c r="G156" s="1">
        <v>15584570</v>
      </c>
      <c r="H156" s="1">
        <v>0</v>
      </c>
      <c r="I156" s="1">
        <v>13808764</v>
      </c>
      <c r="J156" s="1">
        <v>0</v>
      </c>
      <c r="K156" s="1">
        <v>5500000</v>
      </c>
      <c r="L156" s="1">
        <v>0</v>
      </c>
      <c r="M156" s="1">
        <v>400000</v>
      </c>
      <c r="N156" s="1">
        <v>3001978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17065993</v>
      </c>
      <c r="W156" s="1">
        <v>1100000</v>
      </c>
      <c r="X156" s="1">
        <v>2467191</v>
      </c>
      <c r="Y156" s="1">
        <v>0</v>
      </c>
      <c r="Z156" s="1">
        <v>0</v>
      </c>
      <c r="AA156" s="1">
        <v>0</v>
      </c>
      <c r="AB156" s="1">
        <v>0</v>
      </c>
      <c r="AC156" s="1">
        <v>3180690</v>
      </c>
      <c r="AD156" s="1">
        <v>0</v>
      </c>
      <c r="AE156" s="1">
        <v>2144270</v>
      </c>
      <c r="AF156" s="1">
        <v>1111269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15594114</v>
      </c>
      <c r="AM156" s="1">
        <v>0</v>
      </c>
      <c r="AN156" s="1">
        <v>97406780</v>
      </c>
      <c r="AO156" s="1">
        <v>15187496</v>
      </c>
      <c r="AP156" s="1">
        <v>82219284</v>
      </c>
      <c r="AQ156" s="1">
        <v>15557766</v>
      </c>
      <c r="AR156" s="1">
        <v>2333665</v>
      </c>
      <c r="AS156" s="1">
        <v>0</v>
      </c>
      <c r="AT156" s="1">
        <f t="shared" si="12"/>
        <v>115298211</v>
      </c>
    </row>
    <row r="157" spans="1:46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14481168</v>
      </c>
      <c r="G157" s="1">
        <v>14264466</v>
      </c>
      <c r="H157" s="1">
        <v>2328892</v>
      </c>
      <c r="I157" s="1">
        <v>11203858</v>
      </c>
      <c r="J157" s="1">
        <v>0</v>
      </c>
      <c r="K157" s="1">
        <v>5500000</v>
      </c>
      <c r="L157" s="1">
        <v>0</v>
      </c>
      <c r="M157" s="1">
        <v>400000</v>
      </c>
      <c r="N157" s="1">
        <v>2361566</v>
      </c>
      <c r="O157" s="1">
        <v>0</v>
      </c>
      <c r="P157" s="1">
        <v>0</v>
      </c>
      <c r="Q157" s="1">
        <v>0</v>
      </c>
      <c r="R157" s="1">
        <v>0</v>
      </c>
      <c r="S157" s="1">
        <v>508500</v>
      </c>
      <c r="T157" s="1">
        <v>0</v>
      </c>
      <c r="U157" s="1">
        <v>0</v>
      </c>
      <c r="V157" s="1">
        <v>3175763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1686832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2024200</v>
      </c>
      <c r="AM157" s="1">
        <v>0</v>
      </c>
      <c r="AN157" s="1">
        <v>59035245</v>
      </c>
      <c r="AO157" s="1">
        <v>11129650</v>
      </c>
      <c r="AP157" s="1">
        <v>47905595</v>
      </c>
      <c r="AQ157" s="1">
        <v>11239571</v>
      </c>
      <c r="AR157" s="1">
        <v>1685936</v>
      </c>
      <c r="AS157" s="1">
        <v>0</v>
      </c>
      <c r="AT157" s="1">
        <f t="shared" si="12"/>
        <v>71960752</v>
      </c>
    </row>
    <row r="158" spans="1:46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18030270</v>
      </c>
      <c r="G158" s="1">
        <v>4063847</v>
      </c>
      <c r="H158" s="1">
        <v>0</v>
      </c>
      <c r="I158" s="1">
        <v>17385443</v>
      </c>
      <c r="J158" s="1">
        <v>0</v>
      </c>
      <c r="K158" s="1">
        <v>5500000</v>
      </c>
      <c r="L158" s="1">
        <v>0</v>
      </c>
      <c r="M158" s="1">
        <v>400000</v>
      </c>
      <c r="N158" s="1">
        <v>2646808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1270000</v>
      </c>
      <c r="U158" s="1">
        <v>0</v>
      </c>
      <c r="V158" s="1">
        <v>4222179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1890577</v>
      </c>
      <c r="AF158" s="1">
        <v>1111269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2268692</v>
      </c>
      <c r="AM158" s="1">
        <v>0</v>
      </c>
      <c r="AN158" s="1">
        <v>59889085</v>
      </c>
      <c r="AO158" s="1">
        <v>13269145</v>
      </c>
      <c r="AP158" s="1">
        <v>46619940</v>
      </c>
      <c r="AQ158" s="1">
        <v>11501563</v>
      </c>
      <c r="AR158" s="1">
        <v>1725234</v>
      </c>
      <c r="AS158" s="1">
        <v>0</v>
      </c>
      <c r="AT158" s="1">
        <f t="shared" si="12"/>
        <v>73115882</v>
      </c>
    </row>
    <row r="159" spans="1:46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11696673</v>
      </c>
      <c r="G159" s="1">
        <v>19590036</v>
      </c>
      <c r="H159" s="1">
        <v>0</v>
      </c>
      <c r="I159" s="1">
        <v>10978697</v>
      </c>
      <c r="J159" s="1">
        <v>0</v>
      </c>
      <c r="K159" s="1">
        <v>3465000</v>
      </c>
      <c r="L159" s="1">
        <v>0</v>
      </c>
      <c r="M159" s="1">
        <v>400000</v>
      </c>
      <c r="N159" s="1">
        <v>2222709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1270000</v>
      </c>
      <c r="U159" s="1">
        <v>0</v>
      </c>
      <c r="V159" s="1">
        <v>15488977</v>
      </c>
      <c r="W159" s="1">
        <v>1100000</v>
      </c>
      <c r="X159" s="1">
        <v>1754501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1587650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8716492</v>
      </c>
      <c r="AM159" s="1">
        <v>0</v>
      </c>
      <c r="AN159" s="1">
        <v>78270735</v>
      </c>
      <c r="AO159" s="1">
        <v>17872553</v>
      </c>
      <c r="AP159" s="1">
        <v>60398182</v>
      </c>
      <c r="AQ159" s="1">
        <v>15400147</v>
      </c>
      <c r="AR159" s="1">
        <v>2310022</v>
      </c>
      <c r="AS159" s="1">
        <v>0</v>
      </c>
      <c r="AT159" s="1">
        <f t="shared" si="12"/>
        <v>95980904</v>
      </c>
    </row>
    <row r="160" spans="1:46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12086809</v>
      </c>
      <c r="G160" s="1">
        <v>3573586</v>
      </c>
      <c r="H160" s="1">
        <v>0</v>
      </c>
      <c r="I160" s="1">
        <v>11036620</v>
      </c>
      <c r="J160" s="1">
        <v>0</v>
      </c>
      <c r="K160" s="1">
        <v>3465000</v>
      </c>
      <c r="L160" s="1">
        <v>0</v>
      </c>
      <c r="M160" s="1">
        <v>400000</v>
      </c>
      <c r="N160" s="1">
        <v>2354766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1270000</v>
      </c>
      <c r="U160" s="1">
        <v>0</v>
      </c>
      <c r="V160" s="1">
        <v>12706084</v>
      </c>
      <c r="W160" s="1">
        <v>1100000</v>
      </c>
      <c r="X160" s="1">
        <v>1813021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1681976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9142924</v>
      </c>
      <c r="AM160" s="1">
        <v>0</v>
      </c>
      <c r="AN160" s="1">
        <v>60630786</v>
      </c>
      <c r="AO160" s="1">
        <v>9615509</v>
      </c>
      <c r="AP160" s="1">
        <v>51015277</v>
      </c>
      <c r="AQ160" s="1">
        <v>11872157</v>
      </c>
      <c r="AR160" s="1">
        <v>1780824</v>
      </c>
      <c r="AS160" s="1">
        <v>0</v>
      </c>
      <c r="AT160" s="1">
        <f t="shared" si="12"/>
        <v>74283767</v>
      </c>
    </row>
    <row r="161" spans="1:46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10968345</v>
      </c>
      <c r="G161" s="1">
        <v>8902859</v>
      </c>
      <c r="H161" s="1">
        <v>0</v>
      </c>
      <c r="I161" s="1">
        <v>9650011</v>
      </c>
      <c r="J161" s="1">
        <v>0</v>
      </c>
      <c r="K161" s="1">
        <v>4620000</v>
      </c>
      <c r="L161" s="1">
        <v>0</v>
      </c>
      <c r="M161" s="1">
        <v>400000</v>
      </c>
      <c r="N161" s="1">
        <v>2288250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1270000</v>
      </c>
      <c r="U161" s="1">
        <v>0</v>
      </c>
      <c r="V161" s="1">
        <v>7522793</v>
      </c>
      <c r="W161" s="1">
        <v>1100000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1629573</v>
      </c>
      <c r="AF161" s="1">
        <v>929931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3851718</v>
      </c>
      <c r="AM161" s="1">
        <v>0</v>
      </c>
      <c r="AN161" s="1">
        <v>53133480</v>
      </c>
      <c r="AO161" s="1">
        <v>9652726</v>
      </c>
      <c r="AP161" s="1">
        <v>43480754</v>
      </c>
      <c r="AQ161" s="1">
        <v>10186710</v>
      </c>
      <c r="AR161" s="1">
        <v>1528006</v>
      </c>
      <c r="AS161" s="1">
        <v>0</v>
      </c>
      <c r="AT161" s="1">
        <f t="shared" si="12"/>
        <v>64848196</v>
      </c>
    </row>
    <row r="162" spans="1:46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12074752</v>
      </c>
      <c r="G162" s="1">
        <v>17171749</v>
      </c>
      <c r="H162" s="1">
        <v>0</v>
      </c>
      <c r="I162" s="1">
        <v>11305938</v>
      </c>
      <c r="J162" s="1">
        <v>0</v>
      </c>
      <c r="K162" s="1">
        <v>4620000</v>
      </c>
      <c r="L162" s="1">
        <v>0</v>
      </c>
      <c r="M162" s="1">
        <v>400000</v>
      </c>
      <c r="N162" s="1">
        <v>2333519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1270000</v>
      </c>
      <c r="U162" s="1">
        <v>0</v>
      </c>
      <c r="V162" s="1">
        <v>8617579</v>
      </c>
      <c r="W162" s="1">
        <v>1100000</v>
      </c>
      <c r="X162" s="1">
        <v>1811213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1666799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9289543</v>
      </c>
      <c r="AM162" s="1">
        <v>0</v>
      </c>
      <c r="AN162" s="1">
        <v>71661092</v>
      </c>
      <c r="AO162" s="1">
        <v>13214600</v>
      </c>
      <c r="AP162" s="1">
        <v>58446492</v>
      </c>
      <c r="AQ162" s="1">
        <v>14078218</v>
      </c>
      <c r="AR162" s="1">
        <v>2111733</v>
      </c>
      <c r="AS162" s="1">
        <v>0</v>
      </c>
      <c r="AT162" s="1">
        <f t="shared" si="12"/>
        <v>87851043</v>
      </c>
    </row>
    <row r="163" spans="1:46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14837081</v>
      </c>
      <c r="G163" s="1">
        <v>0</v>
      </c>
      <c r="H163" s="1">
        <v>0</v>
      </c>
      <c r="I163" s="1">
        <v>12346230</v>
      </c>
      <c r="J163" s="1">
        <v>0</v>
      </c>
      <c r="K163" s="1">
        <v>4125000</v>
      </c>
      <c r="L163" s="1">
        <v>0</v>
      </c>
      <c r="M163" s="1">
        <v>400000</v>
      </c>
      <c r="N163" s="1">
        <v>2388040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8501571</v>
      </c>
      <c r="W163" s="1">
        <v>1100000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1705743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2729188</v>
      </c>
      <c r="AM163" s="1">
        <v>0</v>
      </c>
      <c r="AN163" s="1">
        <v>48132853</v>
      </c>
      <c r="AO163" s="1">
        <v>8440149</v>
      </c>
      <c r="AP163" s="1">
        <v>39692704</v>
      </c>
      <c r="AQ163" s="1">
        <v>9626571</v>
      </c>
      <c r="AR163" s="1">
        <v>1443986</v>
      </c>
      <c r="AS163" s="1">
        <v>0</v>
      </c>
      <c r="AT163" s="1">
        <f t="shared" si="12"/>
        <v>59203410</v>
      </c>
    </row>
    <row r="164" spans="1:46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16442926</v>
      </c>
      <c r="G164" s="1">
        <v>0</v>
      </c>
      <c r="H164" s="1">
        <v>0</v>
      </c>
      <c r="I164" s="1">
        <v>13831659</v>
      </c>
      <c r="J164" s="1">
        <v>0</v>
      </c>
      <c r="K164" s="1">
        <v>4125000</v>
      </c>
      <c r="L164" s="1">
        <v>0</v>
      </c>
      <c r="M164" s="1">
        <v>400000</v>
      </c>
      <c r="N164" s="1">
        <v>2963859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1270000</v>
      </c>
      <c r="U164" s="1">
        <v>0</v>
      </c>
      <c r="V164" s="1">
        <v>6068640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2117043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3175564</v>
      </c>
      <c r="AM164" s="1">
        <v>0</v>
      </c>
      <c r="AN164" s="1">
        <v>51494691</v>
      </c>
      <c r="AO164" s="1">
        <v>16073110</v>
      </c>
      <c r="AP164" s="1">
        <v>35421581</v>
      </c>
      <c r="AQ164" s="1">
        <v>10044938</v>
      </c>
      <c r="AR164" s="1">
        <v>1506741</v>
      </c>
      <c r="AS164" s="1">
        <v>0</v>
      </c>
      <c r="AT164" s="1">
        <f t="shared" si="12"/>
        <v>63046370</v>
      </c>
    </row>
    <row r="165" spans="1:46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11977005</v>
      </c>
      <c r="G165" s="1">
        <v>3015299</v>
      </c>
      <c r="H165" s="1">
        <v>0</v>
      </c>
      <c r="I165" s="1">
        <v>10910392</v>
      </c>
      <c r="J165" s="1">
        <v>0</v>
      </c>
      <c r="K165" s="1">
        <v>4620000</v>
      </c>
      <c r="L165" s="1">
        <v>0</v>
      </c>
      <c r="M165" s="1">
        <v>400000</v>
      </c>
      <c r="N165" s="1">
        <v>2320826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1270000</v>
      </c>
      <c r="U165" s="1">
        <v>0</v>
      </c>
      <c r="V165" s="1">
        <v>15794425</v>
      </c>
      <c r="W165" s="1">
        <v>1100000</v>
      </c>
      <c r="X165" s="1">
        <v>1796551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1657732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9030465</v>
      </c>
      <c r="AM165" s="1">
        <v>0</v>
      </c>
      <c r="AN165" s="1">
        <v>63892695</v>
      </c>
      <c r="AO165" s="1">
        <v>12709510</v>
      </c>
      <c r="AP165" s="1">
        <v>51183185</v>
      </c>
      <c r="AQ165" s="1">
        <v>12524539</v>
      </c>
      <c r="AR165" s="1">
        <v>1878681</v>
      </c>
      <c r="AS165" s="1">
        <v>0</v>
      </c>
      <c r="AT165" s="1">
        <f t="shared" si="12"/>
        <v>78295915</v>
      </c>
    </row>
    <row r="166" spans="1:46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16102701</v>
      </c>
      <c r="G166" s="1">
        <v>0</v>
      </c>
      <c r="H166" s="1">
        <v>0</v>
      </c>
      <c r="I166" s="1">
        <v>13088374</v>
      </c>
      <c r="J166" s="1">
        <v>0</v>
      </c>
      <c r="K166" s="1">
        <v>4125000</v>
      </c>
      <c r="L166" s="1">
        <v>0</v>
      </c>
      <c r="M166" s="1">
        <v>400000</v>
      </c>
      <c r="N166" s="1">
        <v>2847260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1270000</v>
      </c>
      <c r="U166" s="1">
        <v>0</v>
      </c>
      <c r="V166" s="1">
        <v>7651851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2033757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3254012</v>
      </c>
      <c r="AM166" s="1">
        <v>0</v>
      </c>
      <c r="AN166" s="1">
        <v>51872955</v>
      </c>
      <c r="AO166" s="1">
        <v>13494087</v>
      </c>
      <c r="AP166" s="1">
        <v>38378868</v>
      </c>
      <c r="AQ166" s="1">
        <v>10120591</v>
      </c>
      <c r="AR166" s="1">
        <v>1518089</v>
      </c>
      <c r="AS166" s="1">
        <v>0</v>
      </c>
      <c r="AT166" s="1">
        <f t="shared" si="12"/>
        <v>63511635</v>
      </c>
    </row>
    <row r="167" spans="1:46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12130852</v>
      </c>
      <c r="G167" s="1">
        <v>0</v>
      </c>
      <c r="H167" s="1">
        <v>0</v>
      </c>
      <c r="I167" s="1">
        <v>10620093</v>
      </c>
      <c r="J167" s="1">
        <v>950000</v>
      </c>
      <c r="K167" s="1">
        <v>3465000</v>
      </c>
      <c r="L167" s="1">
        <v>0</v>
      </c>
      <c r="M167" s="1">
        <v>400000</v>
      </c>
      <c r="N167" s="1">
        <v>2320596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7216210</v>
      </c>
      <c r="W167" s="1">
        <v>1100000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1657568</v>
      </c>
      <c r="AF167" s="1">
        <v>1111269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3978165</v>
      </c>
      <c r="AM167" s="1">
        <v>0</v>
      </c>
      <c r="AN167" s="1">
        <v>44949753</v>
      </c>
      <c r="AO167" s="1">
        <v>8682957</v>
      </c>
      <c r="AP167" s="1">
        <v>36266796</v>
      </c>
      <c r="AQ167" s="1">
        <v>8577697</v>
      </c>
      <c r="AR167" s="1">
        <v>1286655</v>
      </c>
      <c r="AS167" s="1">
        <v>0</v>
      </c>
      <c r="AT167" s="1">
        <f t="shared" si="12"/>
        <v>54814105</v>
      </c>
    </row>
    <row r="168" spans="1:46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12420051</v>
      </c>
      <c r="G168" s="1">
        <v>1726279</v>
      </c>
      <c r="H168" s="1">
        <v>0</v>
      </c>
      <c r="I168" s="1">
        <v>11203118</v>
      </c>
      <c r="J168" s="1">
        <v>0</v>
      </c>
      <c r="K168" s="1">
        <v>3465000</v>
      </c>
      <c r="L168" s="1">
        <v>0</v>
      </c>
      <c r="M168" s="1">
        <v>400000</v>
      </c>
      <c r="N168" s="1">
        <v>2428552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1270000</v>
      </c>
      <c r="U168" s="1">
        <v>0</v>
      </c>
      <c r="V168" s="1">
        <v>7508163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1734680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4163232</v>
      </c>
      <c r="AM168" s="1">
        <v>0</v>
      </c>
      <c r="AN168" s="1">
        <v>47419075</v>
      </c>
      <c r="AO168" s="1">
        <v>13163463</v>
      </c>
      <c r="AP168" s="1">
        <v>34255612</v>
      </c>
      <c r="AQ168" s="1">
        <v>9229815</v>
      </c>
      <c r="AR168" s="1">
        <v>1384472</v>
      </c>
      <c r="AS168" s="1">
        <v>0</v>
      </c>
      <c r="AT168" s="1">
        <f t="shared" si="12"/>
        <v>58033362</v>
      </c>
    </row>
    <row r="169" spans="1:46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14049434</v>
      </c>
      <c r="G169" s="1">
        <v>10591666</v>
      </c>
      <c r="H169" s="1">
        <v>0</v>
      </c>
      <c r="I169" s="1">
        <v>12077826</v>
      </c>
      <c r="J169" s="1">
        <v>0</v>
      </c>
      <c r="K169" s="1">
        <v>4125000</v>
      </c>
      <c r="L169" s="1">
        <v>0</v>
      </c>
      <c r="M169" s="1">
        <v>400000</v>
      </c>
      <c r="N169" s="1">
        <v>2243386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1270000</v>
      </c>
      <c r="U169" s="1">
        <v>0</v>
      </c>
      <c r="V169" s="1">
        <v>5490280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2482232</v>
      </c>
      <c r="AD169" s="1">
        <v>0</v>
      </c>
      <c r="AE169" s="1">
        <v>1602419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2403628</v>
      </c>
      <c r="AM169" s="1">
        <v>0</v>
      </c>
      <c r="AN169" s="1">
        <v>57835871</v>
      </c>
      <c r="AO169" s="1">
        <v>15945060</v>
      </c>
      <c r="AP169" s="1">
        <v>41890811</v>
      </c>
      <c r="AQ169" s="1">
        <v>11313174</v>
      </c>
      <c r="AR169" s="1">
        <v>1696976</v>
      </c>
      <c r="AS169" s="1">
        <v>0</v>
      </c>
      <c r="AT169" s="1">
        <f t="shared" si="12"/>
        <v>70846021</v>
      </c>
    </row>
    <row r="170" spans="1:46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17227839</v>
      </c>
      <c r="G170" s="1">
        <v>7941616</v>
      </c>
      <c r="H170" s="1">
        <v>0</v>
      </c>
      <c r="I170" s="1">
        <v>16636496</v>
      </c>
      <c r="J170" s="1">
        <v>0</v>
      </c>
      <c r="K170" s="1">
        <v>5500000</v>
      </c>
      <c r="L170" s="1">
        <v>0</v>
      </c>
      <c r="M170" s="1">
        <v>400000</v>
      </c>
      <c r="N170" s="1">
        <v>2963612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10092808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2116866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5419177</v>
      </c>
      <c r="AM170" s="1">
        <v>0</v>
      </c>
      <c r="AN170" s="1">
        <v>69398414</v>
      </c>
      <c r="AO170" s="1">
        <v>16520113</v>
      </c>
      <c r="AP170" s="1">
        <v>52878301</v>
      </c>
      <c r="AQ170" s="1">
        <v>13879683</v>
      </c>
      <c r="AR170" s="1">
        <v>2081952</v>
      </c>
      <c r="AS170" s="1">
        <v>0</v>
      </c>
      <c r="AT170" s="1">
        <f t="shared" si="12"/>
        <v>85360049</v>
      </c>
    </row>
    <row r="171" spans="1:46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4971494</v>
      </c>
      <c r="G171" s="1">
        <v>161623</v>
      </c>
      <c r="H171" s="1">
        <v>0</v>
      </c>
      <c r="I171" s="1">
        <v>3529761</v>
      </c>
      <c r="J171" s="1">
        <v>0</v>
      </c>
      <c r="K171" s="1">
        <v>0</v>
      </c>
      <c r="L171" s="1">
        <v>5647960</v>
      </c>
      <c r="M171" s="1">
        <v>400000</v>
      </c>
      <c r="N171" s="1">
        <v>2469285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4503144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2649348</v>
      </c>
      <c r="AE171" s="1">
        <v>0</v>
      </c>
      <c r="AF171" s="1">
        <v>3333807</v>
      </c>
      <c r="AG171" s="1">
        <v>1043817</v>
      </c>
      <c r="AH171" s="1">
        <v>0</v>
      </c>
      <c r="AI171" s="1">
        <v>0</v>
      </c>
      <c r="AJ171" s="1">
        <v>1034388</v>
      </c>
      <c r="AK171" s="1">
        <v>0</v>
      </c>
      <c r="AL171" s="1">
        <v>0</v>
      </c>
      <c r="AM171" s="1">
        <v>0</v>
      </c>
      <c r="AN171" s="1">
        <v>30844627</v>
      </c>
      <c r="AO171" s="1">
        <v>6711493</v>
      </c>
      <c r="AP171" s="1">
        <v>24133134</v>
      </c>
      <c r="AQ171" s="1">
        <v>5502164</v>
      </c>
      <c r="AR171" s="1">
        <v>825325</v>
      </c>
      <c r="AS171" s="1">
        <v>795000</v>
      </c>
      <c r="AT171" s="1">
        <f t="shared" si="12"/>
        <v>37967116</v>
      </c>
    </row>
    <row r="172" spans="1:46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22764396</v>
      </c>
      <c r="G172" s="1">
        <v>9251125</v>
      </c>
      <c r="H172" s="1">
        <v>0</v>
      </c>
      <c r="I172" s="1">
        <v>22402401</v>
      </c>
      <c r="J172" s="1">
        <v>0</v>
      </c>
      <c r="K172" s="1">
        <v>0</v>
      </c>
      <c r="L172" s="1">
        <v>0</v>
      </c>
      <c r="M172" s="1">
        <v>400000</v>
      </c>
      <c r="N172" s="1">
        <v>3557341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1270000</v>
      </c>
      <c r="U172" s="1">
        <v>0</v>
      </c>
      <c r="V172" s="1">
        <v>11869575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2776365</v>
      </c>
      <c r="AD172" s="1">
        <v>0</v>
      </c>
      <c r="AE172" s="1">
        <v>2540958</v>
      </c>
      <c r="AF172" s="1">
        <v>3333807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4573724</v>
      </c>
      <c r="AM172" s="1">
        <v>0</v>
      </c>
      <c r="AN172" s="1">
        <v>85839692</v>
      </c>
      <c r="AO172" s="1">
        <v>18666648</v>
      </c>
      <c r="AP172" s="1">
        <v>67173044</v>
      </c>
      <c r="AQ172" s="1">
        <v>15557766</v>
      </c>
      <c r="AR172" s="1">
        <v>2333665</v>
      </c>
      <c r="AS172" s="1">
        <v>0</v>
      </c>
      <c r="AT172" s="1">
        <f t="shared" si="12"/>
        <v>103731123</v>
      </c>
    </row>
    <row r="173" spans="1:46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7154742</v>
      </c>
      <c r="G173" s="1">
        <v>9252351</v>
      </c>
      <c r="H173" s="1">
        <v>0</v>
      </c>
      <c r="I173" s="1">
        <v>5294509</v>
      </c>
      <c r="J173" s="1">
        <v>0</v>
      </c>
      <c r="K173" s="1">
        <v>0</v>
      </c>
      <c r="L173" s="1">
        <v>3620700</v>
      </c>
      <c r="M173" s="1">
        <v>400000</v>
      </c>
      <c r="N173" s="1">
        <v>3790592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5019728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2979081</v>
      </c>
      <c r="AE173" s="1">
        <v>0</v>
      </c>
      <c r="AF173" s="1">
        <v>2222538</v>
      </c>
      <c r="AG173" s="1">
        <v>0</v>
      </c>
      <c r="AH173" s="1">
        <v>0</v>
      </c>
      <c r="AI173" s="1">
        <v>0</v>
      </c>
      <c r="AJ173" s="1">
        <v>3483238</v>
      </c>
      <c r="AK173" s="1">
        <v>0</v>
      </c>
      <c r="AL173" s="1">
        <v>0</v>
      </c>
      <c r="AM173" s="1">
        <v>0</v>
      </c>
      <c r="AN173" s="1">
        <v>44317479</v>
      </c>
      <c r="AO173" s="1">
        <v>10530547</v>
      </c>
      <c r="AP173" s="1">
        <v>33786932</v>
      </c>
      <c r="AQ173" s="1">
        <v>8418988</v>
      </c>
      <c r="AR173" s="1">
        <v>1262848</v>
      </c>
      <c r="AS173" s="1">
        <v>1060000</v>
      </c>
      <c r="AT173" s="1">
        <f t="shared" si="12"/>
        <v>55059315</v>
      </c>
    </row>
    <row r="174" spans="1:46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6349520</v>
      </c>
      <c r="G174" s="1">
        <v>7249466</v>
      </c>
      <c r="H174" s="1">
        <v>0</v>
      </c>
      <c r="I174" s="1">
        <v>4698645</v>
      </c>
      <c r="J174" s="1">
        <v>0</v>
      </c>
      <c r="K174" s="1">
        <v>0</v>
      </c>
      <c r="L174" s="1">
        <v>3620700</v>
      </c>
      <c r="M174" s="1">
        <v>400000</v>
      </c>
      <c r="N174" s="1">
        <v>3341853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4585019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2701608</v>
      </c>
      <c r="AE174" s="1">
        <v>0</v>
      </c>
      <c r="AF174" s="1">
        <v>1111269</v>
      </c>
      <c r="AG174" s="1">
        <v>0</v>
      </c>
      <c r="AH174" s="1">
        <v>0</v>
      </c>
      <c r="AI174" s="1">
        <v>0</v>
      </c>
      <c r="AJ174" s="1">
        <v>3163403</v>
      </c>
      <c r="AK174" s="1">
        <v>0</v>
      </c>
      <c r="AL174" s="1">
        <v>0</v>
      </c>
      <c r="AM174" s="1">
        <v>0</v>
      </c>
      <c r="AN174" s="1">
        <v>38321483</v>
      </c>
      <c r="AO174" s="1">
        <v>11179788</v>
      </c>
      <c r="AP174" s="1">
        <v>27141695</v>
      </c>
      <c r="AQ174" s="1">
        <v>7442043</v>
      </c>
      <c r="AR174" s="1">
        <v>1116306</v>
      </c>
      <c r="AS174" s="1">
        <v>795000</v>
      </c>
      <c r="AT174" s="1">
        <f t="shared" si="12"/>
        <v>47674832</v>
      </c>
    </row>
    <row r="175" spans="1:46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13306631</v>
      </c>
      <c r="G175" s="1">
        <v>9436240</v>
      </c>
      <c r="H175" s="1">
        <v>2515800</v>
      </c>
      <c r="I175" s="1">
        <v>15506939</v>
      </c>
      <c r="J175" s="1">
        <v>0</v>
      </c>
      <c r="K175" s="1">
        <v>0</v>
      </c>
      <c r="L175" s="1">
        <v>0</v>
      </c>
      <c r="M175" s="1">
        <v>400000</v>
      </c>
      <c r="N175" s="1">
        <v>2777513</v>
      </c>
      <c r="O175" s="1">
        <v>0</v>
      </c>
      <c r="P175" s="1">
        <v>0</v>
      </c>
      <c r="Q175" s="1">
        <v>0</v>
      </c>
      <c r="R175" s="1">
        <v>0</v>
      </c>
      <c r="S175" s="1">
        <v>1017000</v>
      </c>
      <c r="T175" s="1">
        <v>0</v>
      </c>
      <c r="U175" s="1">
        <v>0</v>
      </c>
      <c r="V175" s="1">
        <v>3921554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2466221</v>
      </c>
      <c r="AD175" s="1">
        <v>0</v>
      </c>
      <c r="AE175" s="1">
        <v>1983938</v>
      </c>
      <c r="AF175" s="1">
        <v>2222538</v>
      </c>
      <c r="AG175" s="1">
        <v>0</v>
      </c>
      <c r="AH175" s="1">
        <v>0</v>
      </c>
      <c r="AI175" s="1">
        <v>0</v>
      </c>
      <c r="AJ175" s="1">
        <v>0</v>
      </c>
      <c r="AK175" s="1">
        <v>600000</v>
      </c>
      <c r="AL175" s="1">
        <v>3174300</v>
      </c>
      <c r="AM175" s="1">
        <v>0</v>
      </c>
      <c r="AN175" s="1">
        <v>60428674</v>
      </c>
      <c r="AO175" s="1">
        <v>15766191</v>
      </c>
      <c r="AP175" s="1">
        <v>44662483</v>
      </c>
      <c r="AQ175" s="1">
        <v>10814667</v>
      </c>
      <c r="AR175" s="1">
        <v>1622200</v>
      </c>
      <c r="AS175" s="1">
        <v>0</v>
      </c>
      <c r="AT175" s="1">
        <f t="shared" si="12"/>
        <v>72865541</v>
      </c>
    </row>
    <row r="176" spans="1:46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6254198</v>
      </c>
      <c r="G176" s="1">
        <v>1199960</v>
      </c>
      <c r="H176" s="1">
        <v>0</v>
      </c>
      <c r="I176" s="1">
        <v>5003358</v>
      </c>
      <c r="J176" s="1">
        <v>0</v>
      </c>
      <c r="K176" s="1">
        <v>0</v>
      </c>
      <c r="L176" s="1">
        <v>4015077</v>
      </c>
      <c r="M176" s="1">
        <v>400000</v>
      </c>
      <c r="N176" s="1">
        <v>3291683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2006432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1111269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24381977</v>
      </c>
      <c r="AO176" s="1">
        <v>7195628</v>
      </c>
      <c r="AP176" s="1">
        <v>17186349</v>
      </c>
      <c r="AQ176" s="1">
        <v>4654142</v>
      </c>
      <c r="AR176" s="1">
        <v>698121</v>
      </c>
      <c r="AS176" s="1">
        <v>795000</v>
      </c>
      <c r="AT176" s="1">
        <f t="shared" si="12"/>
        <v>30529240</v>
      </c>
    </row>
    <row r="177" spans="1:46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5466396</v>
      </c>
      <c r="G177" s="1">
        <v>7183629</v>
      </c>
      <c r="H177" s="1">
        <v>0</v>
      </c>
      <c r="I177" s="1">
        <v>3881141</v>
      </c>
      <c r="J177" s="1">
        <v>0</v>
      </c>
      <c r="K177" s="1">
        <v>0</v>
      </c>
      <c r="L177" s="1">
        <v>3792748</v>
      </c>
      <c r="M177" s="1">
        <v>400000</v>
      </c>
      <c r="N177" s="1">
        <v>2915411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5837269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2408354</v>
      </c>
      <c r="AE177" s="1">
        <v>0</v>
      </c>
      <c r="AF177" s="1">
        <v>1111269</v>
      </c>
      <c r="AG177" s="1">
        <v>0</v>
      </c>
      <c r="AH177" s="1">
        <v>0</v>
      </c>
      <c r="AI177" s="1">
        <v>0</v>
      </c>
      <c r="AJ177" s="1">
        <v>3065015</v>
      </c>
      <c r="AK177" s="1">
        <v>0</v>
      </c>
      <c r="AL177" s="1">
        <v>0</v>
      </c>
      <c r="AM177" s="1">
        <v>0</v>
      </c>
      <c r="AN177" s="1">
        <v>37161232</v>
      </c>
      <c r="AO177" s="1">
        <v>5552417</v>
      </c>
      <c r="AP177" s="1">
        <v>31608815</v>
      </c>
      <c r="AQ177" s="1">
        <v>7209993</v>
      </c>
      <c r="AR177" s="1">
        <v>1081499</v>
      </c>
      <c r="AS177" s="1">
        <v>300000</v>
      </c>
      <c r="AT177" s="1">
        <f t="shared" si="12"/>
        <v>45752724</v>
      </c>
    </row>
    <row r="178" spans="1:46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6704331</v>
      </c>
      <c r="G178" s="1">
        <v>8272744</v>
      </c>
      <c r="H178" s="1">
        <v>0</v>
      </c>
      <c r="I178" s="1">
        <v>4693032</v>
      </c>
      <c r="J178" s="1">
        <v>0</v>
      </c>
      <c r="K178" s="1">
        <v>0</v>
      </c>
      <c r="L178" s="1">
        <v>3620700</v>
      </c>
      <c r="M178" s="1">
        <v>400000</v>
      </c>
      <c r="N178" s="1">
        <v>3528595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6665514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2781999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3529704</v>
      </c>
      <c r="AK178" s="1">
        <v>0</v>
      </c>
      <c r="AL178" s="1">
        <v>0</v>
      </c>
      <c r="AM178" s="1">
        <v>0</v>
      </c>
      <c r="AN178" s="1">
        <v>41296619</v>
      </c>
      <c r="AO178" s="1">
        <v>7136729</v>
      </c>
      <c r="AP178" s="1">
        <v>34159890</v>
      </c>
      <c r="AQ178" s="1">
        <v>8259324</v>
      </c>
      <c r="AR178" s="1">
        <v>1238899</v>
      </c>
      <c r="AS178" s="1">
        <v>530000</v>
      </c>
      <c r="AT178" s="1">
        <f t="shared" si="12"/>
        <v>51324842</v>
      </c>
    </row>
    <row r="179" spans="1:46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6234095</v>
      </c>
      <c r="G179" s="1">
        <v>8754477</v>
      </c>
      <c r="H179" s="1">
        <v>0</v>
      </c>
      <c r="I179" s="1">
        <v>4488549</v>
      </c>
      <c r="J179" s="1">
        <v>0</v>
      </c>
      <c r="K179" s="1">
        <v>0</v>
      </c>
      <c r="L179" s="1">
        <v>3620700</v>
      </c>
      <c r="M179" s="1">
        <v>400000</v>
      </c>
      <c r="N179" s="1">
        <v>3302832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6366104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2646926</v>
      </c>
      <c r="AE179" s="1">
        <v>0</v>
      </c>
      <c r="AF179" s="1">
        <v>2222538</v>
      </c>
      <c r="AG179" s="1">
        <v>0</v>
      </c>
      <c r="AH179" s="1">
        <v>0</v>
      </c>
      <c r="AI179" s="1">
        <v>0</v>
      </c>
      <c r="AJ179" s="1">
        <v>3361719</v>
      </c>
      <c r="AK179" s="1">
        <v>0</v>
      </c>
      <c r="AL179" s="1">
        <v>0</v>
      </c>
      <c r="AM179" s="1">
        <v>0</v>
      </c>
      <c r="AN179" s="1">
        <v>42497940</v>
      </c>
      <c r="AO179" s="1">
        <v>7234429</v>
      </c>
      <c r="AP179" s="1">
        <v>35263511</v>
      </c>
      <c r="AQ179" s="1">
        <v>8055080</v>
      </c>
      <c r="AR179" s="1">
        <v>1208262</v>
      </c>
      <c r="AS179" s="1">
        <v>795000</v>
      </c>
      <c r="AT179" s="1">
        <f t="shared" si="12"/>
        <v>52556282</v>
      </c>
    </row>
    <row r="180" spans="1:46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6058258</v>
      </c>
      <c r="G180" s="1">
        <v>3420814</v>
      </c>
      <c r="H180" s="1">
        <v>0</v>
      </c>
      <c r="I180" s="1">
        <v>4361946</v>
      </c>
      <c r="J180" s="1">
        <v>0</v>
      </c>
      <c r="K180" s="1">
        <v>0</v>
      </c>
      <c r="L180" s="1">
        <v>3620700</v>
      </c>
      <c r="M180" s="1">
        <v>400000</v>
      </c>
      <c r="N180" s="1">
        <v>3188557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6227546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28377821</v>
      </c>
      <c r="AO180" s="1">
        <v>5321037</v>
      </c>
      <c r="AP180" s="1">
        <v>23056784</v>
      </c>
      <c r="AQ180" s="1">
        <v>5675564</v>
      </c>
      <c r="AR180" s="1">
        <v>851335</v>
      </c>
      <c r="AS180" s="1">
        <v>390000</v>
      </c>
      <c r="AT180" s="1">
        <f t="shared" si="12"/>
        <v>35294720</v>
      </c>
    </row>
    <row r="181" spans="1:46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5793474</v>
      </c>
      <c r="G181" s="1">
        <v>4784096</v>
      </c>
      <c r="H181" s="1">
        <v>0</v>
      </c>
      <c r="I181" s="1">
        <v>3707823</v>
      </c>
      <c r="J181" s="1">
        <v>0</v>
      </c>
      <c r="K181" s="1">
        <v>0</v>
      </c>
      <c r="L181" s="1">
        <v>3620700</v>
      </c>
      <c r="M181" s="1">
        <v>400000</v>
      </c>
      <c r="N181" s="1">
        <v>3049197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5698960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2222538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30376788</v>
      </c>
      <c r="AO181" s="1">
        <v>5045066</v>
      </c>
      <c r="AP181" s="1">
        <v>25331722</v>
      </c>
      <c r="AQ181" s="1">
        <v>5630850</v>
      </c>
      <c r="AR181" s="1">
        <v>844628</v>
      </c>
      <c r="AS181" s="1">
        <v>1060000</v>
      </c>
      <c r="AT181" s="1">
        <f t="shared" si="12"/>
        <v>37912266</v>
      </c>
    </row>
    <row r="182" spans="1:46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6875918</v>
      </c>
      <c r="G182" s="1">
        <v>22854664</v>
      </c>
      <c r="H182" s="1">
        <v>0</v>
      </c>
      <c r="I182" s="1">
        <v>5088179</v>
      </c>
      <c r="J182" s="1">
        <v>0</v>
      </c>
      <c r="K182" s="1">
        <v>0</v>
      </c>
      <c r="L182" s="1">
        <v>3620700</v>
      </c>
      <c r="M182" s="1">
        <v>400000</v>
      </c>
      <c r="N182" s="1">
        <v>3642870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6891949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1111269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51585549</v>
      </c>
      <c r="AO182" s="1">
        <v>8895096</v>
      </c>
      <c r="AP182" s="1">
        <v>42690453</v>
      </c>
      <c r="AQ182" s="1">
        <v>10094856</v>
      </c>
      <c r="AR182" s="1">
        <v>1514228</v>
      </c>
      <c r="AS182" s="1">
        <v>795000</v>
      </c>
      <c r="AT182" s="1">
        <f t="shared" si="12"/>
        <v>63989633</v>
      </c>
    </row>
    <row r="183" spans="1:46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3849959</v>
      </c>
      <c r="G183" s="1">
        <v>1023996</v>
      </c>
      <c r="H183" s="1">
        <v>0</v>
      </c>
      <c r="I183" s="1">
        <v>2579473</v>
      </c>
      <c r="J183" s="1">
        <v>0</v>
      </c>
      <c r="K183" s="1">
        <v>0</v>
      </c>
      <c r="L183" s="1">
        <v>5092693</v>
      </c>
      <c r="M183" s="1">
        <v>400000</v>
      </c>
      <c r="N183" s="1">
        <v>1899651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6640190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2013266</v>
      </c>
      <c r="AE183" s="1">
        <v>0</v>
      </c>
      <c r="AF183" s="1">
        <v>2222538</v>
      </c>
      <c r="AG183" s="1">
        <v>0</v>
      </c>
      <c r="AH183" s="1">
        <v>0</v>
      </c>
      <c r="AI183" s="1">
        <v>0</v>
      </c>
      <c r="AJ183" s="1">
        <v>2808675</v>
      </c>
      <c r="AK183" s="1">
        <v>0</v>
      </c>
      <c r="AL183" s="1">
        <v>0</v>
      </c>
      <c r="AM183" s="1">
        <v>0</v>
      </c>
      <c r="AN183" s="1">
        <v>29630441</v>
      </c>
      <c r="AO183" s="1">
        <v>6109344</v>
      </c>
      <c r="AP183" s="1">
        <v>23521097</v>
      </c>
      <c r="AQ183" s="1">
        <v>5481581</v>
      </c>
      <c r="AR183" s="1">
        <v>822237</v>
      </c>
      <c r="AS183" s="1">
        <v>795000</v>
      </c>
      <c r="AT183" s="1">
        <f t="shared" si="12"/>
        <v>36729259</v>
      </c>
    </row>
    <row r="184" spans="1:46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7570349</v>
      </c>
      <c r="G184" s="1">
        <v>6946174</v>
      </c>
      <c r="H184" s="1">
        <v>0</v>
      </c>
      <c r="I184" s="1">
        <v>5450651</v>
      </c>
      <c r="J184" s="1">
        <v>0</v>
      </c>
      <c r="K184" s="1">
        <v>0</v>
      </c>
      <c r="L184" s="1">
        <v>3620700</v>
      </c>
      <c r="M184" s="1">
        <v>400000</v>
      </c>
      <c r="N184" s="1">
        <v>4010781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7365700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2222538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38686893</v>
      </c>
      <c r="AO184" s="1">
        <v>6441163</v>
      </c>
      <c r="AP184" s="1">
        <v>32245730</v>
      </c>
      <c r="AQ184" s="1">
        <v>7292871</v>
      </c>
      <c r="AR184" s="1">
        <v>1093931</v>
      </c>
      <c r="AS184" s="1">
        <v>1060000</v>
      </c>
      <c r="AT184" s="1">
        <f t="shared" si="12"/>
        <v>48133695</v>
      </c>
    </row>
    <row r="185" spans="1:46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7022072</v>
      </c>
      <c r="G185" s="1">
        <v>8041467</v>
      </c>
      <c r="H185" s="1">
        <v>0</v>
      </c>
      <c r="I185" s="1">
        <v>5126112</v>
      </c>
      <c r="J185" s="1">
        <v>0</v>
      </c>
      <c r="K185" s="1">
        <v>0</v>
      </c>
      <c r="L185" s="1">
        <v>4088659</v>
      </c>
      <c r="M185" s="1">
        <v>400000</v>
      </c>
      <c r="N185" s="1">
        <v>3695827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6965618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2989900</v>
      </c>
      <c r="AE185" s="1">
        <v>0</v>
      </c>
      <c r="AF185" s="1">
        <v>2222538</v>
      </c>
      <c r="AG185" s="1">
        <v>0</v>
      </c>
      <c r="AH185" s="1">
        <v>0</v>
      </c>
      <c r="AI185" s="1">
        <v>0</v>
      </c>
      <c r="AJ185" s="1">
        <v>5021014</v>
      </c>
      <c r="AK185" s="1">
        <v>0</v>
      </c>
      <c r="AL185" s="1">
        <v>0</v>
      </c>
      <c r="AM185" s="1">
        <v>0</v>
      </c>
      <c r="AN185" s="1">
        <v>46673207</v>
      </c>
      <c r="AO185" s="1">
        <v>7782864</v>
      </c>
      <c r="AP185" s="1">
        <v>38890343</v>
      </c>
      <c r="AQ185" s="1">
        <v>8890134</v>
      </c>
      <c r="AR185" s="1">
        <v>1333520</v>
      </c>
      <c r="AS185" s="1">
        <v>1060000</v>
      </c>
      <c r="AT185" s="1">
        <f t="shared" si="12"/>
        <v>57956861</v>
      </c>
    </row>
    <row r="186" spans="1:46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6005301</v>
      </c>
      <c r="G186" s="1">
        <v>1683446</v>
      </c>
      <c r="H186" s="1">
        <v>0</v>
      </c>
      <c r="I186" s="1">
        <v>4503976</v>
      </c>
      <c r="J186" s="1">
        <v>0</v>
      </c>
      <c r="K186" s="1">
        <v>0</v>
      </c>
      <c r="L186" s="1">
        <v>3620700</v>
      </c>
      <c r="M186" s="1">
        <v>400000</v>
      </c>
      <c r="N186" s="1">
        <v>3160685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8361844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2593599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3591351</v>
      </c>
      <c r="AK186" s="1">
        <v>0</v>
      </c>
      <c r="AL186" s="1">
        <v>0</v>
      </c>
      <c r="AM186" s="1">
        <v>0</v>
      </c>
      <c r="AN186" s="1">
        <v>35020902</v>
      </c>
      <c r="AO186" s="1">
        <v>6758409</v>
      </c>
      <c r="AP186" s="1">
        <v>28262493</v>
      </c>
      <c r="AQ186" s="1">
        <v>7004180</v>
      </c>
      <c r="AR186" s="1">
        <v>1050627</v>
      </c>
      <c r="AS186" s="1">
        <v>300000</v>
      </c>
      <c r="AT186" s="1">
        <f t="shared" si="12"/>
        <v>43375709</v>
      </c>
    </row>
    <row r="187" spans="1:46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7281560</v>
      </c>
      <c r="G187" s="1">
        <v>1952032</v>
      </c>
      <c r="H187" s="1">
        <v>0</v>
      </c>
      <c r="I187" s="1">
        <v>5388354</v>
      </c>
      <c r="J187" s="1">
        <v>0</v>
      </c>
      <c r="K187" s="1">
        <v>0</v>
      </c>
      <c r="L187" s="1">
        <v>3620700</v>
      </c>
      <c r="M187" s="1">
        <v>400000</v>
      </c>
      <c r="N187" s="1">
        <v>3832400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9622241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3018452</v>
      </c>
      <c r="AE187" s="1">
        <v>0</v>
      </c>
      <c r="AF187" s="1">
        <v>1111269</v>
      </c>
      <c r="AG187" s="1">
        <v>0</v>
      </c>
      <c r="AH187" s="1">
        <v>0</v>
      </c>
      <c r="AI187" s="1">
        <v>0</v>
      </c>
      <c r="AJ187" s="1">
        <v>4164336</v>
      </c>
      <c r="AK187" s="1">
        <v>0</v>
      </c>
      <c r="AL187" s="1">
        <v>0</v>
      </c>
      <c r="AM187" s="1">
        <v>0</v>
      </c>
      <c r="AN187" s="1">
        <v>41491344</v>
      </c>
      <c r="AO187" s="1">
        <v>7758067</v>
      </c>
      <c r="AP187" s="1">
        <v>33733277</v>
      </c>
      <c r="AQ187" s="1">
        <v>8076015</v>
      </c>
      <c r="AR187" s="1">
        <v>1211402</v>
      </c>
      <c r="AS187" s="1">
        <v>585000</v>
      </c>
      <c r="AT187" s="1">
        <f t="shared" si="12"/>
        <v>51363761</v>
      </c>
    </row>
    <row r="188" spans="1:46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6197270</v>
      </c>
      <c r="G188" s="1">
        <v>1721055</v>
      </c>
      <c r="H188" s="1">
        <v>0</v>
      </c>
      <c r="I188" s="1">
        <v>4585979</v>
      </c>
      <c r="J188" s="1">
        <v>0</v>
      </c>
      <c r="K188" s="1">
        <v>0</v>
      </c>
      <c r="L188" s="1">
        <v>3620700</v>
      </c>
      <c r="M188" s="1">
        <v>400000</v>
      </c>
      <c r="N188" s="1">
        <v>3283322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8538335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1111269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30557930</v>
      </c>
      <c r="AO188" s="1">
        <v>4296062</v>
      </c>
      <c r="AP188" s="1">
        <v>26261868</v>
      </c>
      <c r="AQ188" s="1">
        <v>5889332</v>
      </c>
      <c r="AR188" s="1">
        <v>883400</v>
      </c>
      <c r="AS188" s="1">
        <v>585000</v>
      </c>
      <c r="AT188" s="1">
        <f t="shared" si="12"/>
        <v>37915662</v>
      </c>
    </row>
    <row r="189" spans="1:46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6234095</v>
      </c>
      <c r="G189" s="1">
        <v>5216343</v>
      </c>
      <c r="H189" s="1">
        <v>0</v>
      </c>
      <c r="I189" s="1">
        <v>4363867</v>
      </c>
      <c r="J189" s="1">
        <v>0</v>
      </c>
      <c r="K189" s="1">
        <v>0</v>
      </c>
      <c r="L189" s="1">
        <v>3620700</v>
      </c>
      <c r="M189" s="1">
        <v>400000</v>
      </c>
      <c r="N189" s="1">
        <v>3302832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6324647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2628224</v>
      </c>
      <c r="AE189" s="1">
        <v>0</v>
      </c>
      <c r="AF189" s="1">
        <v>2222538</v>
      </c>
      <c r="AG189" s="1">
        <v>0</v>
      </c>
      <c r="AH189" s="1">
        <v>0</v>
      </c>
      <c r="AI189" s="1">
        <v>0</v>
      </c>
      <c r="AJ189" s="1">
        <v>3338460</v>
      </c>
      <c r="AK189" s="1">
        <v>0</v>
      </c>
      <c r="AL189" s="1">
        <v>0</v>
      </c>
      <c r="AM189" s="1">
        <v>0</v>
      </c>
      <c r="AN189" s="1">
        <v>38751706</v>
      </c>
      <c r="AO189" s="1">
        <v>5171989</v>
      </c>
      <c r="AP189" s="1">
        <v>33579717</v>
      </c>
      <c r="AQ189" s="1">
        <v>7305834</v>
      </c>
      <c r="AR189" s="1">
        <v>1095875</v>
      </c>
      <c r="AS189" s="1">
        <v>0</v>
      </c>
      <c r="AT189" s="1">
        <f t="shared" si="12"/>
        <v>47153415</v>
      </c>
    </row>
    <row r="190" spans="1:46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5184471</v>
      </c>
      <c r="G190" s="1">
        <v>1375049</v>
      </c>
      <c r="H190" s="1">
        <v>0</v>
      </c>
      <c r="I190" s="1">
        <v>3940198</v>
      </c>
      <c r="J190" s="1">
        <v>0</v>
      </c>
      <c r="K190" s="1">
        <v>0</v>
      </c>
      <c r="L190" s="1">
        <v>3997714</v>
      </c>
      <c r="M190" s="1">
        <v>400000</v>
      </c>
      <c r="N190" s="1">
        <v>2728669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7721218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2377658</v>
      </c>
      <c r="AE190" s="1">
        <v>0</v>
      </c>
      <c r="AF190" s="1">
        <v>2222538</v>
      </c>
      <c r="AG190" s="1">
        <v>0</v>
      </c>
      <c r="AH190" s="1">
        <v>0</v>
      </c>
      <c r="AI190" s="1">
        <v>0</v>
      </c>
      <c r="AJ190" s="1">
        <v>3300118</v>
      </c>
      <c r="AK190" s="1">
        <v>0</v>
      </c>
      <c r="AL190" s="1">
        <v>0</v>
      </c>
      <c r="AM190" s="1">
        <v>0</v>
      </c>
      <c r="AN190" s="1">
        <v>34347633</v>
      </c>
      <c r="AO190" s="1">
        <v>7378834</v>
      </c>
      <c r="AP190" s="1">
        <v>26968799</v>
      </c>
      <c r="AQ190" s="1">
        <v>6425019</v>
      </c>
      <c r="AR190" s="1">
        <v>963753</v>
      </c>
      <c r="AS190" s="1">
        <v>1060000</v>
      </c>
      <c r="AT190" s="1">
        <f t="shared" si="12"/>
        <v>42796405</v>
      </c>
    </row>
    <row r="191" spans="1:46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6901547</v>
      </c>
      <c r="G191" s="1">
        <v>3186917</v>
      </c>
      <c r="H191" s="1">
        <v>0</v>
      </c>
      <c r="I191" s="1">
        <v>5659268</v>
      </c>
      <c r="J191" s="1">
        <v>0</v>
      </c>
      <c r="K191" s="1">
        <v>0</v>
      </c>
      <c r="L191" s="1">
        <v>3460800</v>
      </c>
      <c r="M191" s="1">
        <v>400000</v>
      </c>
      <c r="N191" s="1">
        <v>3680826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9435086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2955366</v>
      </c>
      <c r="AE191" s="1">
        <v>0</v>
      </c>
      <c r="AF191" s="1">
        <v>2222538</v>
      </c>
      <c r="AG191" s="1">
        <v>0</v>
      </c>
      <c r="AH191" s="1">
        <v>0</v>
      </c>
      <c r="AI191" s="1">
        <v>0</v>
      </c>
      <c r="AJ191" s="1">
        <v>4079254</v>
      </c>
      <c r="AK191" s="1">
        <v>0</v>
      </c>
      <c r="AL191" s="1">
        <v>0</v>
      </c>
      <c r="AM191" s="1">
        <v>0</v>
      </c>
      <c r="AN191" s="1">
        <v>43081602</v>
      </c>
      <c r="AO191" s="1">
        <v>9146140</v>
      </c>
      <c r="AP191" s="1">
        <v>33935462</v>
      </c>
      <c r="AQ191" s="1">
        <v>8171813</v>
      </c>
      <c r="AR191" s="1">
        <v>1225772</v>
      </c>
      <c r="AS191" s="1">
        <v>1060000</v>
      </c>
      <c r="AT191" s="1">
        <f t="shared" si="12"/>
        <v>53539187</v>
      </c>
    </row>
    <row r="192" spans="1:46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5311567</v>
      </c>
      <c r="G192" s="1">
        <v>1214270</v>
      </c>
      <c r="H192" s="1">
        <v>0</v>
      </c>
      <c r="I192" s="1">
        <v>3983675</v>
      </c>
      <c r="J192" s="1">
        <v>0</v>
      </c>
      <c r="K192" s="1">
        <v>0</v>
      </c>
      <c r="L192" s="1">
        <v>3910775</v>
      </c>
      <c r="M192" s="1">
        <v>400000</v>
      </c>
      <c r="N192" s="1">
        <v>2795562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7788203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2222538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28726590</v>
      </c>
      <c r="AO192" s="1">
        <v>5350832</v>
      </c>
      <c r="AP192" s="1">
        <v>23375758</v>
      </c>
      <c r="AQ192" s="1">
        <v>5300810</v>
      </c>
      <c r="AR192" s="1">
        <v>795122</v>
      </c>
      <c r="AS192" s="1">
        <v>795000</v>
      </c>
      <c r="AT192" s="1">
        <f t="shared" si="12"/>
        <v>35617522</v>
      </c>
    </row>
    <row r="193" spans="1:46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4511919</v>
      </c>
      <c r="G193" s="1">
        <v>1299444</v>
      </c>
      <c r="H193" s="1">
        <v>0</v>
      </c>
      <c r="I193" s="1">
        <v>2842509</v>
      </c>
      <c r="J193" s="1">
        <v>0</v>
      </c>
      <c r="K193" s="1">
        <v>0</v>
      </c>
      <c r="L193" s="1">
        <v>5373399</v>
      </c>
      <c r="M193" s="1">
        <v>400000</v>
      </c>
      <c r="N193" s="1">
        <v>2226276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7322076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2243115</v>
      </c>
      <c r="AE193" s="1">
        <v>0</v>
      </c>
      <c r="AF193" s="1">
        <v>3333807</v>
      </c>
      <c r="AG193" s="1">
        <v>0</v>
      </c>
      <c r="AH193" s="1">
        <v>0</v>
      </c>
      <c r="AI193" s="1">
        <v>0</v>
      </c>
      <c r="AJ193" s="1">
        <v>3118665</v>
      </c>
      <c r="AK193" s="1">
        <v>0</v>
      </c>
      <c r="AL193" s="1">
        <v>0</v>
      </c>
      <c r="AM193" s="1">
        <v>0</v>
      </c>
      <c r="AN193" s="1">
        <v>33771210</v>
      </c>
      <c r="AO193" s="1">
        <v>6729427</v>
      </c>
      <c r="AP193" s="1">
        <v>27041783</v>
      </c>
      <c r="AQ193" s="1">
        <v>6087481</v>
      </c>
      <c r="AR193" s="1">
        <v>913122</v>
      </c>
      <c r="AS193" s="1">
        <v>795000</v>
      </c>
      <c r="AT193" s="1">
        <f t="shared" si="12"/>
        <v>41566813</v>
      </c>
    </row>
    <row r="194" spans="1:46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27062820</v>
      </c>
      <c r="G194" s="1">
        <v>10381323</v>
      </c>
      <c r="H194" s="1">
        <v>0</v>
      </c>
      <c r="I194" s="1">
        <v>29706049</v>
      </c>
      <c r="J194" s="1">
        <v>0</v>
      </c>
      <c r="K194" s="1">
        <v>5500000</v>
      </c>
      <c r="L194" s="1">
        <v>0</v>
      </c>
      <c r="M194" s="1">
        <v>400000</v>
      </c>
      <c r="N194" s="1">
        <v>4283150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23950502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3059392</v>
      </c>
      <c r="AF194" s="1">
        <v>2222538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6853039</v>
      </c>
      <c r="AM194" s="1">
        <v>0</v>
      </c>
      <c r="AN194" s="1">
        <v>114518813</v>
      </c>
      <c r="AO194" s="1">
        <v>30164872</v>
      </c>
      <c r="AP194" s="1">
        <v>84353941</v>
      </c>
      <c r="AQ194" s="1">
        <v>15557766</v>
      </c>
      <c r="AR194" s="1">
        <v>2333665</v>
      </c>
      <c r="AS194" s="1">
        <v>0</v>
      </c>
      <c r="AT194" s="1">
        <f t="shared" si="12"/>
        <v>132410244</v>
      </c>
    </row>
    <row r="195" spans="1:46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6058258</v>
      </c>
      <c r="G195" s="1">
        <v>8434308</v>
      </c>
      <c r="H195" s="1">
        <v>0</v>
      </c>
      <c r="I195" s="1">
        <v>4119615</v>
      </c>
      <c r="J195" s="1">
        <v>0</v>
      </c>
      <c r="K195" s="1">
        <v>0</v>
      </c>
      <c r="L195" s="1">
        <v>3620700</v>
      </c>
      <c r="M195" s="1">
        <v>400000</v>
      </c>
      <c r="N195" s="1">
        <v>3188557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6146971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2548069</v>
      </c>
      <c r="AE195" s="1">
        <v>0</v>
      </c>
      <c r="AF195" s="1">
        <v>1111269</v>
      </c>
      <c r="AG195" s="1">
        <v>0</v>
      </c>
      <c r="AH195" s="1">
        <v>0</v>
      </c>
      <c r="AI195" s="1">
        <v>0</v>
      </c>
      <c r="AJ195" s="1">
        <v>3238774</v>
      </c>
      <c r="AK195" s="1">
        <v>0</v>
      </c>
      <c r="AL195" s="1">
        <v>0</v>
      </c>
      <c r="AM195" s="1">
        <v>0</v>
      </c>
      <c r="AN195" s="1">
        <v>39966521</v>
      </c>
      <c r="AO195" s="1">
        <v>6254706</v>
      </c>
      <c r="AP195" s="1">
        <v>33711815</v>
      </c>
      <c r="AQ195" s="1">
        <v>7771050</v>
      </c>
      <c r="AR195" s="1">
        <v>1165658</v>
      </c>
      <c r="AS195" s="1">
        <v>795000</v>
      </c>
      <c r="AT195" s="1">
        <f t="shared" ref="AT195:AT258" si="17">AS195+AR195+AQ195+AN195</f>
        <v>49698229</v>
      </c>
    </row>
    <row r="196" spans="1:46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4734338</v>
      </c>
      <c r="G196" s="1">
        <v>3614389</v>
      </c>
      <c r="H196" s="1">
        <v>0</v>
      </c>
      <c r="I196" s="1">
        <v>4024187</v>
      </c>
      <c r="J196" s="1">
        <v>0</v>
      </c>
      <c r="K196" s="1">
        <v>0</v>
      </c>
      <c r="L196" s="1">
        <v>5664173</v>
      </c>
      <c r="M196" s="1">
        <v>400000</v>
      </c>
      <c r="N196" s="1">
        <v>2336023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4792914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1111269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27777293</v>
      </c>
      <c r="AO196" s="1">
        <v>4683279</v>
      </c>
      <c r="AP196" s="1">
        <v>23094014</v>
      </c>
      <c r="AQ196" s="1">
        <v>5333205</v>
      </c>
      <c r="AR196" s="1">
        <v>799981</v>
      </c>
      <c r="AS196" s="1">
        <v>795000</v>
      </c>
      <c r="AT196" s="1">
        <f t="shared" si="17"/>
        <v>34705479</v>
      </c>
    </row>
    <row r="197" spans="1:46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7949129</v>
      </c>
      <c r="G197" s="1">
        <v>24231957</v>
      </c>
      <c r="H197" s="1">
        <v>0</v>
      </c>
      <c r="I197" s="1">
        <v>5882356</v>
      </c>
      <c r="J197" s="1">
        <v>0</v>
      </c>
      <c r="K197" s="1">
        <v>0</v>
      </c>
      <c r="L197" s="1">
        <v>3620700</v>
      </c>
      <c r="M197" s="1">
        <v>400000</v>
      </c>
      <c r="N197" s="1">
        <v>4211459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4922274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2222538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54540413</v>
      </c>
      <c r="AO197" s="1">
        <v>12716872</v>
      </c>
      <c r="AP197" s="1">
        <v>41823541</v>
      </c>
      <c r="AQ197" s="1">
        <v>10463575</v>
      </c>
      <c r="AR197" s="1">
        <v>1569536</v>
      </c>
      <c r="AS197" s="1">
        <v>1060000</v>
      </c>
      <c r="AT197" s="1">
        <f t="shared" si="17"/>
        <v>67633524</v>
      </c>
    </row>
    <row r="198" spans="1:46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6031780</v>
      </c>
      <c r="G198" s="1">
        <v>6312967</v>
      </c>
      <c r="H198" s="1">
        <v>0</v>
      </c>
      <c r="I198" s="1">
        <v>5850826</v>
      </c>
      <c r="J198" s="1">
        <v>0</v>
      </c>
      <c r="K198" s="1">
        <v>0</v>
      </c>
      <c r="L198" s="1">
        <v>4063405</v>
      </c>
      <c r="M198" s="1">
        <v>400000</v>
      </c>
      <c r="N198" s="1">
        <v>3174621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4278781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2222538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33434918</v>
      </c>
      <c r="AO198" s="1">
        <v>9143107</v>
      </c>
      <c r="AP198" s="1">
        <v>24291811</v>
      </c>
      <c r="AQ198" s="1">
        <v>6242476</v>
      </c>
      <c r="AR198" s="1">
        <v>936371</v>
      </c>
      <c r="AS198" s="1">
        <v>1060000</v>
      </c>
      <c r="AT198" s="1">
        <f t="shared" si="17"/>
        <v>41673765</v>
      </c>
    </row>
    <row r="199" spans="1:46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10178076</v>
      </c>
      <c r="G199" s="1">
        <v>3209346</v>
      </c>
      <c r="H199" s="1">
        <v>0</v>
      </c>
      <c r="I199" s="1">
        <v>7098023</v>
      </c>
      <c r="J199" s="1">
        <v>0</v>
      </c>
      <c r="K199" s="1">
        <v>4620000</v>
      </c>
      <c r="L199" s="1">
        <v>0</v>
      </c>
      <c r="M199" s="1">
        <v>400000</v>
      </c>
      <c r="N199" s="1">
        <v>1619536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1270000</v>
      </c>
      <c r="U199" s="1">
        <v>0</v>
      </c>
      <c r="V199" s="1">
        <v>10426500</v>
      </c>
      <c r="W199" s="1">
        <v>1100000</v>
      </c>
      <c r="X199" s="1">
        <v>1526711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1156812</v>
      </c>
      <c r="AF199" s="1">
        <v>2222538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3377890</v>
      </c>
      <c r="AM199" s="1">
        <v>0</v>
      </c>
      <c r="AN199" s="1">
        <v>48205432</v>
      </c>
      <c r="AO199" s="1">
        <v>9690917</v>
      </c>
      <c r="AP199" s="1">
        <v>38514515</v>
      </c>
      <c r="AQ199" s="1">
        <v>8942579</v>
      </c>
      <c r="AR199" s="1">
        <v>1341387</v>
      </c>
      <c r="AS199" s="1">
        <v>0</v>
      </c>
      <c r="AT199" s="1">
        <f t="shared" si="17"/>
        <v>58489398</v>
      </c>
    </row>
    <row r="200" spans="1:46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8692079</v>
      </c>
      <c r="G200" s="1">
        <v>7904001</v>
      </c>
      <c r="H200" s="1">
        <v>0</v>
      </c>
      <c r="I200" s="1">
        <v>9822050</v>
      </c>
      <c r="J200" s="1">
        <v>0</v>
      </c>
      <c r="K200" s="1">
        <v>0</v>
      </c>
      <c r="L200" s="1">
        <v>3460800</v>
      </c>
      <c r="M200" s="1">
        <v>400000</v>
      </c>
      <c r="N200" s="1">
        <v>4401053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9756594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1111269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46647846</v>
      </c>
      <c r="AO200" s="1">
        <v>7428168</v>
      </c>
      <c r="AP200" s="1">
        <v>39219678</v>
      </c>
      <c r="AQ200" s="1">
        <v>9107315</v>
      </c>
      <c r="AR200" s="1">
        <v>1366097</v>
      </c>
      <c r="AS200" s="1">
        <v>390000</v>
      </c>
      <c r="AT200" s="1">
        <f t="shared" si="17"/>
        <v>57511258</v>
      </c>
    </row>
    <row r="201" spans="1:46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6218313</v>
      </c>
      <c r="G201" s="1">
        <v>2875975</v>
      </c>
      <c r="H201" s="1">
        <v>0</v>
      </c>
      <c r="I201" s="1">
        <v>4601552</v>
      </c>
      <c r="J201" s="1">
        <v>0</v>
      </c>
      <c r="K201" s="1">
        <v>0</v>
      </c>
      <c r="L201" s="1">
        <v>3620700</v>
      </c>
      <c r="M201" s="1">
        <v>400000</v>
      </c>
      <c r="N201" s="1">
        <v>3294470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8559590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2660255</v>
      </c>
      <c r="AE201" s="1">
        <v>0</v>
      </c>
      <c r="AF201" s="1">
        <v>1111269</v>
      </c>
      <c r="AG201" s="1">
        <v>0</v>
      </c>
      <c r="AH201" s="1">
        <v>0</v>
      </c>
      <c r="AI201" s="1">
        <v>0</v>
      </c>
      <c r="AJ201" s="1">
        <v>2454165</v>
      </c>
      <c r="AK201" s="1">
        <v>0</v>
      </c>
      <c r="AL201" s="1">
        <v>0</v>
      </c>
      <c r="AM201" s="1">
        <v>0</v>
      </c>
      <c r="AN201" s="1">
        <v>36896289</v>
      </c>
      <c r="AO201" s="1">
        <v>9683468</v>
      </c>
      <c r="AP201" s="1">
        <v>27212821</v>
      </c>
      <c r="AQ201" s="1">
        <v>7157004</v>
      </c>
      <c r="AR201" s="1">
        <v>1073551</v>
      </c>
      <c r="AS201" s="1">
        <v>900000</v>
      </c>
      <c r="AT201" s="1">
        <f t="shared" si="17"/>
        <v>46026844</v>
      </c>
    </row>
    <row r="202" spans="1:46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6213052</v>
      </c>
      <c r="G202" s="1">
        <v>1527610</v>
      </c>
      <c r="H202" s="1">
        <v>0</v>
      </c>
      <c r="I202" s="1">
        <v>4535528</v>
      </c>
      <c r="J202" s="1">
        <v>0</v>
      </c>
      <c r="K202" s="1">
        <v>0</v>
      </c>
      <c r="L202" s="1">
        <v>3620700</v>
      </c>
      <c r="M202" s="1">
        <v>400000</v>
      </c>
      <c r="N202" s="1">
        <v>3291683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8526629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2649144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3666263</v>
      </c>
      <c r="AK202" s="1">
        <v>0</v>
      </c>
      <c r="AL202" s="1">
        <v>0</v>
      </c>
      <c r="AM202" s="1">
        <v>0</v>
      </c>
      <c r="AN202" s="1">
        <v>35530609</v>
      </c>
      <c r="AO202" s="1">
        <v>5108039</v>
      </c>
      <c r="AP202" s="1">
        <v>30422570</v>
      </c>
      <c r="AQ202" s="1">
        <v>7106122</v>
      </c>
      <c r="AR202" s="1">
        <v>1065918</v>
      </c>
      <c r="AS202" s="1">
        <v>530000</v>
      </c>
      <c r="AT202" s="1">
        <f t="shared" si="17"/>
        <v>44232649</v>
      </c>
    </row>
    <row r="203" spans="1:46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6100623</v>
      </c>
      <c r="G203" s="1">
        <v>3949054</v>
      </c>
      <c r="H203" s="1">
        <v>0</v>
      </c>
      <c r="I203" s="1">
        <v>4453455</v>
      </c>
      <c r="J203" s="1">
        <v>0</v>
      </c>
      <c r="K203" s="1">
        <v>0</v>
      </c>
      <c r="L203" s="1">
        <v>3620700</v>
      </c>
      <c r="M203" s="1">
        <v>400000</v>
      </c>
      <c r="N203" s="1">
        <v>3210854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8404107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2222538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33461331</v>
      </c>
      <c r="AO203" s="1">
        <v>8061172</v>
      </c>
      <c r="AP203" s="1">
        <v>25400159</v>
      </c>
      <c r="AQ203" s="1">
        <v>6247759</v>
      </c>
      <c r="AR203" s="1">
        <v>937164</v>
      </c>
      <c r="AS203" s="1">
        <v>530000</v>
      </c>
      <c r="AT203" s="1">
        <f t="shared" si="17"/>
        <v>41176254</v>
      </c>
    </row>
    <row r="204" spans="1:46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7594005</v>
      </c>
      <c r="G204" s="1">
        <v>3602456</v>
      </c>
      <c r="H204" s="1">
        <v>0</v>
      </c>
      <c r="I204" s="1">
        <v>5695504</v>
      </c>
      <c r="J204" s="1">
        <v>0</v>
      </c>
      <c r="K204" s="1">
        <v>0</v>
      </c>
      <c r="L204" s="1">
        <v>3620700</v>
      </c>
      <c r="M204" s="1">
        <v>400000</v>
      </c>
      <c r="N204" s="1">
        <v>3996845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9971139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3136058</v>
      </c>
      <c r="AE204" s="1">
        <v>0</v>
      </c>
      <c r="AF204" s="1">
        <v>2222538</v>
      </c>
      <c r="AG204" s="1">
        <v>0</v>
      </c>
      <c r="AH204" s="1">
        <v>0</v>
      </c>
      <c r="AI204" s="1">
        <v>0</v>
      </c>
      <c r="AJ204" s="1">
        <v>4322947</v>
      </c>
      <c r="AK204" s="1">
        <v>0</v>
      </c>
      <c r="AL204" s="1">
        <v>0</v>
      </c>
      <c r="AM204" s="1">
        <v>0</v>
      </c>
      <c r="AN204" s="1">
        <v>45662192</v>
      </c>
      <c r="AO204" s="1">
        <v>10618436</v>
      </c>
      <c r="AP204" s="1">
        <v>35043756</v>
      </c>
      <c r="AQ204" s="1">
        <v>8687931</v>
      </c>
      <c r="AR204" s="1">
        <v>1303190</v>
      </c>
      <c r="AS204" s="1">
        <v>795000</v>
      </c>
      <c r="AT204" s="1">
        <f t="shared" si="17"/>
        <v>56448313</v>
      </c>
    </row>
    <row r="205" spans="1:46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7039004</v>
      </c>
      <c r="G205" s="1">
        <v>1895308</v>
      </c>
      <c r="H205" s="1">
        <v>0</v>
      </c>
      <c r="I205" s="1">
        <v>5208863</v>
      </c>
      <c r="J205" s="1">
        <v>0</v>
      </c>
      <c r="K205" s="1">
        <v>0</v>
      </c>
      <c r="L205" s="1">
        <v>3620700</v>
      </c>
      <c r="M205" s="1">
        <v>400000</v>
      </c>
      <c r="N205" s="1">
        <v>3729274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9283050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2939676</v>
      </c>
      <c r="AE205" s="1">
        <v>0</v>
      </c>
      <c r="AF205" s="1">
        <v>2222538</v>
      </c>
      <c r="AG205" s="1">
        <v>0</v>
      </c>
      <c r="AH205" s="1">
        <v>0</v>
      </c>
      <c r="AI205" s="1">
        <v>0</v>
      </c>
      <c r="AJ205" s="1">
        <v>5391100</v>
      </c>
      <c r="AK205" s="1">
        <v>0</v>
      </c>
      <c r="AL205" s="1">
        <v>0</v>
      </c>
      <c r="AM205" s="1">
        <v>0</v>
      </c>
      <c r="AN205" s="1">
        <v>42829513</v>
      </c>
      <c r="AO205" s="1">
        <v>9013225</v>
      </c>
      <c r="AP205" s="1">
        <v>33816288</v>
      </c>
      <c r="AQ205" s="1">
        <v>8121395</v>
      </c>
      <c r="AR205" s="1">
        <v>1218209</v>
      </c>
      <c r="AS205" s="1">
        <v>1060000</v>
      </c>
      <c r="AT205" s="1">
        <f t="shared" si="17"/>
        <v>53229117</v>
      </c>
    </row>
    <row r="206" spans="1:46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5819952</v>
      </c>
      <c r="G206" s="1">
        <v>1441210</v>
      </c>
      <c r="H206" s="1">
        <v>0</v>
      </c>
      <c r="I206" s="1">
        <v>4132166</v>
      </c>
      <c r="J206" s="1">
        <v>0</v>
      </c>
      <c r="K206" s="1">
        <v>0</v>
      </c>
      <c r="L206" s="1">
        <v>3620700</v>
      </c>
      <c r="M206" s="1">
        <v>400000</v>
      </c>
      <c r="N206" s="1">
        <v>3063133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8070498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2495393</v>
      </c>
      <c r="AE206" s="1">
        <v>0</v>
      </c>
      <c r="AF206" s="1">
        <v>2222538</v>
      </c>
      <c r="AG206" s="1">
        <v>0</v>
      </c>
      <c r="AH206" s="1">
        <v>0</v>
      </c>
      <c r="AI206" s="1">
        <v>0</v>
      </c>
      <c r="AJ206" s="1">
        <v>3458903</v>
      </c>
      <c r="AK206" s="1">
        <v>0</v>
      </c>
      <c r="AL206" s="1">
        <v>0</v>
      </c>
      <c r="AM206" s="1">
        <v>0</v>
      </c>
      <c r="AN206" s="1">
        <v>35824493</v>
      </c>
      <c r="AO206" s="1">
        <v>7626945</v>
      </c>
      <c r="AP206" s="1">
        <v>28197548</v>
      </c>
      <c r="AQ206" s="1">
        <v>6720391</v>
      </c>
      <c r="AR206" s="1">
        <v>1008059</v>
      </c>
      <c r="AS206" s="1">
        <v>1060000</v>
      </c>
      <c r="AT206" s="1">
        <f t="shared" si="17"/>
        <v>44612943</v>
      </c>
    </row>
    <row r="207" spans="1:46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5857022</v>
      </c>
      <c r="G207" s="1">
        <v>1458071</v>
      </c>
      <c r="H207" s="1">
        <v>0</v>
      </c>
      <c r="I207" s="1">
        <v>4275626</v>
      </c>
      <c r="J207" s="1">
        <v>0</v>
      </c>
      <c r="K207" s="1">
        <v>0</v>
      </c>
      <c r="L207" s="1">
        <v>3620700</v>
      </c>
      <c r="M207" s="1">
        <v>400000</v>
      </c>
      <c r="N207" s="1">
        <v>3082643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8159516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2525399</v>
      </c>
      <c r="AE207" s="1">
        <v>0</v>
      </c>
      <c r="AF207" s="1">
        <v>1111269</v>
      </c>
      <c r="AG207" s="1">
        <v>0</v>
      </c>
      <c r="AH207" s="1">
        <v>0</v>
      </c>
      <c r="AI207" s="1">
        <v>0</v>
      </c>
      <c r="AJ207" s="1">
        <v>3499371</v>
      </c>
      <c r="AK207" s="1">
        <v>0</v>
      </c>
      <c r="AL207" s="1">
        <v>0</v>
      </c>
      <c r="AM207" s="1">
        <v>0</v>
      </c>
      <c r="AN207" s="1">
        <v>35089617</v>
      </c>
      <c r="AO207" s="1">
        <v>6625052</v>
      </c>
      <c r="AP207" s="1">
        <v>28464565</v>
      </c>
      <c r="AQ207" s="1">
        <v>6795670</v>
      </c>
      <c r="AR207" s="1">
        <v>1019350</v>
      </c>
      <c r="AS207" s="1">
        <v>530000</v>
      </c>
      <c r="AT207" s="1">
        <f t="shared" si="17"/>
        <v>43434637</v>
      </c>
    </row>
    <row r="208" spans="1:46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7670305</v>
      </c>
      <c r="G208" s="1">
        <v>7235990</v>
      </c>
      <c r="H208" s="1">
        <v>0</v>
      </c>
      <c r="I208" s="1">
        <v>5676025</v>
      </c>
      <c r="J208" s="1">
        <v>0</v>
      </c>
      <c r="K208" s="1">
        <v>0</v>
      </c>
      <c r="L208" s="1">
        <v>3620700</v>
      </c>
      <c r="M208" s="1">
        <v>400000</v>
      </c>
      <c r="N208" s="1">
        <v>4063738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7322500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3333807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40423065</v>
      </c>
      <c r="AO208" s="1">
        <v>8623051</v>
      </c>
      <c r="AP208" s="1">
        <v>31800014</v>
      </c>
      <c r="AQ208" s="1">
        <v>7417852</v>
      </c>
      <c r="AR208" s="1">
        <v>1112678</v>
      </c>
      <c r="AS208" s="1">
        <v>530000</v>
      </c>
      <c r="AT208" s="1">
        <f t="shared" si="17"/>
        <v>49483595</v>
      </c>
    </row>
    <row r="209" spans="1:46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7053846</v>
      </c>
      <c r="G209" s="1">
        <v>11346320</v>
      </c>
      <c r="H209" s="1">
        <v>0</v>
      </c>
      <c r="I209" s="1">
        <v>5431461</v>
      </c>
      <c r="J209" s="1">
        <v>0</v>
      </c>
      <c r="K209" s="1">
        <v>0</v>
      </c>
      <c r="L209" s="1">
        <v>3620700</v>
      </c>
      <c r="M209" s="1">
        <v>400000</v>
      </c>
      <c r="N209" s="1">
        <v>3712550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6555456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2222538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41442871</v>
      </c>
      <c r="AO209" s="1">
        <v>9630832</v>
      </c>
      <c r="AP209" s="1">
        <v>31812039</v>
      </c>
      <c r="AQ209" s="1">
        <v>7844067</v>
      </c>
      <c r="AR209" s="1">
        <v>1176610</v>
      </c>
      <c r="AS209" s="1">
        <v>1060000</v>
      </c>
      <c r="AT209" s="1">
        <f t="shared" si="17"/>
        <v>51523548</v>
      </c>
    </row>
    <row r="210" spans="1:46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8372651</v>
      </c>
      <c r="G210" s="1">
        <v>3150110</v>
      </c>
      <c r="H210" s="1">
        <v>0</v>
      </c>
      <c r="I210" s="1">
        <v>6949300</v>
      </c>
      <c r="J210" s="1">
        <v>0</v>
      </c>
      <c r="K210" s="1">
        <v>0</v>
      </c>
      <c r="L210" s="1">
        <v>3460800</v>
      </c>
      <c r="M210" s="1">
        <v>400000</v>
      </c>
      <c r="N210" s="1">
        <v>4465414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7610060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1111269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36619604</v>
      </c>
      <c r="AO210" s="1">
        <v>7359615</v>
      </c>
      <c r="AP210" s="1">
        <v>29259989</v>
      </c>
      <c r="AQ210" s="1">
        <v>7101667</v>
      </c>
      <c r="AR210" s="1">
        <v>1065250</v>
      </c>
      <c r="AS210" s="1">
        <v>795000</v>
      </c>
      <c r="AT210" s="1">
        <f t="shared" si="17"/>
        <v>45581521</v>
      </c>
    </row>
    <row r="211" spans="1:46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12095121</v>
      </c>
      <c r="G211" s="1">
        <v>6008149</v>
      </c>
      <c r="H211" s="1">
        <v>0</v>
      </c>
      <c r="I211" s="1">
        <v>9533446</v>
      </c>
      <c r="J211" s="1">
        <v>0</v>
      </c>
      <c r="K211" s="1">
        <v>4620000</v>
      </c>
      <c r="L211" s="1">
        <v>0</v>
      </c>
      <c r="M211" s="1">
        <v>400000</v>
      </c>
      <c r="N211" s="1">
        <v>2322498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9749319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1658927</v>
      </c>
      <c r="AF211" s="1">
        <v>2222538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5839424</v>
      </c>
      <c r="AM211" s="1">
        <v>0</v>
      </c>
      <c r="AN211" s="1">
        <v>55549422</v>
      </c>
      <c r="AO211" s="1">
        <v>15344227</v>
      </c>
      <c r="AP211" s="1">
        <v>40205195</v>
      </c>
      <c r="AQ211" s="1">
        <v>10665377</v>
      </c>
      <c r="AR211" s="1">
        <v>1599807</v>
      </c>
      <c r="AS211" s="1">
        <v>0</v>
      </c>
      <c r="AT211" s="1">
        <f t="shared" si="17"/>
        <v>67814606</v>
      </c>
    </row>
    <row r="212" spans="1:46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9883980</v>
      </c>
      <c r="G212" s="1">
        <v>9978543</v>
      </c>
      <c r="H212" s="1">
        <v>0</v>
      </c>
      <c r="I212" s="1">
        <v>8302543</v>
      </c>
      <c r="J212" s="1">
        <v>0</v>
      </c>
      <c r="K212" s="1">
        <v>0</v>
      </c>
      <c r="L212" s="1">
        <v>3460800</v>
      </c>
      <c r="M212" s="1">
        <v>400000</v>
      </c>
      <c r="N212" s="1">
        <v>5271456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9094009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1111269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48602600</v>
      </c>
      <c r="AO212" s="1">
        <v>9045522</v>
      </c>
      <c r="AP212" s="1">
        <v>39557078</v>
      </c>
      <c r="AQ212" s="1">
        <v>9498266</v>
      </c>
      <c r="AR212" s="1">
        <v>1424740</v>
      </c>
      <c r="AS212" s="1">
        <v>530000</v>
      </c>
      <c r="AT212" s="1">
        <f t="shared" si="17"/>
        <v>60055606</v>
      </c>
    </row>
    <row r="213" spans="1:46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22140837</v>
      </c>
      <c r="G213" s="1">
        <v>5032689</v>
      </c>
      <c r="H213" s="1">
        <v>0</v>
      </c>
      <c r="I213" s="1">
        <v>23003801</v>
      </c>
      <c r="J213" s="1">
        <v>0</v>
      </c>
      <c r="K213" s="1">
        <v>5500000</v>
      </c>
      <c r="L213" s="1">
        <v>0</v>
      </c>
      <c r="M213" s="1">
        <v>400000</v>
      </c>
      <c r="N213" s="1">
        <v>3563002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12677095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2545001</v>
      </c>
      <c r="AF213" s="1">
        <v>2222538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5090002</v>
      </c>
      <c r="AM213" s="1">
        <v>0</v>
      </c>
      <c r="AN213" s="1">
        <v>83274965</v>
      </c>
      <c r="AO213" s="1">
        <v>13312034</v>
      </c>
      <c r="AP213" s="1">
        <v>69962931</v>
      </c>
      <c r="AQ213" s="1">
        <v>15557766</v>
      </c>
      <c r="AR213" s="1">
        <v>2333665</v>
      </c>
      <c r="AS213" s="1">
        <v>0</v>
      </c>
      <c r="AT213" s="1">
        <f t="shared" si="17"/>
        <v>101166396</v>
      </c>
    </row>
    <row r="214" spans="1:46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10643981</v>
      </c>
      <c r="G214" s="1">
        <v>2448408</v>
      </c>
      <c r="H214" s="1">
        <v>0</v>
      </c>
      <c r="I214" s="1">
        <v>7944138</v>
      </c>
      <c r="J214" s="1">
        <v>0</v>
      </c>
      <c r="K214" s="1">
        <v>4620000</v>
      </c>
      <c r="L214" s="1">
        <v>0</v>
      </c>
      <c r="M214" s="1">
        <v>400000</v>
      </c>
      <c r="N214" s="1">
        <v>1797572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1270000</v>
      </c>
      <c r="U214" s="1">
        <v>0</v>
      </c>
      <c r="V214" s="1">
        <v>9621448</v>
      </c>
      <c r="W214" s="1">
        <v>1100000</v>
      </c>
      <c r="X214" s="1">
        <v>1596597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1283980</v>
      </c>
      <c r="AF214" s="1">
        <v>1111269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6017950</v>
      </c>
      <c r="AM214" s="1">
        <v>0</v>
      </c>
      <c r="AN214" s="1">
        <v>49855343</v>
      </c>
      <c r="AO214" s="1">
        <v>10102939</v>
      </c>
      <c r="AP214" s="1">
        <v>39752404</v>
      </c>
      <c r="AQ214" s="1">
        <v>9494815</v>
      </c>
      <c r="AR214" s="1">
        <v>1424222</v>
      </c>
      <c r="AS214" s="1">
        <v>0</v>
      </c>
      <c r="AT214" s="1">
        <f t="shared" si="17"/>
        <v>60774380</v>
      </c>
    </row>
    <row r="215" spans="1:46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11139189</v>
      </c>
      <c r="G215" s="1">
        <v>2499719</v>
      </c>
      <c r="H215" s="1">
        <v>0</v>
      </c>
      <c r="I215" s="1">
        <v>7969572</v>
      </c>
      <c r="J215" s="1">
        <v>0</v>
      </c>
      <c r="K215" s="1">
        <v>4620000</v>
      </c>
      <c r="L215" s="1">
        <v>0</v>
      </c>
      <c r="M215" s="1">
        <v>400000</v>
      </c>
      <c r="N215" s="1">
        <v>1770497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1270000</v>
      </c>
      <c r="U215" s="1">
        <v>0</v>
      </c>
      <c r="V215" s="1">
        <v>9823083</v>
      </c>
      <c r="W215" s="1">
        <v>1100000</v>
      </c>
      <c r="X215" s="1">
        <v>1666479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1264641</v>
      </c>
      <c r="AF215" s="1">
        <v>1111269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6123967</v>
      </c>
      <c r="AM215" s="1">
        <v>0</v>
      </c>
      <c r="AN215" s="1">
        <v>50758416</v>
      </c>
      <c r="AO215" s="1">
        <v>11200165</v>
      </c>
      <c r="AP215" s="1">
        <v>39558251</v>
      </c>
      <c r="AQ215" s="1">
        <v>9675429</v>
      </c>
      <c r="AR215" s="1">
        <v>1451314</v>
      </c>
      <c r="AS215" s="1">
        <v>0</v>
      </c>
      <c r="AT215" s="1">
        <f t="shared" si="17"/>
        <v>61885159</v>
      </c>
    </row>
    <row r="216" spans="1:46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6052962</v>
      </c>
      <c r="G216" s="1">
        <v>4417438</v>
      </c>
      <c r="H216" s="1">
        <v>0</v>
      </c>
      <c r="I216" s="1">
        <v>4358133</v>
      </c>
      <c r="J216" s="1">
        <v>0</v>
      </c>
      <c r="K216" s="1">
        <v>0</v>
      </c>
      <c r="L216" s="1">
        <v>3620700</v>
      </c>
      <c r="M216" s="1">
        <v>400000</v>
      </c>
      <c r="N216" s="1">
        <v>3185770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6083209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2582635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2174739</v>
      </c>
      <c r="AK216" s="1">
        <v>0</v>
      </c>
      <c r="AL216" s="1">
        <v>0</v>
      </c>
      <c r="AM216" s="1">
        <v>0</v>
      </c>
      <c r="AN216" s="1">
        <v>33975586</v>
      </c>
      <c r="AO216" s="1">
        <v>6613462</v>
      </c>
      <c r="AP216" s="1">
        <v>27362124</v>
      </c>
      <c r="AQ216" s="1">
        <v>6795117</v>
      </c>
      <c r="AR216" s="1">
        <v>1019268</v>
      </c>
      <c r="AS216" s="1">
        <v>530000</v>
      </c>
      <c r="AT216" s="1">
        <f t="shared" si="17"/>
        <v>42319971</v>
      </c>
    </row>
    <row r="217" spans="1:46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11059097</v>
      </c>
      <c r="G217" s="1">
        <v>7453127</v>
      </c>
      <c r="H217" s="1">
        <v>0</v>
      </c>
      <c r="I217" s="1">
        <v>8386114</v>
      </c>
      <c r="J217" s="1">
        <v>0</v>
      </c>
      <c r="K217" s="1">
        <v>4620000</v>
      </c>
      <c r="L217" s="1">
        <v>0</v>
      </c>
      <c r="M217" s="1">
        <v>400000</v>
      </c>
      <c r="N217" s="1">
        <v>1951470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1270000</v>
      </c>
      <c r="U217" s="1">
        <v>0</v>
      </c>
      <c r="V217" s="1">
        <v>10138282</v>
      </c>
      <c r="W217" s="1">
        <v>1100000</v>
      </c>
      <c r="X217" s="1">
        <v>1658865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1393907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6384325</v>
      </c>
      <c r="AM217" s="1">
        <v>0</v>
      </c>
      <c r="AN217" s="1">
        <v>55815187</v>
      </c>
      <c r="AO217" s="1">
        <v>9918489</v>
      </c>
      <c r="AP217" s="1">
        <v>45896698</v>
      </c>
      <c r="AQ217" s="1">
        <v>10909037</v>
      </c>
      <c r="AR217" s="1">
        <v>1636356</v>
      </c>
      <c r="AS217" s="1">
        <v>0</v>
      </c>
      <c r="AT217" s="1">
        <f t="shared" si="17"/>
        <v>68360580</v>
      </c>
    </row>
    <row r="218" spans="1:46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10760305</v>
      </c>
      <c r="G218" s="1">
        <v>7223782</v>
      </c>
      <c r="H218" s="1">
        <v>0</v>
      </c>
      <c r="I218" s="1">
        <v>8237611</v>
      </c>
      <c r="J218" s="1">
        <v>0</v>
      </c>
      <c r="K218" s="1">
        <v>4620000</v>
      </c>
      <c r="L218" s="1">
        <v>0</v>
      </c>
      <c r="M218" s="1">
        <v>400000</v>
      </c>
      <c r="N218" s="1">
        <v>1841654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1270000</v>
      </c>
      <c r="U218" s="1">
        <v>0</v>
      </c>
      <c r="V218" s="1">
        <v>9826311</v>
      </c>
      <c r="W218" s="1">
        <v>1100000</v>
      </c>
      <c r="X218" s="1">
        <v>1614046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1315467</v>
      </c>
      <c r="AF218" s="1">
        <v>1111269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6122117</v>
      </c>
      <c r="AM218" s="1">
        <v>0</v>
      </c>
      <c r="AN218" s="1">
        <v>55442562</v>
      </c>
      <c r="AO218" s="1">
        <v>14938318</v>
      </c>
      <c r="AP218" s="1">
        <v>40504244</v>
      </c>
      <c r="AQ218" s="1">
        <v>10612259</v>
      </c>
      <c r="AR218" s="1">
        <v>1591839</v>
      </c>
      <c r="AS218" s="1">
        <v>0</v>
      </c>
      <c r="AT218" s="1">
        <f t="shared" si="17"/>
        <v>67646660</v>
      </c>
    </row>
    <row r="219" spans="1:46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6820836</v>
      </c>
      <c r="G219" s="1">
        <v>7876073</v>
      </c>
      <c r="H219" s="1">
        <v>0</v>
      </c>
      <c r="I219" s="1">
        <v>4979210</v>
      </c>
      <c r="J219" s="1">
        <v>0</v>
      </c>
      <c r="K219" s="1">
        <v>0</v>
      </c>
      <c r="L219" s="1">
        <v>3651768</v>
      </c>
      <c r="M219" s="1">
        <v>400000</v>
      </c>
      <c r="N219" s="1">
        <v>3589914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6676061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2856259</v>
      </c>
      <c r="AE219" s="1">
        <v>0</v>
      </c>
      <c r="AF219" s="1">
        <v>2222538</v>
      </c>
      <c r="AG219" s="1">
        <v>0</v>
      </c>
      <c r="AH219" s="1">
        <v>0</v>
      </c>
      <c r="AI219" s="1">
        <v>0</v>
      </c>
      <c r="AJ219" s="1">
        <v>4800654</v>
      </c>
      <c r="AK219" s="1">
        <v>0</v>
      </c>
      <c r="AL219" s="1">
        <v>0</v>
      </c>
      <c r="AM219" s="1">
        <v>0</v>
      </c>
      <c r="AN219" s="1">
        <v>44973313</v>
      </c>
      <c r="AO219" s="1">
        <v>9163947</v>
      </c>
      <c r="AP219" s="1">
        <v>35809366</v>
      </c>
      <c r="AQ219" s="1">
        <v>8550155</v>
      </c>
      <c r="AR219" s="1">
        <v>1282523</v>
      </c>
      <c r="AS219" s="1">
        <v>1060000</v>
      </c>
      <c r="AT219" s="1">
        <f t="shared" si="17"/>
        <v>55865991</v>
      </c>
    </row>
    <row r="220" spans="1:46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20802072</v>
      </c>
      <c r="G220" s="1">
        <v>44296860</v>
      </c>
      <c r="H220" s="1">
        <v>0</v>
      </c>
      <c r="I220" s="1">
        <v>21674480</v>
      </c>
      <c r="J220" s="1">
        <v>0</v>
      </c>
      <c r="K220" s="1">
        <v>5500000</v>
      </c>
      <c r="L220" s="1">
        <v>0</v>
      </c>
      <c r="M220" s="1">
        <v>400000</v>
      </c>
      <c r="N220" s="1">
        <v>3094434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1270000</v>
      </c>
      <c r="U220" s="1">
        <v>0</v>
      </c>
      <c r="V220" s="1">
        <v>11745431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2210310</v>
      </c>
      <c r="AF220" s="1">
        <v>3333807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4420620</v>
      </c>
      <c r="AM220" s="1">
        <v>0</v>
      </c>
      <c r="AN220" s="1">
        <v>119848014</v>
      </c>
      <c r="AO220" s="1">
        <v>19588574</v>
      </c>
      <c r="AP220" s="1">
        <v>100259440</v>
      </c>
      <c r="AQ220" s="1">
        <v>15557766</v>
      </c>
      <c r="AR220" s="1">
        <v>2333665</v>
      </c>
      <c r="AS220" s="1">
        <v>0</v>
      </c>
      <c r="AT220" s="1">
        <f t="shared" si="17"/>
        <v>137739445</v>
      </c>
    </row>
    <row r="221" spans="1:46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9604508</v>
      </c>
      <c r="G221" s="1">
        <v>3119679</v>
      </c>
      <c r="H221" s="1">
        <v>0</v>
      </c>
      <c r="I221" s="1">
        <v>6767283</v>
      </c>
      <c r="J221" s="1">
        <v>0</v>
      </c>
      <c r="K221" s="1">
        <v>4620000</v>
      </c>
      <c r="L221" s="1">
        <v>0</v>
      </c>
      <c r="M221" s="1">
        <v>400000</v>
      </c>
      <c r="N221" s="1">
        <v>1426459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1270000</v>
      </c>
      <c r="U221" s="1">
        <v>0</v>
      </c>
      <c r="V221" s="1">
        <v>10979790</v>
      </c>
      <c r="W221" s="1">
        <v>1100000</v>
      </c>
      <c r="X221" s="1">
        <v>1440676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1018899</v>
      </c>
      <c r="AF221" s="1">
        <v>2222538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5856539</v>
      </c>
      <c r="AM221" s="1">
        <v>0</v>
      </c>
      <c r="AN221" s="1">
        <v>49826371</v>
      </c>
      <c r="AO221" s="1">
        <v>6296338</v>
      </c>
      <c r="AP221" s="1">
        <v>43530033</v>
      </c>
      <c r="AQ221" s="1">
        <v>9266767</v>
      </c>
      <c r="AR221" s="1">
        <v>1390015</v>
      </c>
      <c r="AS221" s="1">
        <v>0</v>
      </c>
      <c r="AT221" s="1">
        <f t="shared" si="17"/>
        <v>60483153</v>
      </c>
    </row>
    <row r="222" spans="1:46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10115856</v>
      </c>
      <c r="G222" s="1">
        <v>2932614</v>
      </c>
      <c r="H222" s="1">
        <v>0</v>
      </c>
      <c r="I222" s="1">
        <v>7011818</v>
      </c>
      <c r="J222" s="1">
        <v>0</v>
      </c>
      <c r="K222" s="1">
        <v>4620000</v>
      </c>
      <c r="L222" s="1">
        <v>0</v>
      </c>
      <c r="M222" s="1">
        <v>400000</v>
      </c>
      <c r="N222" s="1">
        <v>1596449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1270000</v>
      </c>
      <c r="U222" s="1">
        <v>0</v>
      </c>
      <c r="V222" s="1">
        <v>10321411</v>
      </c>
      <c r="W222" s="1">
        <v>1100000</v>
      </c>
      <c r="X222" s="1">
        <v>1517378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1140321</v>
      </c>
      <c r="AF222" s="1">
        <v>1111269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3329737</v>
      </c>
      <c r="AM222" s="1">
        <v>0</v>
      </c>
      <c r="AN222" s="1">
        <v>46466853</v>
      </c>
      <c r="AO222" s="1">
        <v>12197068</v>
      </c>
      <c r="AP222" s="1">
        <v>34269785</v>
      </c>
      <c r="AQ222" s="1">
        <v>8817117</v>
      </c>
      <c r="AR222" s="1">
        <v>1322568</v>
      </c>
      <c r="AS222" s="1">
        <v>0</v>
      </c>
      <c r="AT222" s="1">
        <f t="shared" si="17"/>
        <v>56606538</v>
      </c>
    </row>
    <row r="223" spans="1:46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10397987</v>
      </c>
      <c r="G223" s="1">
        <v>6459709</v>
      </c>
      <c r="H223" s="1">
        <v>0</v>
      </c>
      <c r="I223" s="1">
        <v>7797299</v>
      </c>
      <c r="J223" s="1">
        <v>0</v>
      </c>
      <c r="K223" s="1">
        <v>4620000</v>
      </c>
      <c r="L223" s="1">
        <v>0</v>
      </c>
      <c r="M223" s="1">
        <v>400000</v>
      </c>
      <c r="N223" s="1">
        <v>1724385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1270000</v>
      </c>
      <c r="U223" s="1">
        <v>0</v>
      </c>
      <c r="V223" s="1">
        <v>12400969</v>
      </c>
      <c r="W223" s="1">
        <v>1100000</v>
      </c>
      <c r="X223" s="1">
        <v>1559698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1231704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6715971</v>
      </c>
      <c r="AM223" s="1">
        <v>0</v>
      </c>
      <c r="AN223" s="1">
        <v>55677722</v>
      </c>
      <c r="AO223" s="1">
        <v>8685395</v>
      </c>
      <c r="AP223" s="1">
        <v>46992327</v>
      </c>
      <c r="AQ223" s="1">
        <v>10881544</v>
      </c>
      <c r="AR223" s="1">
        <v>1632232</v>
      </c>
      <c r="AS223" s="1">
        <v>0</v>
      </c>
      <c r="AT223" s="1">
        <f t="shared" si="17"/>
        <v>68191498</v>
      </c>
    </row>
    <row r="224" spans="1:46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20268363</v>
      </c>
      <c r="G224" s="1">
        <v>14491019</v>
      </c>
      <c r="H224" s="1">
        <v>3773700</v>
      </c>
      <c r="I224" s="1">
        <v>20875417</v>
      </c>
      <c r="J224" s="1">
        <v>0</v>
      </c>
      <c r="K224" s="1">
        <v>5500000</v>
      </c>
      <c r="L224" s="1">
        <v>0</v>
      </c>
      <c r="M224" s="1">
        <v>400000</v>
      </c>
      <c r="N224" s="1">
        <v>2907636</v>
      </c>
      <c r="O224" s="1">
        <v>0</v>
      </c>
      <c r="P224" s="1">
        <v>0</v>
      </c>
      <c r="Q224" s="1">
        <v>0</v>
      </c>
      <c r="R224" s="1">
        <v>0</v>
      </c>
      <c r="S224" s="1">
        <v>1525500</v>
      </c>
      <c r="T224" s="1">
        <v>0</v>
      </c>
      <c r="U224" s="1">
        <v>0</v>
      </c>
      <c r="V224" s="1">
        <v>11406924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2076883</v>
      </c>
      <c r="AF224" s="1">
        <v>2222538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4569142</v>
      </c>
      <c r="AM224" s="1">
        <v>0</v>
      </c>
      <c r="AN224" s="1">
        <v>91117122</v>
      </c>
      <c r="AO224" s="1">
        <v>21362299</v>
      </c>
      <c r="AP224" s="1">
        <v>69754823</v>
      </c>
      <c r="AQ224" s="1">
        <v>15557766</v>
      </c>
      <c r="AR224" s="1">
        <v>2333665</v>
      </c>
      <c r="AS224" s="1">
        <v>0</v>
      </c>
      <c r="AT224" s="1">
        <f t="shared" si="17"/>
        <v>109008553</v>
      </c>
    </row>
    <row r="225" spans="1:46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23517339</v>
      </c>
      <c r="G225" s="1">
        <v>27079036</v>
      </c>
      <c r="H225" s="1">
        <v>0</v>
      </c>
      <c r="I225" s="1">
        <v>22727845</v>
      </c>
      <c r="J225" s="1">
        <v>0</v>
      </c>
      <c r="K225" s="1">
        <v>5500000</v>
      </c>
      <c r="L225" s="1">
        <v>0</v>
      </c>
      <c r="M225" s="1">
        <v>400000</v>
      </c>
      <c r="N225" s="1">
        <v>3301988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1270000</v>
      </c>
      <c r="U225" s="1">
        <v>0</v>
      </c>
      <c r="V225" s="1">
        <v>11370607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2358562</v>
      </c>
      <c r="AF225" s="1">
        <v>2222538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4245412</v>
      </c>
      <c r="AM225" s="1">
        <v>0</v>
      </c>
      <c r="AN225" s="1">
        <v>105093327</v>
      </c>
      <c r="AO225" s="1">
        <v>22849782</v>
      </c>
      <c r="AP225" s="1">
        <v>82243545</v>
      </c>
      <c r="AQ225" s="1">
        <v>15557766</v>
      </c>
      <c r="AR225" s="1">
        <v>2333665</v>
      </c>
      <c r="AS225" s="1">
        <v>0</v>
      </c>
      <c r="AT225" s="1">
        <f t="shared" si="17"/>
        <v>122984758</v>
      </c>
    </row>
    <row r="226" spans="1:46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8251974</v>
      </c>
      <c r="G226" s="1">
        <v>7917269</v>
      </c>
      <c r="H226" s="1">
        <v>0</v>
      </c>
      <c r="I226" s="1">
        <v>6931658</v>
      </c>
      <c r="J226" s="1">
        <v>0</v>
      </c>
      <c r="K226" s="1">
        <v>0</v>
      </c>
      <c r="L226" s="1">
        <v>3460800</v>
      </c>
      <c r="M226" s="1">
        <v>400000</v>
      </c>
      <c r="N226" s="1">
        <v>4401053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7977283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40440037</v>
      </c>
      <c r="AO226" s="1">
        <v>6958824</v>
      </c>
      <c r="AP226" s="1">
        <v>33481213</v>
      </c>
      <c r="AQ226" s="1">
        <v>8088007</v>
      </c>
      <c r="AR226" s="1">
        <v>1213201</v>
      </c>
      <c r="AS226" s="1">
        <v>600000</v>
      </c>
      <c r="AT226" s="1">
        <f t="shared" si="17"/>
        <v>50341245</v>
      </c>
    </row>
    <row r="227" spans="1:46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6744397</v>
      </c>
      <c r="G227" s="1">
        <v>18643780</v>
      </c>
      <c r="H227" s="1">
        <v>0</v>
      </c>
      <c r="I227" s="1">
        <v>4990854</v>
      </c>
      <c r="J227" s="1">
        <v>0</v>
      </c>
      <c r="K227" s="1">
        <v>0</v>
      </c>
      <c r="L227" s="1">
        <v>3620700</v>
      </c>
      <c r="M227" s="1">
        <v>400000</v>
      </c>
      <c r="N227" s="1">
        <v>3573190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6639471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3333807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49046199</v>
      </c>
      <c r="AO227" s="1">
        <v>9819626</v>
      </c>
      <c r="AP227" s="1">
        <v>39226573</v>
      </c>
      <c r="AQ227" s="1">
        <v>9142478</v>
      </c>
      <c r="AR227" s="1">
        <v>1371372</v>
      </c>
      <c r="AS227" s="1">
        <v>975000</v>
      </c>
      <c r="AT227" s="1">
        <f t="shared" si="17"/>
        <v>60535049</v>
      </c>
    </row>
    <row r="228" spans="1:46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5888796</v>
      </c>
      <c r="G228" s="1">
        <v>2512148</v>
      </c>
      <c r="H228" s="1">
        <v>0</v>
      </c>
      <c r="I228" s="1">
        <v>4357709</v>
      </c>
      <c r="J228" s="1">
        <v>0</v>
      </c>
      <c r="K228" s="1">
        <v>0</v>
      </c>
      <c r="L228" s="1">
        <v>3620700</v>
      </c>
      <c r="M228" s="1">
        <v>400000</v>
      </c>
      <c r="N228" s="1">
        <v>3099366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6001636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1111269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28091624</v>
      </c>
      <c r="AO228" s="1">
        <v>5783522</v>
      </c>
      <c r="AP228" s="1">
        <v>22308102</v>
      </c>
      <c r="AQ228" s="1">
        <v>5396071</v>
      </c>
      <c r="AR228" s="1">
        <v>809411</v>
      </c>
      <c r="AS228" s="1">
        <v>900000</v>
      </c>
      <c r="AT228" s="1">
        <f t="shared" si="17"/>
        <v>35197106</v>
      </c>
    </row>
    <row r="229" spans="1:46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11872963</v>
      </c>
      <c r="G229" s="1">
        <v>12256522</v>
      </c>
      <c r="H229" s="1">
        <v>0</v>
      </c>
      <c r="I229" s="1">
        <v>10190794</v>
      </c>
      <c r="J229" s="1">
        <v>0</v>
      </c>
      <c r="K229" s="1">
        <v>4620000</v>
      </c>
      <c r="L229" s="1">
        <v>0</v>
      </c>
      <c r="M229" s="1">
        <v>400000</v>
      </c>
      <c r="N229" s="1">
        <v>2248299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1270000</v>
      </c>
      <c r="U229" s="1">
        <v>0</v>
      </c>
      <c r="V229" s="1">
        <v>10836936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1605928</v>
      </c>
      <c r="AF229" s="1">
        <v>1111269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5267442</v>
      </c>
      <c r="AM229" s="1">
        <v>0</v>
      </c>
      <c r="AN229" s="1">
        <v>62780153</v>
      </c>
      <c r="AO229" s="1">
        <v>14063198</v>
      </c>
      <c r="AP229" s="1">
        <v>48716955</v>
      </c>
      <c r="AQ229" s="1">
        <v>12079777</v>
      </c>
      <c r="AR229" s="1">
        <v>1811967</v>
      </c>
      <c r="AS229" s="1">
        <v>0</v>
      </c>
      <c r="AT229" s="1">
        <f t="shared" si="17"/>
        <v>76671897</v>
      </c>
    </row>
    <row r="230" spans="1:46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7328350</v>
      </c>
      <c r="G230" s="1">
        <v>5379579</v>
      </c>
      <c r="H230" s="1">
        <v>0</v>
      </c>
      <c r="I230" s="1">
        <v>5422979</v>
      </c>
      <c r="J230" s="1">
        <v>0</v>
      </c>
      <c r="K230" s="1">
        <v>0</v>
      </c>
      <c r="L230" s="1">
        <v>3620700</v>
      </c>
      <c r="M230" s="1">
        <v>400000</v>
      </c>
      <c r="N230" s="1">
        <v>3882570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7070245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2222538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36426961</v>
      </c>
      <c r="AO230" s="1">
        <v>4943424</v>
      </c>
      <c r="AP230" s="1">
        <v>31483537</v>
      </c>
      <c r="AQ230" s="1">
        <v>6840885</v>
      </c>
      <c r="AR230" s="1">
        <v>1026133</v>
      </c>
      <c r="AS230" s="1">
        <v>0</v>
      </c>
      <c r="AT230" s="1">
        <f t="shared" si="17"/>
        <v>44293979</v>
      </c>
    </row>
    <row r="231" spans="1:46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7233655</v>
      </c>
      <c r="G231" s="1">
        <v>7321265</v>
      </c>
      <c r="H231" s="1">
        <v>0</v>
      </c>
      <c r="I231" s="1">
        <v>5352905</v>
      </c>
      <c r="J231" s="1">
        <v>0</v>
      </c>
      <c r="K231" s="1">
        <v>0</v>
      </c>
      <c r="L231" s="1">
        <v>3620700</v>
      </c>
      <c r="M231" s="1">
        <v>400000</v>
      </c>
      <c r="N231" s="1">
        <v>3832400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5061820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2222538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36145283</v>
      </c>
      <c r="AO231" s="1">
        <v>4457171</v>
      </c>
      <c r="AP231" s="1">
        <v>31688112</v>
      </c>
      <c r="AQ231" s="1">
        <v>6784549</v>
      </c>
      <c r="AR231" s="1">
        <v>1017682</v>
      </c>
      <c r="AS231" s="1">
        <v>195000</v>
      </c>
      <c r="AT231" s="1">
        <f t="shared" si="17"/>
        <v>44142514</v>
      </c>
    </row>
    <row r="232" spans="1:46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6933787</v>
      </c>
      <c r="G232" s="1">
        <v>5831804</v>
      </c>
      <c r="H232" s="1">
        <v>0</v>
      </c>
      <c r="I232" s="1">
        <v>5131002</v>
      </c>
      <c r="J232" s="1">
        <v>0</v>
      </c>
      <c r="K232" s="1">
        <v>0</v>
      </c>
      <c r="L232" s="1">
        <v>3620700</v>
      </c>
      <c r="M232" s="1">
        <v>400000</v>
      </c>
      <c r="N232" s="1">
        <v>3673530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7300657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2222538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36214018</v>
      </c>
      <c r="AO232" s="1">
        <v>25512163</v>
      </c>
      <c r="AP232" s="1">
        <v>10701855</v>
      </c>
      <c r="AQ232" s="1">
        <v>6798296</v>
      </c>
      <c r="AR232" s="1">
        <v>1019744</v>
      </c>
      <c r="AS232" s="1">
        <v>1060000</v>
      </c>
      <c r="AT232" s="1">
        <f t="shared" si="17"/>
        <v>45092058</v>
      </c>
    </row>
    <row r="233" spans="1:46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12447729</v>
      </c>
      <c r="G233" s="1">
        <v>288811</v>
      </c>
      <c r="H233" s="1">
        <v>0</v>
      </c>
      <c r="I233" s="1">
        <v>10192518</v>
      </c>
      <c r="J233" s="1">
        <v>0</v>
      </c>
      <c r="K233" s="1">
        <v>3465000</v>
      </c>
      <c r="L233" s="1">
        <v>0</v>
      </c>
      <c r="M233" s="1">
        <v>400000</v>
      </c>
      <c r="N233" s="1">
        <v>2235729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9430577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1596949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3704922</v>
      </c>
      <c r="AM233" s="1">
        <v>0</v>
      </c>
      <c r="AN233" s="1">
        <v>44862235</v>
      </c>
      <c r="AO233" s="1">
        <v>7351752</v>
      </c>
      <c r="AP233" s="1">
        <v>37510483</v>
      </c>
      <c r="AQ233" s="1">
        <v>8972447</v>
      </c>
      <c r="AR233" s="1">
        <v>1345867</v>
      </c>
      <c r="AS233" s="1">
        <v>0</v>
      </c>
      <c r="AT233" s="1">
        <f t="shared" si="17"/>
        <v>55180549</v>
      </c>
    </row>
    <row r="234" spans="1:46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6328686</v>
      </c>
      <c r="G234" s="1">
        <v>6764561</v>
      </c>
      <c r="H234" s="1">
        <v>0</v>
      </c>
      <c r="I234" s="1">
        <v>4556654</v>
      </c>
      <c r="J234" s="1">
        <v>0</v>
      </c>
      <c r="K234" s="1">
        <v>0</v>
      </c>
      <c r="L234" s="1">
        <v>3620700</v>
      </c>
      <c r="M234" s="1">
        <v>400000</v>
      </c>
      <c r="N234" s="1">
        <v>3375299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8624696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2682201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4947793</v>
      </c>
      <c r="AK234" s="1">
        <v>0</v>
      </c>
      <c r="AL234" s="1">
        <v>0</v>
      </c>
      <c r="AM234" s="1">
        <v>0</v>
      </c>
      <c r="AN234" s="1">
        <v>42400590</v>
      </c>
      <c r="AO234" s="1">
        <v>5308196</v>
      </c>
      <c r="AP234" s="1">
        <v>37092394</v>
      </c>
      <c r="AQ234" s="1">
        <v>8480118</v>
      </c>
      <c r="AR234" s="1">
        <v>1272018</v>
      </c>
      <c r="AS234" s="1">
        <v>0</v>
      </c>
      <c r="AT234" s="1">
        <f t="shared" si="17"/>
        <v>52152726</v>
      </c>
    </row>
    <row r="235" spans="1:46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10865650</v>
      </c>
      <c r="G235" s="1">
        <v>2481849</v>
      </c>
      <c r="H235" s="1">
        <v>0</v>
      </c>
      <c r="I235" s="1">
        <v>7772450</v>
      </c>
      <c r="J235" s="1">
        <v>0</v>
      </c>
      <c r="K235" s="1">
        <v>4620000</v>
      </c>
      <c r="L235" s="1">
        <v>0</v>
      </c>
      <c r="M235" s="1">
        <v>400000</v>
      </c>
      <c r="N235" s="1">
        <v>1877214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1270000</v>
      </c>
      <c r="U235" s="1">
        <v>0</v>
      </c>
      <c r="V235" s="1">
        <v>9752861</v>
      </c>
      <c r="W235" s="1">
        <v>1100000</v>
      </c>
      <c r="X235" s="1">
        <v>1629848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1340867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6209603</v>
      </c>
      <c r="AM235" s="1">
        <v>0</v>
      </c>
      <c r="AN235" s="1">
        <v>49320342</v>
      </c>
      <c r="AO235" s="1">
        <v>9152280</v>
      </c>
      <c r="AP235" s="1">
        <v>40168062</v>
      </c>
      <c r="AQ235" s="1">
        <v>9610068</v>
      </c>
      <c r="AR235" s="1">
        <v>1441510</v>
      </c>
      <c r="AS235" s="1">
        <v>0</v>
      </c>
      <c r="AT235" s="1">
        <f t="shared" si="17"/>
        <v>60371920</v>
      </c>
    </row>
    <row r="236" spans="1:46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6296564</v>
      </c>
      <c r="G236" s="1">
        <v>7025201</v>
      </c>
      <c r="H236" s="1">
        <v>0</v>
      </c>
      <c r="I236" s="1">
        <v>4470560</v>
      </c>
      <c r="J236" s="1">
        <v>0</v>
      </c>
      <c r="K236" s="1">
        <v>0</v>
      </c>
      <c r="L236" s="1">
        <v>3620700</v>
      </c>
      <c r="M236" s="1">
        <v>400000</v>
      </c>
      <c r="N236" s="1">
        <v>3313981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6384600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2655271</v>
      </c>
      <c r="AE236" s="1">
        <v>0</v>
      </c>
      <c r="AF236" s="1">
        <v>1111269</v>
      </c>
      <c r="AG236" s="1">
        <v>0</v>
      </c>
      <c r="AH236" s="1">
        <v>0</v>
      </c>
      <c r="AI236" s="1">
        <v>0</v>
      </c>
      <c r="AJ236" s="1">
        <v>3372097</v>
      </c>
      <c r="AK236" s="1">
        <v>0</v>
      </c>
      <c r="AL236" s="1">
        <v>0</v>
      </c>
      <c r="AM236" s="1">
        <v>0</v>
      </c>
      <c r="AN236" s="1">
        <v>39750243</v>
      </c>
      <c r="AO236" s="1">
        <v>6191372</v>
      </c>
      <c r="AP236" s="1">
        <v>33558871</v>
      </c>
      <c r="AQ236" s="1">
        <v>7727795</v>
      </c>
      <c r="AR236" s="1">
        <v>1159169</v>
      </c>
      <c r="AS236" s="1">
        <v>780000</v>
      </c>
      <c r="AT236" s="1">
        <f t="shared" si="17"/>
        <v>49417207</v>
      </c>
    </row>
    <row r="237" spans="1:46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16794762</v>
      </c>
      <c r="G237" s="1">
        <v>18716348</v>
      </c>
      <c r="H237" s="1">
        <v>0</v>
      </c>
      <c r="I237" s="1">
        <v>15214701</v>
      </c>
      <c r="J237" s="1">
        <v>0</v>
      </c>
      <c r="K237" s="1">
        <v>11366667</v>
      </c>
      <c r="L237" s="1">
        <v>0</v>
      </c>
      <c r="M237" s="1">
        <v>400000</v>
      </c>
      <c r="N237" s="1">
        <v>3367129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9429111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2762932</v>
      </c>
      <c r="AF237" s="1">
        <v>2222538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3767635</v>
      </c>
      <c r="AM237" s="1">
        <v>0</v>
      </c>
      <c r="AN237" s="1">
        <v>85141823</v>
      </c>
      <c r="AO237" s="1">
        <v>21649650</v>
      </c>
      <c r="AP237" s="1">
        <v>63492173</v>
      </c>
      <c r="AQ237" s="1">
        <v>16583857</v>
      </c>
      <c r="AR237" s="1">
        <v>2487579</v>
      </c>
      <c r="AS237" s="1">
        <v>0</v>
      </c>
      <c r="AT237" s="1">
        <f t="shared" si="17"/>
        <v>104213259</v>
      </c>
    </row>
    <row r="238" spans="1:46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11660284</v>
      </c>
      <c r="G238" s="1">
        <v>8405023</v>
      </c>
      <c r="H238" s="1">
        <v>0</v>
      </c>
      <c r="I238" s="1">
        <v>11912239</v>
      </c>
      <c r="J238" s="1">
        <v>0</v>
      </c>
      <c r="K238" s="1">
        <v>0</v>
      </c>
      <c r="L238" s="1">
        <v>0</v>
      </c>
      <c r="M238" s="1">
        <v>400000</v>
      </c>
      <c r="N238" s="1">
        <v>2416011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3082056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1725722</v>
      </c>
      <c r="AF238" s="1">
        <v>2222538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3106300</v>
      </c>
      <c r="AM238" s="1">
        <v>0</v>
      </c>
      <c r="AN238" s="1">
        <v>46030173</v>
      </c>
      <c r="AO238" s="1">
        <v>9472698</v>
      </c>
      <c r="AP238" s="1">
        <v>36557475</v>
      </c>
      <c r="AQ238" s="1">
        <v>8761527</v>
      </c>
      <c r="AR238" s="1">
        <v>1314229</v>
      </c>
      <c r="AS238" s="1">
        <v>0</v>
      </c>
      <c r="AT238" s="1">
        <f t="shared" si="17"/>
        <v>56105929</v>
      </c>
    </row>
    <row r="239" spans="1:46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21280074</v>
      </c>
      <c r="G239" s="1">
        <v>24439267</v>
      </c>
      <c r="H239" s="1">
        <v>0</v>
      </c>
      <c r="I239" s="1">
        <v>23652534</v>
      </c>
      <c r="J239" s="1">
        <v>0</v>
      </c>
      <c r="K239" s="1">
        <v>5500000</v>
      </c>
      <c r="L239" s="1">
        <v>0</v>
      </c>
      <c r="M239" s="1">
        <v>400000</v>
      </c>
      <c r="N239" s="1">
        <v>3615834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16894698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2776365</v>
      </c>
      <c r="AD239" s="1">
        <v>0</v>
      </c>
      <c r="AE239" s="1">
        <v>2582738</v>
      </c>
      <c r="AF239" s="1">
        <v>1111269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5372096</v>
      </c>
      <c r="AM239" s="1">
        <v>0</v>
      </c>
      <c r="AN239" s="1">
        <v>108724875</v>
      </c>
      <c r="AO239" s="1">
        <v>25737203</v>
      </c>
      <c r="AP239" s="1">
        <v>82987672</v>
      </c>
      <c r="AQ239" s="1">
        <v>15557766</v>
      </c>
      <c r="AR239" s="1">
        <v>2333665</v>
      </c>
      <c r="AS239" s="1">
        <v>0</v>
      </c>
      <c r="AT239" s="1">
        <f t="shared" si="17"/>
        <v>126616306</v>
      </c>
    </row>
    <row r="240" spans="1:46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19269231</v>
      </c>
      <c r="G240" s="1">
        <v>7280346</v>
      </c>
      <c r="H240" s="1">
        <v>0</v>
      </c>
      <c r="I240" s="1">
        <v>19773188</v>
      </c>
      <c r="J240" s="1">
        <v>0</v>
      </c>
      <c r="K240" s="1">
        <v>5500000</v>
      </c>
      <c r="L240" s="1">
        <v>0</v>
      </c>
      <c r="M240" s="1">
        <v>400000</v>
      </c>
      <c r="N240" s="1">
        <v>3395072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1270000</v>
      </c>
      <c r="U240" s="1">
        <v>0</v>
      </c>
      <c r="V240" s="1">
        <v>4777260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2425052</v>
      </c>
      <c r="AF240" s="1">
        <v>2222538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2910062</v>
      </c>
      <c r="AM240" s="1">
        <v>0</v>
      </c>
      <c r="AN240" s="1">
        <v>70322749</v>
      </c>
      <c r="AO240" s="1">
        <v>17110626</v>
      </c>
      <c r="AP240" s="1">
        <v>53212123</v>
      </c>
      <c r="AQ240" s="1">
        <v>13366042</v>
      </c>
      <c r="AR240" s="1">
        <v>2004906</v>
      </c>
      <c r="AS240" s="1">
        <v>0</v>
      </c>
      <c r="AT240" s="1">
        <f t="shared" si="17"/>
        <v>85693697</v>
      </c>
    </row>
    <row r="241" spans="1:46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5032986</v>
      </c>
      <c r="G241" s="1">
        <v>0</v>
      </c>
      <c r="H241" s="1">
        <v>0</v>
      </c>
      <c r="I241" s="1">
        <v>4529688</v>
      </c>
      <c r="J241" s="1">
        <v>0</v>
      </c>
      <c r="K241" s="1">
        <v>0</v>
      </c>
      <c r="L241" s="1">
        <v>5674221</v>
      </c>
      <c r="M241" s="1">
        <v>400000</v>
      </c>
      <c r="N241" s="1">
        <v>2435316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6710274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2222538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28105023</v>
      </c>
      <c r="AO241" s="1">
        <v>6330074</v>
      </c>
      <c r="AP241" s="1">
        <v>21774949</v>
      </c>
      <c r="AQ241" s="1">
        <v>5176497</v>
      </c>
      <c r="AR241" s="1">
        <v>776475</v>
      </c>
      <c r="AS241" s="1">
        <v>1060000</v>
      </c>
      <c r="AT241" s="1">
        <f t="shared" si="17"/>
        <v>35117995</v>
      </c>
    </row>
    <row r="242" spans="1:46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6958524</v>
      </c>
      <c r="G242" s="1">
        <v>0</v>
      </c>
      <c r="H242" s="1">
        <v>0</v>
      </c>
      <c r="I242" s="1">
        <v>5079722</v>
      </c>
      <c r="J242" s="1">
        <v>0</v>
      </c>
      <c r="K242" s="1">
        <v>0</v>
      </c>
      <c r="L242" s="1">
        <v>3620700</v>
      </c>
      <c r="M242" s="1">
        <v>400000</v>
      </c>
      <c r="N242" s="1">
        <v>3662381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7287464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1111269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29220060</v>
      </c>
      <c r="AO242" s="1">
        <v>3018301</v>
      </c>
      <c r="AP242" s="1">
        <v>26201759</v>
      </c>
      <c r="AQ242" s="1">
        <v>5621758</v>
      </c>
      <c r="AR242" s="1">
        <v>843264</v>
      </c>
      <c r="AS242" s="1">
        <v>0</v>
      </c>
      <c r="AT242" s="1">
        <f t="shared" si="17"/>
        <v>35685082</v>
      </c>
    </row>
    <row r="243" spans="1:46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5872909</v>
      </c>
      <c r="G243" s="1">
        <v>0</v>
      </c>
      <c r="H243" s="1">
        <v>0</v>
      </c>
      <c r="I243" s="1">
        <v>4228495</v>
      </c>
      <c r="J243" s="1">
        <v>0</v>
      </c>
      <c r="K243" s="1">
        <v>0</v>
      </c>
      <c r="L243" s="1">
        <v>3620700</v>
      </c>
      <c r="M243" s="1">
        <v>400000</v>
      </c>
      <c r="N243" s="1">
        <v>3091005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5951760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2222538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26487407</v>
      </c>
      <c r="AO243" s="1">
        <v>2483649</v>
      </c>
      <c r="AP243" s="1">
        <v>24003758</v>
      </c>
      <c r="AQ243" s="1">
        <v>4852974</v>
      </c>
      <c r="AR243" s="1">
        <v>727946</v>
      </c>
      <c r="AS243" s="1">
        <v>0</v>
      </c>
      <c r="AT243" s="1">
        <f t="shared" si="17"/>
        <v>32068327</v>
      </c>
    </row>
    <row r="244" spans="1:46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5883500</v>
      </c>
      <c r="G244" s="1">
        <v>3842848</v>
      </c>
      <c r="H244" s="1">
        <v>0</v>
      </c>
      <c r="I244" s="1">
        <v>4294955</v>
      </c>
      <c r="J244" s="1">
        <v>0</v>
      </c>
      <c r="K244" s="1">
        <v>0</v>
      </c>
      <c r="L244" s="1">
        <v>3620700</v>
      </c>
      <c r="M244" s="1">
        <v>400000</v>
      </c>
      <c r="N244" s="1">
        <v>3096579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4185030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1111269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27534881</v>
      </c>
      <c r="AO244" s="1">
        <v>4401857</v>
      </c>
      <c r="AP244" s="1">
        <v>23133024</v>
      </c>
      <c r="AQ244" s="1">
        <v>5284722</v>
      </c>
      <c r="AR244" s="1">
        <v>792708</v>
      </c>
      <c r="AS244" s="1">
        <v>0</v>
      </c>
      <c r="AT244" s="1">
        <f t="shared" si="17"/>
        <v>33612311</v>
      </c>
    </row>
    <row r="245" spans="1:46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4880666</v>
      </c>
      <c r="G245" s="1">
        <v>0</v>
      </c>
      <c r="H245" s="1">
        <v>0</v>
      </c>
      <c r="I245" s="1">
        <v>3123626</v>
      </c>
      <c r="J245" s="1">
        <v>0</v>
      </c>
      <c r="K245" s="1">
        <v>0</v>
      </c>
      <c r="L245" s="1">
        <v>5349563</v>
      </c>
      <c r="M245" s="1">
        <v>400000</v>
      </c>
      <c r="N245" s="1">
        <v>2346474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8181329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1393600</v>
      </c>
      <c r="AD245" s="1">
        <v>0</v>
      </c>
      <c r="AE245" s="1">
        <v>0</v>
      </c>
      <c r="AF245" s="1">
        <v>2222538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28997796</v>
      </c>
      <c r="AO245" s="1">
        <v>3859393</v>
      </c>
      <c r="AP245" s="1">
        <v>25138403</v>
      </c>
      <c r="AQ245" s="1">
        <v>5355052</v>
      </c>
      <c r="AR245" s="1">
        <v>803258</v>
      </c>
      <c r="AS245" s="1">
        <v>530000</v>
      </c>
      <c r="AT245" s="1">
        <f t="shared" si="17"/>
        <v>35686106</v>
      </c>
    </row>
    <row r="246" spans="1:46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5950010</v>
      </c>
      <c r="G246" s="1">
        <v>4503106</v>
      </c>
      <c r="H246" s="1">
        <v>0</v>
      </c>
      <c r="I246" s="1">
        <v>4403007</v>
      </c>
      <c r="J246" s="1">
        <v>0</v>
      </c>
      <c r="K246" s="1">
        <v>0</v>
      </c>
      <c r="L246" s="1">
        <v>3840357</v>
      </c>
      <c r="M246" s="1">
        <v>400000</v>
      </c>
      <c r="N246" s="1">
        <v>3152323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8386335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2741130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34476268</v>
      </c>
      <c r="AO246" s="1">
        <v>8363997</v>
      </c>
      <c r="AP246" s="1">
        <v>26112271</v>
      </c>
      <c r="AQ246" s="1">
        <v>6347028</v>
      </c>
      <c r="AR246" s="1">
        <v>952054</v>
      </c>
      <c r="AS246" s="1">
        <v>600000</v>
      </c>
      <c r="AT246" s="1">
        <f t="shared" si="17"/>
        <v>42375350</v>
      </c>
    </row>
    <row r="247" spans="1:46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5904683</v>
      </c>
      <c r="G247" s="1">
        <v>1706160</v>
      </c>
      <c r="H247" s="1">
        <v>0</v>
      </c>
      <c r="I247" s="1">
        <v>4310419</v>
      </c>
      <c r="J247" s="1">
        <v>0</v>
      </c>
      <c r="K247" s="1">
        <v>0</v>
      </c>
      <c r="L247" s="1">
        <v>3620700</v>
      </c>
      <c r="M247" s="1">
        <v>400000</v>
      </c>
      <c r="N247" s="1">
        <v>3107728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6455235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1111269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27716194</v>
      </c>
      <c r="AO247" s="1">
        <v>3242651</v>
      </c>
      <c r="AP247" s="1">
        <v>24473543</v>
      </c>
      <c r="AQ247" s="1">
        <v>5320985</v>
      </c>
      <c r="AR247" s="1">
        <v>798148</v>
      </c>
      <c r="AS247" s="1">
        <v>265000</v>
      </c>
      <c r="AT247" s="1">
        <f t="shared" si="17"/>
        <v>34100327</v>
      </c>
    </row>
    <row r="248" spans="1:46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6606253</v>
      </c>
      <c r="G248" s="1">
        <v>3283283</v>
      </c>
      <c r="H248" s="1">
        <v>0</v>
      </c>
      <c r="I248" s="1">
        <v>4822565</v>
      </c>
      <c r="J248" s="1">
        <v>0</v>
      </c>
      <c r="K248" s="1">
        <v>0</v>
      </c>
      <c r="L248" s="1">
        <v>3620700</v>
      </c>
      <c r="M248" s="1">
        <v>400000</v>
      </c>
      <c r="N248" s="1">
        <v>3500000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6465970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1111269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30910040</v>
      </c>
      <c r="AO248" s="1">
        <v>5386829</v>
      </c>
      <c r="AP248" s="1">
        <v>25523211</v>
      </c>
      <c r="AQ248" s="1">
        <v>5959754</v>
      </c>
      <c r="AR248" s="1">
        <v>893963</v>
      </c>
      <c r="AS248" s="1">
        <v>795000</v>
      </c>
      <c r="AT248" s="1">
        <f t="shared" si="17"/>
        <v>38558757</v>
      </c>
    </row>
    <row r="249" spans="1:46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1507324</v>
      </c>
      <c r="G249" s="1">
        <v>0</v>
      </c>
      <c r="H249" s="1">
        <v>0</v>
      </c>
      <c r="I249" s="1">
        <v>1583647</v>
      </c>
      <c r="J249" s="1">
        <v>0</v>
      </c>
      <c r="K249" s="1">
        <v>366667</v>
      </c>
      <c r="L249" s="1">
        <v>0</v>
      </c>
      <c r="M249" s="1">
        <v>26667</v>
      </c>
      <c r="N249" s="1">
        <v>248477</v>
      </c>
      <c r="O249" s="1">
        <v>0</v>
      </c>
      <c r="P249" s="1">
        <v>0</v>
      </c>
      <c r="Q249" s="1">
        <v>0</v>
      </c>
      <c r="R249" s="1">
        <v>3885563</v>
      </c>
      <c r="S249" s="1">
        <v>0</v>
      </c>
      <c r="T249" s="1">
        <v>1270000</v>
      </c>
      <c r="U249" s="1">
        <v>0</v>
      </c>
      <c r="V249" s="1">
        <v>378316</v>
      </c>
      <c r="W249" s="1">
        <v>73333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177484</v>
      </c>
      <c r="AF249" s="1">
        <v>148169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266226</v>
      </c>
      <c r="AM249" s="1">
        <v>0</v>
      </c>
      <c r="AN249" s="1">
        <v>9931873</v>
      </c>
      <c r="AO249" s="1">
        <v>9931873</v>
      </c>
      <c r="AP249" s="1">
        <v>0</v>
      </c>
      <c r="AQ249" s="1">
        <v>925628</v>
      </c>
      <c r="AR249" s="1">
        <v>138844</v>
      </c>
      <c r="AS249" s="1">
        <v>0</v>
      </c>
      <c r="AT249" s="1">
        <f t="shared" si="17"/>
        <v>10996345</v>
      </c>
    </row>
    <row r="250" spans="1:46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11207511</v>
      </c>
      <c r="G250" s="1">
        <v>0</v>
      </c>
      <c r="H250" s="1">
        <v>0</v>
      </c>
      <c r="I250" s="1">
        <v>8046625</v>
      </c>
      <c r="J250" s="1">
        <v>0</v>
      </c>
      <c r="K250" s="1">
        <v>3465000</v>
      </c>
      <c r="L250" s="1">
        <v>0</v>
      </c>
      <c r="M250" s="1">
        <v>400000</v>
      </c>
      <c r="N250" s="1">
        <v>1984389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4651955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1417420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2154480</v>
      </c>
      <c r="AM250" s="1">
        <v>0</v>
      </c>
      <c r="AN250" s="1">
        <v>34427380</v>
      </c>
      <c r="AO250" s="1">
        <v>4119800</v>
      </c>
      <c r="AP250" s="1">
        <v>30307580</v>
      </c>
      <c r="AQ250" s="1">
        <v>6885476</v>
      </c>
      <c r="AR250" s="1">
        <v>1032821</v>
      </c>
      <c r="AS250" s="1">
        <v>0</v>
      </c>
      <c r="AT250" s="1">
        <f t="shared" si="17"/>
        <v>42345677</v>
      </c>
    </row>
    <row r="251" spans="1:46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15865713</v>
      </c>
      <c r="G251" s="1">
        <v>17137715</v>
      </c>
      <c r="H251" s="1">
        <v>0</v>
      </c>
      <c r="I251" s="1">
        <v>13402772</v>
      </c>
      <c r="J251" s="1">
        <v>0</v>
      </c>
      <c r="K251" s="1">
        <v>5500000</v>
      </c>
      <c r="L251" s="1">
        <v>0</v>
      </c>
      <c r="M251" s="1">
        <v>400000</v>
      </c>
      <c r="N251" s="1">
        <v>2798199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15193532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1998713</v>
      </c>
      <c r="AF251" s="1">
        <v>1111269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4157324</v>
      </c>
      <c r="AM251" s="1">
        <v>0</v>
      </c>
      <c r="AN251" s="1">
        <v>78665237</v>
      </c>
      <c r="AO251" s="1">
        <v>15853758</v>
      </c>
      <c r="AP251" s="1">
        <v>62811479</v>
      </c>
      <c r="AQ251" s="1">
        <v>15510794</v>
      </c>
      <c r="AR251" s="1">
        <v>2326619</v>
      </c>
      <c r="AS251" s="1">
        <v>0</v>
      </c>
      <c r="AT251" s="1">
        <f t="shared" si="17"/>
        <v>96502650</v>
      </c>
    </row>
    <row r="252" spans="1:46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17466840</v>
      </c>
      <c r="G252" s="1">
        <v>9942657</v>
      </c>
      <c r="H252" s="1">
        <v>0</v>
      </c>
      <c r="I252" s="1">
        <v>14198074</v>
      </c>
      <c r="J252" s="1">
        <v>0</v>
      </c>
      <c r="K252" s="1">
        <v>5500000</v>
      </c>
      <c r="L252" s="1">
        <v>0</v>
      </c>
      <c r="M252" s="1">
        <v>400000</v>
      </c>
      <c r="N252" s="1">
        <v>3047263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13300553</v>
      </c>
      <c r="W252" s="1">
        <v>1100000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2176616</v>
      </c>
      <c r="AF252" s="1">
        <v>2222538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4353232</v>
      </c>
      <c r="AM252" s="1">
        <v>0</v>
      </c>
      <c r="AN252" s="1">
        <v>73707773</v>
      </c>
      <c r="AO252" s="1">
        <v>18818892</v>
      </c>
      <c r="AP252" s="1">
        <v>54888881</v>
      </c>
      <c r="AQ252" s="1">
        <v>14297047</v>
      </c>
      <c r="AR252" s="1">
        <v>2144557</v>
      </c>
      <c r="AS252" s="1">
        <v>0</v>
      </c>
      <c r="AT252" s="1">
        <f t="shared" si="17"/>
        <v>90149377</v>
      </c>
    </row>
    <row r="253" spans="1:46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12983325</v>
      </c>
      <c r="G253" s="1">
        <v>3453160</v>
      </c>
      <c r="H253" s="1">
        <v>0</v>
      </c>
      <c r="I253" s="1">
        <v>12202944</v>
      </c>
      <c r="J253" s="1">
        <v>0</v>
      </c>
      <c r="K253" s="1">
        <v>4620000</v>
      </c>
      <c r="L253" s="1">
        <v>0</v>
      </c>
      <c r="M253" s="1">
        <v>400000</v>
      </c>
      <c r="N253" s="1">
        <v>2474918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1270000</v>
      </c>
      <c r="U253" s="1">
        <v>0</v>
      </c>
      <c r="V253" s="1">
        <v>13497216</v>
      </c>
      <c r="W253" s="1">
        <v>1100000</v>
      </c>
      <c r="X253" s="1">
        <v>1947499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1767799</v>
      </c>
      <c r="AF253" s="1">
        <v>1111269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9693378</v>
      </c>
      <c r="AM253" s="1">
        <v>0</v>
      </c>
      <c r="AN253" s="1">
        <v>66521508</v>
      </c>
      <c r="AO253" s="1">
        <v>11933584</v>
      </c>
      <c r="AP253" s="1">
        <v>54587924</v>
      </c>
      <c r="AQ253" s="1">
        <v>12828048</v>
      </c>
      <c r="AR253" s="1">
        <v>1924207</v>
      </c>
      <c r="AS253" s="1">
        <v>0</v>
      </c>
      <c r="AT253" s="1">
        <f t="shared" si="17"/>
        <v>81273763</v>
      </c>
    </row>
    <row r="254" spans="1:46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11171696</v>
      </c>
      <c r="G254" s="1">
        <v>0</v>
      </c>
      <c r="H254" s="1">
        <v>0</v>
      </c>
      <c r="I254" s="1">
        <v>8392479</v>
      </c>
      <c r="J254" s="1">
        <v>0</v>
      </c>
      <c r="K254" s="1">
        <v>3465000</v>
      </c>
      <c r="L254" s="1">
        <v>0</v>
      </c>
      <c r="M254" s="1">
        <v>400000</v>
      </c>
      <c r="N254" s="1">
        <v>1964642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2517744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1403315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2245304</v>
      </c>
      <c r="AM254" s="1">
        <v>0</v>
      </c>
      <c r="AN254" s="1">
        <v>32660180</v>
      </c>
      <c r="AO254" s="1">
        <v>6794390</v>
      </c>
      <c r="AP254" s="1">
        <v>25865790</v>
      </c>
      <c r="AQ254" s="1">
        <v>6532036</v>
      </c>
      <c r="AR254" s="1">
        <v>979805</v>
      </c>
      <c r="AS254" s="1">
        <v>0</v>
      </c>
      <c r="AT254" s="1">
        <f t="shared" si="17"/>
        <v>40172021</v>
      </c>
    </row>
    <row r="255" spans="1:46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11166626</v>
      </c>
      <c r="G255" s="1">
        <v>5737808</v>
      </c>
      <c r="H255" s="1">
        <v>0</v>
      </c>
      <c r="I255" s="1">
        <v>9100482</v>
      </c>
      <c r="J255" s="1">
        <v>0</v>
      </c>
      <c r="K255" s="1">
        <v>4620000</v>
      </c>
      <c r="L255" s="1">
        <v>0</v>
      </c>
      <c r="M255" s="1">
        <v>400000</v>
      </c>
      <c r="N255" s="1">
        <v>2020166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1270000</v>
      </c>
      <c r="U255" s="1">
        <v>0</v>
      </c>
      <c r="V255" s="1">
        <v>14475005</v>
      </c>
      <c r="W255" s="1">
        <v>1100000</v>
      </c>
      <c r="X255" s="1">
        <v>1674994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1442976</v>
      </c>
      <c r="AF255" s="1">
        <v>1111269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8082948</v>
      </c>
      <c r="AM255" s="1">
        <v>0</v>
      </c>
      <c r="AN255" s="1">
        <v>62202274</v>
      </c>
      <c r="AO255" s="1">
        <v>12446035</v>
      </c>
      <c r="AP255" s="1">
        <v>49756239</v>
      </c>
      <c r="AQ255" s="1">
        <v>11964201</v>
      </c>
      <c r="AR255" s="1">
        <v>1794630</v>
      </c>
      <c r="AS255" s="1">
        <v>0</v>
      </c>
      <c r="AT255" s="1">
        <f t="shared" si="17"/>
        <v>75961105</v>
      </c>
    </row>
    <row r="256" spans="1:46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15666177</v>
      </c>
      <c r="G256" s="1">
        <v>8720307</v>
      </c>
      <c r="H256" s="1">
        <v>0</v>
      </c>
      <c r="I256" s="1">
        <v>11976593</v>
      </c>
      <c r="J256" s="1">
        <v>0</v>
      </c>
      <c r="K256" s="1">
        <v>5500000</v>
      </c>
      <c r="L256" s="1">
        <v>0</v>
      </c>
      <c r="M256" s="1">
        <v>400000</v>
      </c>
      <c r="N256" s="1">
        <v>2713760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1270000</v>
      </c>
      <c r="U256" s="1">
        <v>0</v>
      </c>
      <c r="V256" s="1">
        <v>11665384</v>
      </c>
      <c r="W256" s="1">
        <v>1100000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1938400</v>
      </c>
      <c r="AF256" s="1">
        <v>1111269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3876801</v>
      </c>
      <c r="AM256" s="1">
        <v>0</v>
      </c>
      <c r="AN256" s="1">
        <v>65938691</v>
      </c>
      <c r="AO256" s="1">
        <v>14904018</v>
      </c>
      <c r="AP256" s="1">
        <v>51034673</v>
      </c>
      <c r="AQ256" s="1">
        <v>12711484</v>
      </c>
      <c r="AR256" s="1">
        <v>1906723</v>
      </c>
      <c r="AS256" s="1">
        <v>0</v>
      </c>
      <c r="AT256" s="1">
        <f t="shared" si="17"/>
        <v>80556898</v>
      </c>
    </row>
    <row r="257" spans="1:46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11651783</v>
      </c>
      <c r="G257" s="1">
        <v>7641703</v>
      </c>
      <c r="H257" s="1">
        <v>0</v>
      </c>
      <c r="I257" s="1">
        <v>10306997</v>
      </c>
      <c r="J257" s="1">
        <v>0</v>
      </c>
      <c r="K257" s="1">
        <v>4620000</v>
      </c>
      <c r="L257" s="1">
        <v>0</v>
      </c>
      <c r="M257" s="1">
        <v>400000</v>
      </c>
      <c r="N257" s="1">
        <v>2170511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1270000</v>
      </c>
      <c r="U257" s="1">
        <v>0</v>
      </c>
      <c r="V257" s="1">
        <v>7907867</v>
      </c>
      <c r="W257" s="1">
        <v>1100000</v>
      </c>
      <c r="X257" s="1">
        <v>1747767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1550365</v>
      </c>
      <c r="AF257" s="1">
        <v>2222538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8332674</v>
      </c>
      <c r="AM257" s="1">
        <v>0</v>
      </c>
      <c r="AN257" s="1">
        <v>60922205</v>
      </c>
      <c r="AO257" s="1">
        <v>13553335</v>
      </c>
      <c r="AP257" s="1">
        <v>47368870</v>
      </c>
      <c r="AQ257" s="1">
        <v>11485933</v>
      </c>
      <c r="AR257" s="1">
        <v>1722890</v>
      </c>
      <c r="AS257" s="1">
        <v>0</v>
      </c>
      <c r="AT257" s="1">
        <f t="shared" si="17"/>
        <v>74131028</v>
      </c>
    </row>
    <row r="258" spans="1:46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12106894</v>
      </c>
      <c r="G258" s="1">
        <v>3968892</v>
      </c>
      <c r="H258" s="1">
        <v>0</v>
      </c>
      <c r="I258" s="1">
        <v>11347692</v>
      </c>
      <c r="J258" s="1">
        <v>0</v>
      </c>
      <c r="K258" s="1">
        <v>4620000</v>
      </c>
      <c r="L258" s="1">
        <v>0</v>
      </c>
      <c r="M258" s="1">
        <v>400000</v>
      </c>
      <c r="N258" s="1">
        <v>2345143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1270000</v>
      </c>
      <c r="U258" s="1">
        <v>0</v>
      </c>
      <c r="V258" s="1">
        <v>8556522</v>
      </c>
      <c r="W258" s="1">
        <v>1100000</v>
      </c>
      <c r="X258" s="1">
        <v>1816034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1675102</v>
      </c>
      <c r="AF258" s="1">
        <v>1111269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9327414</v>
      </c>
      <c r="AM258" s="1">
        <v>0</v>
      </c>
      <c r="AN258" s="1">
        <v>59644962</v>
      </c>
      <c r="AO258" s="1">
        <v>11211496</v>
      </c>
      <c r="AP258" s="1">
        <v>48433466</v>
      </c>
      <c r="AQ258" s="1">
        <v>11452739</v>
      </c>
      <c r="AR258" s="1">
        <v>1717911</v>
      </c>
      <c r="AS258" s="1">
        <v>0</v>
      </c>
      <c r="AT258" s="1">
        <f t="shared" si="17"/>
        <v>72815612</v>
      </c>
    </row>
    <row r="259" spans="1:46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10944510</v>
      </c>
      <c r="G259" s="1">
        <v>5602320</v>
      </c>
      <c r="H259" s="1">
        <v>0</v>
      </c>
      <c r="I259" s="1">
        <v>9026624</v>
      </c>
      <c r="J259" s="1">
        <v>0</v>
      </c>
      <c r="K259" s="1">
        <v>4620000</v>
      </c>
      <c r="L259" s="1">
        <v>0</v>
      </c>
      <c r="M259" s="1">
        <v>400000</v>
      </c>
      <c r="N259" s="1">
        <v>1937560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1270000</v>
      </c>
      <c r="U259" s="1">
        <v>0</v>
      </c>
      <c r="V259" s="1">
        <v>14079739</v>
      </c>
      <c r="W259" s="1">
        <v>1100000</v>
      </c>
      <c r="X259" s="1">
        <v>1641677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1383971</v>
      </c>
      <c r="AF259" s="1">
        <v>1111269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7822779</v>
      </c>
      <c r="AM259" s="1">
        <v>0</v>
      </c>
      <c r="AN259" s="1">
        <v>60940449</v>
      </c>
      <c r="AO259" s="1">
        <v>12203179</v>
      </c>
      <c r="AP259" s="1">
        <v>48737270</v>
      </c>
      <c r="AQ259" s="1">
        <v>11711836</v>
      </c>
      <c r="AR259" s="1">
        <v>1756775</v>
      </c>
      <c r="AS259" s="1">
        <v>0</v>
      </c>
      <c r="AT259" s="1">
        <f t="shared" ref="AT259:AT322" si="26">AS259+AR259+AQ259+AN259</f>
        <v>74409060</v>
      </c>
    </row>
    <row r="260" spans="1:46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12859794</v>
      </c>
      <c r="G260" s="1">
        <v>7685295</v>
      </c>
      <c r="H260" s="1">
        <v>0</v>
      </c>
      <c r="I260" s="1">
        <v>10958531</v>
      </c>
      <c r="J260" s="1">
        <v>0</v>
      </c>
      <c r="K260" s="1">
        <v>4620000</v>
      </c>
      <c r="L260" s="1">
        <v>0</v>
      </c>
      <c r="M260" s="1">
        <v>400000</v>
      </c>
      <c r="N260" s="1">
        <v>2410576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1270000</v>
      </c>
      <c r="U260" s="1">
        <v>0</v>
      </c>
      <c r="V260" s="1">
        <v>8644540</v>
      </c>
      <c r="W260" s="1">
        <v>1100000</v>
      </c>
      <c r="X260" s="1">
        <v>1928969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1721839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9230079</v>
      </c>
      <c r="AM260" s="1">
        <v>0</v>
      </c>
      <c r="AN260" s="1">
        <v>62829623</v>
      </c>
      <c r="AO260" s="1">
        <v>12618130</v>
      </c>
      <c r="AP260" s="1">
        <v>50211493</v>
      </c>
      <c r="AQ260" s="1">
        <v>12311925</v>
      </c>
      <c r="AR260" s="1">
        <v>1846789</v>
      </c>
      <c r="AS260" s="1">
        <v>0</v>
      </c>
      <c r="AT260" s="1">
        <f t="shared" si="26"/>
        <v>76988337</v>
      </c>
    </row>
    <row r="261" spans="1:46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13017057</v>
      </c>
      <c r="G261" s="1">
        <v>25359522</v>
      </c>
      <c r="H261" s="1">
        <v>0</v>
      </c>
      <c r="I261" s="1">
        <v>11402046</v>
      </c>
      <c r="J261" s="1">
        <v>0</v>
      </c>
      <c r="K261" s="1">
        <v>4620000</v>
      </c>
      <c r="L261" s="1">
        <v>0</v>
      </c>
      <c r="M261" s="1">
        <v>400000</v>
      </c>
      <c r="N261" s="1">
        <v>2474723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1270000</v>
      </c>
      <c r="U261" s="1">
        <v>0</v>
      </c>
      <c r="V261" s="1">
        <v>9065511</v>
      </c>
      <c r="W261" s="1">
        <v>1100000</v>
      </c>
      <c r="X261" s="1">
        <v>1952559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1767659</v>
      </c>
      <c r="AF261" s="1">
        <v>2222538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9915158</v>
      </c>
      <c r="AM261" s="1">
        <v>0</v>
      </c>
      <c r="AN261" s="1">
        <v>84566773</v>
      </c>
      <c r="AO261" s="1">
        <v>11760215</v>
      </c>
      <c r="AP261" s="1">
        <v>72806558</v>
      </c>
      <c r="AQ261" s="1">
        <v>15557766</v>
      </c>
      <c r="AR261" s="1">
        <v>2333665</v>
      </c>
      <c r="AS261" s="1">
        <v>0</v>
      </c>
      <c r="AT261" s="1">
        <f t="shared" si="26"/>
        <v>102458204</v>
      </c>
    </row>
    <row r="262" spans="1:46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15729141</v>
      </c>
      <c r="G262" s="1">
        <v>9878911</v>
      </c>
      <c r="H262" s="1">
        <v>0</v>
      </c>
      <c r="I262" s="1">
        <v>14867808</v>
      </c>
      <c r="J262" s="1">
        <v>0</v>
      </c>
      <c r="K262" s="1">
        <v>5500000</v>
      </c>
      <c r="L262" s="1">
        <v>0</v>
      </c>
      <c r="M262" s="1">
        <v>400000</v>
      </c>
      <c r="N262" s="1">
        <v>2750398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10834449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2425950</v>
      </c>
      <c r="AD262" s="1">
        <v>0</v>
      </c>
      <c r="AE262" s="1">
        <v>1964570</v>
      </c>
      <c r="AF262" s="1">
        <v>1111269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3536226</v>
      </c>
      <c r="AM262" s="1">
        <v>0</v>
      </c>
      <c r="AN262" s="1">
        <v>70098722</v>
      </c>
      <c r="AO262" s="1">
        <v>15943162</v>
      </c>
      <c r="AP262" s="1">
        <v>54155560</v>
      </c>
      <c r="AQ262" s="1">
        <v>13797491</v>
      </c>
      <c r="AR262" s="1">
        <v>2069624</v>
      </c>
      <c r="AS262" s="1">
        <v>0</v>
      </c>
      <c r="AT262" s="1">
        <f t="shared" si="26"/>
        <v>85965837</v>
      </c>
    </row>
    <row r="263" spans="1:46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13319364</v>
      </c>
      <c r="G263" s="1">
        <v>17499497</v>
      </c>
      <c r="H263" s="1">
        <v>0</v>
      </c>
      <c r="I263" s="1">
        <v>12511124</v>
      </c>
      <c r="J263" s="1">
        <v>0</v>
      </c>
      <c r="K263" s="1">
        <v>4620000</v>
      </c>
      <c r="L263" s="1">
        <v>0</v>
      </c>
      <c r="M263" s="1">
        <v>400000</v>
      </c>
      <c r="N263" s="1">
        <v>2592532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1270000</v>
      </c>
      <c r="U263" s="1">
        <v>0</v>
      </c>
      <c r="V263" s="1">
        <v>9431778</v>
      </c>
      <c r="W263" s="1">
        <v>1100000</v>
      </c>
      <c r="X263" s="1">
        <v>1997905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1851808</v>
      </c>
      <c r="AF263" s="1">
        <v>1111269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10291958</v>
      </c>
      <c r="AM263" s="1">
        <v>0</v>
      </c>
      <c r="AN263" s="1">
        <v>77997235</v>
      </c>
      <c r="AO263" s="1">
        <v>18651173</v>
      </c>
      <c r="AP263" s="1">
        <v>59346062</v>
      </c>
      <c r="AQ263" s="1">
        <v>15123193</v>
      </c>
      <c r="AR263" s="1">
        <v>2268479</v>
      </c>
      <c r="AS263" s="1">
        <v>0</v>
      </c>
      <c r="AT263" s="1">
        <f t="shared" si="26"/>
        <v>95388907</v>
      </c>
    </row>
    <row r="264" spans="1:46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16158624</v>
      </c>
      <c r="G264" s="1">
        <v>7350424</v>
      </c>
      <c r="H264" s="1">
        <v>0</v>
      </c>
      <c r="I264" s="1">
        <v>12306084</v>
      </c>
      <c r="J264" s="1">
        <v>0</v>
      </c>
      <c r="K264" s="1">
        <v>5500000</v>
      </c>
      <c r="L264" s="1">
        <v>0</v>
      </c>
      <c r="M264" s="1">
        <v>400000</v>
      </c>
      <c r="N264" s="1">
        <v>2900717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15888833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2071941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3729494</v>
      </c>
      <c r="AM264" s="1">
        <v>0</v>
      </c>
      <c r="AN264" s="1">
        <v>67406117</v>
      </c>
      <c r="AO264" s="1">
        <v>13219497</v>
      </c>
      <c r="AP264" s="1">
        <v>54186620</v>
      </c>
      <c r="AQ264" s="1">
        <v>13481223</v>
      </c>
      <c r="AR264" s="1">
        <v>2022184</v>
      </c>
      <c r="AS264" s="1">
        <v>0</v>
      </c>
      <c r="AT264" s="1">
        <f t="shared" si="26"/>
        <v>82909524</v>
      </c>
    </row>
    <row r="265" spans="1:46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16022052</v>
      </c>
      <c r="G265" s="1">
        <v>10901640</v>
      </c>
      <c r="H265" s="1">
        <v>0</v>
      </c>
      <c r="I265" s="1">
        <v>13675845</v>
      </c>
      <c r="J265" s="1">
        <v>0</v>
      </c>
      <c r="K265" s="1">
        <v>5500000</v>
      </c>
      <c r="L265" s="1">
        <v>0</v>
      </c>
      <c r="M265" s="1">
        <v>400000</v>
      </c>
      <c r="N265" s="1">
        <v>2852917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13916463</v>
      </c>
      <c r="W265" s="1">
        <v>1100000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2037798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4890715</v>
      </c>
      <c r="AM265" s="1">
        <v>0</v>
      </c>
      <c r="AN265" s="1">
        <v>71297430</v>
      </c>
      <c r="AO265" s="1">
        <v>16386457</v>
      </c>
      <c r="AP265" s="1">
        <v>54910973</v>
      </c>
      <c r="AQ265" s="1">
        <v>14259486</v>
      </c>
      <c r="AR265" s="1">
        <v>2138923</v>
      </c>
      <c r="AS265" s="1">
        <v>0</v>
      </c>
      <c r="AT265" s="1">
        <f t="shared" si="26"/>
        <v>87695839</v>
      </c>
    </row>
    <row r="266" spans="1:46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12611534</v>
      </c>
      <c r="G266" s="1">
        <v>9253216</v>
      </c>
      <c r="H266" s="1">
        <v>0</v>
      </c>
      <c r="I266" s="1">
        <v>11234781</v>
      </c>
      <c r="J266" s="1">
        <v>0</v>
      </c>
      <c r="K266" s="1">
        <v>0</v>
      </c>
      <c r="L266" s="1">
        <v>0</v>
      </c>
      <c r="M266" s="1">
        <v>400000</v>
      </c>
      <c r="N266" s="1">
        <v>2321202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1270000</v>
      </c>
      <c r="U266" s="1">
        <v>0</v>
      </c>
      <c r="V266" s="1">
        <v>12058114</v>
      </c>
      <c r="W266" s="1">
        <v>1100000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1658001</v>
      </c>
      <c r="AF266" s="1">
        <v>1111269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5438244</v>
      </c>
      <c r="AM266" s="1">
        <v>0</v>
      </c>
      <c r="AN266" s="1">
        <v>58456361</v>
      </c>
      <c r="AO266" s="1">
        <v>18116121</v>
      </c>
      <c r="AP266" s="1">
        <v>40340240</v>
      </c>
      <c r="AQ266" s="1">
        <v>11215018</v>
      </c>
      <c r="AR266" s="1">
        <v>1682253</v>
      </c>
      <c r="AS266" s="1">
        <v>0</v>
      </c>
      <c r="AT266" s="1">
        <f t="shared" si="26"/>
        <v>71353632</v>
      </c>
    </row>
    <row r="267" spans="1:46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15511704</v>
      </c>
      <c r="G267" s="1">
        <v>16392763</v>
      </c>
      <c r="H267" s="1">
        <v>0</v>
      </c>
      <c r="I267" s="1">
        <v>12275419</v>
      </c>
      <c r="J267" s="1">
        <v>0</v>
      </c>
      <c r="K267" s="1">
        <v>5500000</v>
      </c>
      <c r="L267" s="1">
        <v>0</v>
      </c>
      <c r="M267" s="1">
        <v>400000</v>
      </c>
      <c r="N267" s="1">
        <v>2674295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15743350</v>
      </c>
      <c r="W267" s="1">
        <v>1100000</v>
      </c>
      <c r="X267" s="1">
        <v>2326756</v>
      </c>
      <c r="Y267" s="1">
        <v>0</v>
      </c>
      <c r="Z267" s="1">
        <v>0</v>
      </c>
      <c r="AA267" s="1">
        <v>0</v>
      </c>
      <c r="AB267" s="1">
        <v>0</v>
      </c>
      <c r="AC267" s="1">
        <v>3180690</v>
      </c>
      <c r="AD267" s="1">
        <v>0</v>
      </c>
      <c r="AE267" s="1">
        <v>1910211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14826400</v>
      </c>
      <c r="AM267" s="1">
        <v>0</v>
      </c>
      <c r="AN267" s="1">
        <v>91841588</v>
      </c>
      <c r="AO267" s="1">
        <v>19488116</v>
      </c>
      <c r="AP267" s="1">
        <v>72353472</v>
      </c>
      <c r="AQ267" s="1">
        <v>15557766</v>
      </c>
      <c r="AR267" s="1">
        <v>2333665</v>
      </c>
      <c r="AS267" s="1">
        <v>0</v>
      </c>
      <c r="AT267" s="1">
        <f t="shared" si="26"/>
        <v>109733019</v>
      </c>
    </row>
    <row r="268" spans="1:46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11123817</v>
      </c>
      <c r="G268" s="1">
        <v>3040392</v>
      </c>
      <c r="H268" s="1">
        <v>0</v>
      </c>
      <c r="I268" s="1">
        <v>9244746</v>
      </c>
      <c r="J268" s="1">
        <v>0</v>
      </c>
      <c r="K268" s="1">
        <v>4620000</v>
      </c>
      <c r="L268" s="1">
        <v>0</v>
      </c>
      <c r="M268" s="1">
        <v>400000</v>
      </c>
      <c r="N268" s="1">
        <v>2005369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1270000</v>
      </c>
      <c r="U268" s="1">
        <v>0</v>
      </c>
      <c r="V268" s="1">
        <v>14488008</v>
      </c>
      <c r="W268" s="1">
        <v>1100000</v>
      </c>
      <c r="X268" s="1">
        <v>1668573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1432407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8035437</v>
      </c>
      <c r="AM268" s="1">
        <v>0</v>
      </c>
      <c r="AN268" s="1">
        <v>58428749</v>
      </c>
      <c r="AO268" s="1">
        <v>12634158</v>
      </c>
      <c r="AP268" s="1">
        <v>45794591</v>
      </c>
      <c r="AQ268" s="1">
        <v>11431750</v>
      </c>
      <c r="AR268" s="1">
        <v>1714762</v>
      </c>
      <c r="AS268" s="1">
        <v>0</v>
      </c>
      <c r="AT268" s="1">
        <f t="shared" si="26"/>
        <v>71575261</v>
      </c>
    </row>
    <row r="269" spans="1:46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13089826</v>
      </c>
      <c r="G269" s="1">
        <v>2812054</v>
      </c>
      <c r="H269" s="1">
        <v>0</v>
      </c>
      <c r="I269" s="1">
        <v>11360179</v>
      </c>
      <c r="J269" s="1">
        <v>0</v>
      </c>
      <c r="K269" s="1">
        <v>4620000</v>
      </c>
      <c r="L269" s="1">
        <v>0</v>
      </c>
      <c r="M269" s="1">
        <v>400000</v>
      </c>
      <c r="N269" s="1">
        <v>2455496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7274999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1753926</v>
      </c>
      <c r="AF269" s="1">
        <v>2222538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2630889</v>
      </c>
      <c r="AM269" s="1">
        <v>0</v>
      </c>
      <c r="AN269" s="1">
        <v>49719907</v>
      </c>
      <c r="AO269" s="1">
        <v>10502709</v>
      </c>
      <c r="AP269" s="1">
        <v>39217198</v>
      </c>
      <c r="AQ269" s="1">
        <v>9499474</v>
      </c>
      <c r="AR269" s="1">
        <v>1424921</v>
      </c>
      <c r="AS269" s="1">
        <v>0</v>
      </c>
      <c r="AT269" s="1">
        <f t="shared" si="26"/>
        <v>60644302</v>
      </c>
    </row>
    <row r="270" spans="1:46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16664379</v>
      </c>
      <c r="G270" s="1">
        <v>1603524</v>
      </c>
      <c r="H270" s="1">
        <v>0</v>
      </c>
      <c r="I270" s="1">
        <v>12226321</v>
      </c>
      <c r="J270" s="1">
        <v>950000</v>
      </c>
      <c r="K270" s="1">
        <v>4125000</v>
      </c>
      <c r="L270" s="1">
        <v>0</v>
      </c>
      <c r="M270" s="1">
        <v>400000</v>
      </c>
      <c r="N270" s="1">
        <v>3037512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6630040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2169651</v>
      </c>
      <c r="AF270" s="1">
        <v>1111269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3254477</v>
      </c>
      <c r="AM270" s="1">
        <v>0</v>
      </c>
      <c r="AN270" s="1">
        <v>53272173</v>
      </c>
      <c r="AO270" s="1">
        <v>10078177</v>
      </c>
      <c r="AP270" s="1">
        <v>43193996</v>
      </c>
      <c r="AQ270" s="1">
        <v>10242181</v>
      </c>
      <c r="AR270" s="1">
        <v>1536327</v>
      </c>
      <c r="AS270" s="1">
        <v>0</v>
      </c>
      <c r="AT270" s="1">
        <f t="shared" si="26"/>
        <v>65050681</v>
      </c>
    </row>
    <row r="271" spans="1:46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15027654</v>
      </c>
      <c r="G271" s="1">
        <v>0</v>
      </c>
      <c r="H271" s="1">
        <v>0</v>
      </c>
      <c r="I271" s="1">
        <v>15269847</v>
      </c>
      <c r="J271" s="1">
        <v>0</v>
      </c>
      <c r="K271" s="1">
        <v>5500000</v>
      </c>
      <c r="L271" s="1">
        <v>0</v>
      </c>
      <c r="M271" s="1">
        <v>400000</v>
      </c>
      <c r="N271" s="1">
        <v>2492757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9097489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1780540</v>
      </c>
      <c r="AF271" s="1">
        <v>1111269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4558184</v>
      </c>
      <c r="AM271" s="1">
        <v>0</v>
      </c>
      <c r="AN271" s="1">
        <v>56337740</v>
      </c>
      <c r="AO271" s="1">
        <v>14672411</v>
      </c>
      <c r="AP271" s="1">
        <v>41665329</v>
      </c>
      <c r="AQ271" s="1">
        <v>11045294</v>
      </c>
      <c r="AR271" s="1">
        <v>1656794</v>
      </c>
      <c r="AS271" s="1">
        <v>0</v>
      </c>
      <c r="AT271" s="1">
        <f t="shared" si="26"/>
        <v>69039828</v>
      </c>
    </row>
    <row r="272" spans="1:46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3" si="28">"پروژه بهره برداري نيروگاه بوشهر"</f>
        <v>پروژه بهره برداري نيروگاه بوشهر</v>
      </c>
      <c r="F272" s="1">
        <v>12822945</v>
      </c>
      <c r="G272" s="1">
        <v>7412692</v>
      </c>
      <c r="H272" s="1">
        <v>0</v>
      </c>
      <c r="I272" s="1">
        <v>11418974</v>
      </c>
      <c r="J272" s="1">
        <v>0</v>
      </c>
      <c r="K272" s="1">
        <v>4620000</v>
      </c>
      <c r="L272" s="1">
        <v>0</v>
      </c>
      <c r="M272" s="1">
        <v>400000</v>
      </c>
      <c r="N272" s="1">
        <v>2399541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1270000</v>
      </c>
      <c r="U272" s="1">
        <v>0</v>
      </c>
      <c r="V272" s="1">
        <v>12231791</v>
      </c>
      <c r="W272" s="1">
        <v>1100000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1713958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5621782</v>
      </c>
      <c r="AM272" s="1">
        <v>0</v>
      </c>
      <c r="AN272" s="1">
        <v>61011683</v>
      </c>
      <c r="AO272" s="1">
        <v>11237500</v>
      </c>
      <c r="AP272" s="1">
        <v>49774183</v>
      </c>
      <c r="AQ272" s="1">
        <v>11948337</v>
      </c>
      <c r="AR272" s="1">
        <v>1792250</v>
      </c>
      <c r="AS272" s="1">
        <v>0</v>
      </c>
      <c r="AT272" s="1">
        <f t="shared" si="26"/>
        <v>74752270</v>
      </c>
    </row>
    <row r="273" spans="1:46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11888669</v>
      </c>
      <c r="G273" s="1">
        <v>2783931</v>
      </c>
      <c r="H273" s="1">
        <v>0</v>
      </c>
      <c r="I273" s="1">
        <v>10779686</v>
      </c>
      <c r="J273" s="1">
        <v>0</v>
      </c>
      <c r="K273" s="1">
        <v>4620000</v>
      </c>
      <c r="L273" s="1">
        <v>0</v>
      </c>
      <c r="M273" s="1">
        <v>400000</v>
      </c>
      <c r="N273" s="1">
        <v>2279430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1270000</v>
      </c>
      <c r="U273" s="1">
        <v>0</v>
      </c>
      <c r="V273" s="1">
        <v>12241610</v>
      </c>
      <c r="W273" s="1">
        <v>1100000</v>
      </c>
      <c r="X273" s="1">
        <v>1783300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1628164</v>
      </c>
      <c r="AF273" s="1">
        <v>1111269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8906979</v>
      </c>
      <c r="AM273" s="1">
        <v>0</v>
      </c>
      <c r="AN273" s="1">
        <v>60793038</v>
      </c>
      <c r="AO273" s="1">
        <v>11377715</v>
      </c>
      <c r="AP273" s="1">
        <v>49415323</v>
      </c>
      <c r="AQ273" s="1">
        <v>11682354</v>
      </c>
      <c r="AR273" s="1">
        <v>1752353</v>
      </c>
      <c r="AS273" s="1">
        <v>0</v>
      </c>
      <c r="AT273" s="1">
        <f t="shared" si="26"/>
        <v>74227745</v>
      </c>
    </row>
    <row r="274" spans="1:46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12311774</v>
      </c>
      <c r="G274" s="1">
        <v>538908</v>
      </c>
      <c r="H274" s="1">
        <v>0</v>
      </c>
      <c r="I274" s="1">
        <v>10192141</v>
      </c>
      <c r="J274" s="1">
        <v>0</v>
      </c>
      <c r="K274" s="1">
        <v>4620000</v>
      </c>
      <c r="L274" s="1">
        <v>0</v>
      </c>
      <c r="M274" s="1">
        <v>400000</v>
      </c>
      <c r="N274" s="1">
        <v>2379616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6970979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1699725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3399450</v>
      </c>
      <c r="AM274" s="1">
        <v>0</v>
      </c>
      <c r="AN274" s="1">
        <v>43612593</v>
      </c>
      <c r="AO274" s="1">
        <v>13399284</v>
      </c>
      <c r="AP274" s="1">
        <v>30213309</v>
      </c>
      <c r="AQ274" s="1">
        <v>8722519</v>
      </c>
      <c r="AR274" s="1">
        <v>1308378</v>
      </c>
      <c r="AS274" s="1">
        <v>0</v>
      </c>
      <c r="AT274" s="1">
        <f t="shared" si="26"/>
        <v>53643490</v>
      </c>
    </row>
    <row r="275" spans="1:46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15623361</v>
      </c>
      <c r="G275" s="1">
        <v>8686341</v>
      </c>
      <c r="H275" s="1">
        <v>0</v>
      </c>
      <c r="I275" s="1">
        <v>11929944</v>
      </c>
      <c r="J275" s="1">
        <v>0</v>
      </c>
      <c r="K275" s="1">
        <v>5500000</v>
      </c>
      <c r="L275" s="1">
        <v>0</v>
      </c>
      <c r="M275" s="1">
        <v>400000</v>
      </c>
      <c r="N275" s="1">
        <v>2697398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1270000</v>
      </c>
      <c r="U275" s="1">
        <v>0</v>
      </c>
      <c r="V275" s="1">
        <v>11619946</v>
      </c>
      <c r="W275" s="1">
        <v>1100000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1926712</v>
      </c>
      <c r="AF275" s="1">
        <v>1111269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3853425</v>
      </c>
      <c r="AM275" s="1">
        <v>0</v>
      </c>
      <c r="AN275" s="1">
        <v>65718396</v>
      </c>
      <c r="AO275" s="1">
        <v>13116827</v>
      </c>
      <c r="AP275" s="1">
        <v>52601569</v>
      </c>
      <c r="AQ275" s="1">
        <v>12667425</v>
      </c>
      <c r="AR275" s="1">
        <v>1900114</v>
      </c>
      <c r="AS275" s="1">
        <v>0</v>
      </c>
      <c r="AT275" s="1">
        <f t="shared" si="26"/>
        <v>80285935</v>
      </c>
    </row>
    <row r="276" spans="1:46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11735642</v>
      </c>
      <c r="G276" s="1">
        <v>2149866</v>
      </c>
      <c r="H276" s="1">
        <v>0</v>
      </c>
      <c r="I276" s="1">
        <v>10376665</v>
      </c>
      <c r="J276" s="1">
        <v>0</v>
      </c>
      <c r="K276" s="1">
        <v>4620000</v>
      </c>
      <c r="L276" s="1">
        <v>0</v>
      </c>
      <c r="M276" s="1">
        <v>400000</v>
      </c>
      <c r="N276" s="1">
        <v>2232419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1270000</v>
      </c>
      <c r="U276" s="1">
        <v>0</v>
      </c>
      <c r="V276" s="1">
        <v>14896036</v>
      </c>
      <c r="W276" s="1">
        <v>1100000</v>
      </c>
      <c r="X276" s="1">
        <v>1760346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1594586</v>
      </c>
      <c r="AF276" s="1">
        <v>1111269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8304448</v>
      </c>
      <c r="AM276" s="1">
        <v>0</v>
      </c>
      <c r="AN276" s="1">
        <v>61551277</v>
      </c>
      <c r="AO276" s="1">
        <v>14052836</v>
      </c>
      <c r="AP276" s="1">
        <v>47498441</v>
      </c>
      <c r="AQ276" s="1">
        <v>11834002</v>
      </c>
      <c r="AR276" s="1">
        <v>1775100</v>
      </c>
      <c r="AS276" s="1">
        <v>0</v>
      </c>
      <c r="AT276" s="1">
        <f t="shared" si="26"/>
        <v>75160379</v>
      </c>
    </row>
    <row r="277" spans="1:46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16031037</v>
      </c>
      <c r="G277" s="1">
        <v>21687457</v>
      </c>
      <c r="H277" s="1">
        <v>0</v>
      </c>
      <c r="I277" s="1">
        <v>13340331</v>
      </c>
      <c r="J277" s="1">
        <v>0</v>
      </c>
      <c r="K277" s="1">
        <v>5500000</v>
      </c>
      <c r="L277" s="1">
        <v>0</v>
      </c>
      <c r="M277" s="1">
        <v>400000</v>
      </c>
      <c r="N277" s="1">
        <v>2856062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16468880</v>
      </c>
      <c r="W277" s="1">
        <v>1100000</v>
      </c>
      <c r="X277" s="1">
        <v>2404656</v>
      </c>
      <c r="Y277" s="1">
        <v>0</v>
      </c>
      <c r="Z277" s="1">
        <v>0</v>
      </c>
      <c r="AA277" s="1">
        <v>0</v>
      </c>
      <c r="AB277" s="1">
        <v>0</v>
      </c>
      <c r="AC277" s="1">
        <v>3180690</v>
      </c>
      <c r="AD277" s="1">
        <v>0</v>
      </c>
      <c r="AE277" s="1">
        <v>2040044</v>
      </c>
      <c r="AF277" s="1">
        <v>1111269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15252253</v>
      </c>
      <c r="AM277" s="1">
        <v>0</v>
      </c>
      <c r="AN277" s="1">
        <v>101372679</v>
      </c>
      <c r="AO277" s="1">
        <v>21735468</v>
      </c>
      <c r="AP277" s="1">
        <v>79637211</v>
      </c>
      <c r="AQ277" s="1">
        <v>15557766</v>
      </c>
      <c r="AR277" s="1">
        <v>2333665</v>
      </c>
      <c r="AS277" s="1">
        <v>0</v>
      </c>
      <c r="AT277" s="1">
        <f t="shared" si="26"/>
        <v>119264110</v>
      </c>
    </row>
    <row r="278" spans="1:46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11827154</v>
      </c>
      <c r="G278" s="1">
        <v>8109756</v>
      </c>
      <c r="H278" s="1">
        <v>0</v>
      </c>
      <c r="I278" s="1">
        <v>8607850</v>
      </c>
      <c r="J278" s="1">
        <v>0</v>
      </c>
      <c r="K278" s="1">
        <v>3465000</v>
      </c>
      <c r="L278" s="1">
        <v>0</v>
      </c>
      <c r="M278" s="1">
        <v>400000</v>
      </c>
      <c r="N278" s="1">
        <v>2191849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6170752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1565606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2348410</v>
      </c>
      <c r="AM278" s="1">
        <v>0</v>
      </c>
      <c r="AN278" s="1">
        <v>45786377</v>
      </c>
      <c r="AO278" s="1">
        <v>11813569</v>
      </c>
      <c r="AP278" s="1">
        <v>33972808</v>
      </c>
      <c r="AQ278" s="1">
        <v>9157275</v>
      </c>
      <c r="AR278" s="1">
        <v>1373591</v>
      </c>
      <c r="AS278" s="1">
        <v>0</v>
      </c>
      <c r="AT278" s="1">
        <f t="shared" si="26"/>
        <v>56317243</v>
      </c>
    </row>
    <row r="279" spans="1:46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12111623</v>
      </c>
      <c r="G279" s="1">
        <v>3507179</v>
      </c>
      <c r="H279" s="1">
        <v>0</v>
      </c>
      <c r="I279" s="1">
        <v>10507950</v>
      </c>
      <c r="J279" s="1">
        <v>0</v>
      </c>
      <c r="K279" s="1">
        <v>4620000</v>
      </c>
      <c r="L279" s="1">
        <v>0</v>
      </c>
      <c r="M279" s="1">
        <v>400000</v>
      </c>
      <c r="N279" s="1">
        <v>2339501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1270000</v>
      </c>
      <c r="U279" s="1">
        <v>0</v>
      </c>
      <c r="V279" s="1">
        <v>8248491</v>
      </c>
      <c r="W279" s="1">
        <v>1100000</v>
      </c>
      <c r="X279" s="1">
        <v>1816743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1671072</v>
      </c>
      <c r="AF279" s="1">
        <v>1111269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8847231</v>
      </c>
      <c r="AM279" s="1">
        <v>0</v>
      </c>
      <c r="AN279" s="1">
        <v>57551059</v>
      </c>
      <c r="AO279" s="1">
        <v>11274181</v>
      </c>
      <c r="AP279" s="1">
        <v>46276878</v>
      </c>
      <c r="AQ279" s="1">
        <v>11033958</v>
      </c>
      <c r="AR279" s="1">
        <v>1655094</v>
      </c>
      <c r="AS279" s="1">
        <v>0</v>
      </c>
      <c r="AT279" s="1">
        <f t="shared" si="26"/>
        <v>70240111</v>
      </c>
    </row>
    <row r="280" spans="1:46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12310151</v>
      </c>
      <c r="G280" s="1">
        <v>0</v>
      </c>
      <c r="H280" s="1">
        <v>0</v>
      </c>
      <c r="I280" s="1">
        <v>10615353</v>
      </c>
      <c r="J280" s="1">
        <v>0</v>
      </c>
      <c r="K280" s="1">
        <v>3465000</v>
      </c>
      <c r="L280" s="1">
        <v>0</v>
      </c>
      <c r="M280" s="1">
        <v>400000</v>
      </c>
      <c r="N280" s="1">
        <v>2401689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10270354</v>
      </c>
      <c r="W280" s="1">
        <v>1100000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1715492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4803376</v>
      </c>
      <c r="AM280" s="1">
        <v>0</v>
      </c>
      <c r="AN280" s="1">
        <v>47081415</v>
      </c>
      <c r="AO280" s="1">
        <v>6094575</v>
      </c>
      <c r="AP280" s="1">
        <v>40986840</v>
      </c>
      <c r="AQ280" s="1">
        <v>9416283</v>
      </c>
      <c r="AR280" s="1">
        <v>1412442</v>
      </c>
      <c r="AS280" s="1">
        <v>0</v>
      </c>
      <c r="AT280" s="1">
        <f t="shared" si="26"/>
        <v>57910140</v>
      </c>
    </row>
    <row r="281" spans="1:46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8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10902172</v>
      </c>
      <c r="G281" s="1">
        <v>2450930</v>
      </c>
      <c r="H281" s="1">
        <v>0</v>
      </c>
      <c r="I281" s="1">
        <v>9322657</v>
      </c>
      <c r="J281" s="1">
        <v>0</v>
      </c>
      <c r="K281" s="1">
        <v>4620000</v>
      </c>
      <c r="L281" s="1">
        <v>0</v>
      </c>
      <c r="M281" s="1">
        <v>400000</v>
      </c>
      <c r="N281" s="1">
        <v>1908521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1270000</v>
      </c>
      <c r="U281" s="1">
        <v>0</v>
      </c>
      <c r="V281" s="1">
        <v>10777325</v>
      </c>
      <c r="W281" s="1">
        <v>1100000</v>
      </c>
      <c r="X281" s="1">
        <v>1635326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1363229</v>
      </c>
      <c r="AF281" s="1">
        <v>1111269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7742044</v>
      </c>
      <c r="AM281" s="1">
        <v>0</v>
      </c>
      <c r="AN281" s="1">
        <v>54603473</v>
      </c>
      <c r="AO281" s="1">
        <v>11391328</v>
      </c>
      <c r="AP281" s="1">
        <v>43212145</v>
      </c>
      <c r="AQ281" s="1">
        <v>10444441</v>
      </c>
      <c r="AR281" s="1">
        <v>1566666</v>
      </c>
      <c r="AS281" s="1">
        <v>0</v>
      </c>
      <c r="AT281" s="1">
        <f t="shared" si="26"/>
        <v>66614580</v>
      </c>
    </row>
    <row r="282" spans="1:46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11958043</v>
      </c>
      <c r="G282" s="1">
        <v>6649367</v>
      </c>
      <c r="H282" s="1">
        <v>0</v>
      </c>
      <c r="I282" s="1">
        <v>10654920</v>
      </c>
      <c r="J282" s="1">
        <v>0</v>
      </c>
      <c r="K282" s="1">
        <v>4620000</v>
      </c>
      <c r="L282" s="1">
        <v>0</v>
      </c>
      <c r="M282" s="1">
        <v>400000</v>
      </c>
      <c r="N282" s="1">
        <v>2305021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1270000</v>
      </c>
      <c r="U282" s="1">
        <v>0</v>
      </c>
      <c r="V282" s="1">
        <v>12443260</v>
      </c>
      <c r="W282" s="1">
        <v>1100000</v>
      </c>
      <c r="X282" s="1">
        <v>1793706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1646443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8987746</v>
      </c>
      <c r="AM282" s="1">
        <v>0</v>
      </c>
      <c r="AN282" s="1">
        <v>63828506</v>
      </c>
      <c r="AO282" s="1">
        <v>8650726</v>
      </c>
      <c r="AP282" s="1">
        <v>55177780</v>
      </c>
      <c r="AQ282" s="1">
        <v>12511701</v>
      </c>
      <c r="AR282" s="1">
        <v>1876755</v>
      </c>
      <c r="AS282" s="1">
        <v>0</v>
      </c>
      <c r="AT282" s="1">
        <f t="shared" si="26"/>
        <v>78216962</v>
      </c>
    </row>
    <row r="283" spans="1:46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12001916</v>
      </c>
      <c r="G283" s="1">
        <v>2255754</v>
      </c>
      <c r="H283" s="1">
        <v>0</v>
      </c>
      <c r="I283" s="1">
        <v>11173964</v>
      </c>
      <c r="J283" s="1">
        <v>0</v>
      </c>
      <c r="K283" s="1">
        <v>4620000</v>
      </c>
      <c r="L283" s="1">
        <v>0</v>
      </c>
      <c r="M283" s="1">
        <v>400000</v>
      </c>
      <c r="N283" s="1">
        <v>2303161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1270000</v>
      </c>
      <c r="U283" s="1">
        <v>0</v>
      </c>
      <c r="V283" s="1">
        <v>8336866</v>
      </c>
      <c r="W283" s="1">
        <v>1100000</v>
      </c>
      <c r="X283" s="1">
        <v>1800287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1645116</v>
      </c>
      <c r="AF283" s="1">
        <v>1111269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8733335</v>
      </c>
      <c r="AM283" s="1">
        <v>0</v>
      </c>
      <c r="AN283" s="1">
        <v>56751668</v>
      </c>
      <c r="AO283" s="1">
        <v>12847356</v>
      </c>
      <c r="AP283" s="1">
        <v>43904312</v>
      </c>
      <c r="AQ283" s="1">
        <v>10874080</v>
      </c>
      <c r="AR283" s="1">
        <v>1631112</v>
      </c>
      <c r="AS283" s="1">
        <v>0</v>
      </c>
      <c r="AT283" s="1">
        <f t="shared" si="26"/>
        <v>69256860</v>
      </c>
    </row>
    <row r="284" spans="1:46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11407806</v>
      </c>
      <c r="G284" s="1">
        <v>11371299</v>
      </c>
      <c r="H284" s="1">
        <v>0</v>
      </c>
      <c r="I284" s="1">
        <v>9966821</v>
      </c>
      <c r="J284" s="1">
        <v>0</v>
      </c>
      <c r="K284" s="1">
        <v>4620000</v>
      </c>
      <c r="L284" s="1">
        <v>0</v>
      </c>
      <c r="M284" s="1">
        <v>400000</v>
      </c>
      <c r="N284" s="1">
        <v>2109069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1270000</v>
      </c>
      <c r="U284" s="1">
        <v>0</v>
      </c>
      <c r="V284" s="1">
        <v>14325398</v>
      </c>
      <c r="W284" s="1">
        <v>1100000</v>
      </c>
      <c r="X284" s="1">
        <v>1711171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1506478</v>
      </c>
      <c r="AF284" s="1">
        <v>1111269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7941776</v>
      </c>
      <c r="AM284" s="1">
        <v>0</v>
      </c>
      <c r="AN284" s="1">
        <v>68841087</v>
      </c>
      <c r="AO284" s="1">
        <v>15915649</v>
      </c>
      <c r="AP284" s="1">
        <v>52925438</v>
      </c>
      <c r="AQ284" s="1">
        <v>13291964</v>
      </c>
      <c r="AR284" s="1">
        <v>1993795</v>
      </c>
      <c r="AS284" s="1">
        <v>0</v>
      </c>
      <c r="AT284" s="1">
        <f t="shared" si="26"/>
        <v>84126846</v>
      </c>
    </row>
    <row r="285" spans="1:46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15452276</v>
      </c>
      <c r="G285" s="1">
        <v>8753019</v>
      </c>
      <c r="H285" s="1">
        <v>0</v>
      </c>
      <c r="I285" s="1">
        <v>12035261</v>
      </c>
      <c r="J285" s="1">
        <v>0</v>
      </c>
      <c r="K285" s="1">
        <v>0</v>
      </c>
      <c r="L285" s="1">
        <v>0</v>
      </c>
      <c r="M285" s="1">
        <v>400000</v>
      </c>
      <c r="N285" s="1">
        <v>2639997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1270000</v>
      </c>
      <c r="U285" s="1">
        <v>0</v>
      </c>
      <c r="V285" s="1">
        <v>12382751</v>
      </c>
      <c r="W285" s="1">
        <v>1100000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1885712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3620567</v>
      </c>
      <c r="AM285" s="1">
        <v>0</v>
      </c>
      <c r="AN285" s="1">
        <v>59539583</v>
      </c>
      <c r="AO285" s="1">
        <v>12892604</v>
      </c>
      <c r="AP285" s="1">
        <v>46646979</v>
      </c>
      <c r="AQ285" s="1">
        <v>11653917</v>
      </c>
      <c r="AR285" s="1">
        <v>1748087</v>
      </c>
      <c r="AS285" s="1">
        <v>0</v>
      </c>
      <c r="AT285" s="1">
        <f t="shared" si="26"/>
        <v>72941587</v>
      </c>
    </row>
    <row r="286" spans="1:46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11845824</v>
      </c>
      <c r="G286" s="1">
        <v>6331791</v>
      </c>
      <c r="H286" s="1">
        <v>0</v>
      </c>
      <c r="I286" s="1">
        <v>10537734</v>
      </c>
      <c r="J286" s="1">
        <v>0</v>
      </c>
      <c r="K286" s="1">
        <v>3465000</v>
      </c>
      <c r="L286" s="1">
        <v>0</v>
      </c>
      <c r="M286" s="1">
        <v>400000</v>
      </c>
      <c r="N286" s="1">
        <v>2274912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1270000</v>
      </c>
      <c r="U286" s="1">
        <v>0</v>
      </c>
      <c r="V286" s="1">
        <v>15913044</v>
      </c>
      <c r="W286" s="1">
        <v>1100000</v>
      </c>
      <c r="X286" s="1">
        <v>1776874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1624937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8883541</v>
      </c>
      <c r="AM286" s="1">
        <v>0</v>
      </c>
      <c r="AN286" s="1">
        <v>65423657</v>
      </c>
      <c r="AO286" s="1">
        <v>10306654</v>
      </c>
      <c r="AP286" s="1">
        <v>55117003</v>
      </c>
      <c r="AQ286" s="1">
        <v>12830731</v>
      </c>
      <c r="AR286" s="1">
        <v>1924610</v>
      </c>
      <c r="AS286" s="1">
        <v>0</v>
      </c>
      <c r="AT286" s="1">
        <f t="shared" si="26"/>
        <v>80178998</v>
      </c>
    </row>
    <row r="287" spans="1:46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11901812</v>
      </c>
      <c r="G287" s="1">
        <v>3117323</v>
      </c>
      <c r="H287" s="1">
        <v>0</v>
      </c>
      <c r="I287" s="1">
        <v>10582325</v>
      </c>
      <c r="J287" s="1">
        <v>0</v>
      </c>
      <c r="K287" s="1">
        <v>4620000</v>
      </c>
      <c r="L287" s="1">
        <v>0</v>
      </c>
      <c r="M287" s="1">
        <v>400000</v>
      </c>
      <c r="N287" s="1">
        <v>2283094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1270000</v>
      </c>
      <c r="U287" s="1">
        <v>0</v>
      </c>
      <c r="V287" s="1">
        <v>12184544</v>
      </c>
      <c r="W287" s="1">
        <v>1100000</v>
      </c>
      <c r="X287" s="1">
        <v>1785272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1630781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8919506</v>
      </c>
      <c r="AM287" s="1">
        <v>0</v>
      </c>
      <c r="AN287" s="1">
        <v>59794657</v>
      </c>
      <c r="AO287" s="1">
        <v>16143607</v>
      </c>
      <c r="AP287" s="1">
        <v>43651050</v>
      </c>
      <c r="AQ287" s="1">
        <v>11704931</v>
      </c>
      <c r="AR287" s="1">
        <v>1755740</v>
      </c>
      <c r="AS287" s="1">
        <v>0</v>
      </c>
      <c r="AT287" s="1">
        <f t="shared" si="26"/>
        <v>73255328</v>
      </c>
    </row>
    <row r="288" spans="1:46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19788564</v>
      </c>
      <c r="G288" s="1">
        <v>2725276</v>
      </c>
      <c r="H288" s="1">
        <v>0</v>
      </c>
      <c r="I288" s="1">
        <v>16276713</v>
      </c>
      <c r="J288" s="1">
        <v>0</v>
      </c>
      <c r="K288" s="1">
        <v>5500000</v>
      </c>
      <c r="L288" s="1">
        <v>0</v>
      </c>
      <c r="M288" s="1">
        <v>400000</v>
      </c>
      <c r="N288" s="1">
        <v>3093805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1270000</v>
      </c>
      <c r="U288" s="1">
        <v>0</v>
      </c>
      <c r="V288" s="1">
        <v>16149785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2209861</v>
      </c>
      <c r="AF288" s="1">
        <v>1111269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4773299</v>
      </c>
      <c r="AM288" s="1">
        <v>0</v>
      </c>
      <c r="AN288" s="1">
        <v>74398572</v>
      </c>
      <c r="AO288" s="1">
        <v>22727985</v>
      </c>
      <c r="AP288" s="1">
        <v>51670587</v>
      </c>
      <c r="AQ288" s="1">
        <v>14403461</v>
      </c>
      <c r="AR288" s="1">
        <v>2160519</v>
      </c>
      <c r="AS288" s="1">
        <v>0</v>
      </c>
      <c r="AT288" s="1">
        <f t="shared" si="26"/>
        <v>90962552</v>
      </c>
    </row>
    <row r="289" spans="1:46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3330219</v>
      </c>
      <c r="G289" s="1">
        <v>0</v>
      </c>
      <c r="H289" s="1">
        <v>0</v>
      </c>
      <c r="I289" s="1">
        <v>2355895</v>
      </c>
      <c r="J289" s="1">
        <v>0</v>
      </c>
      <c r="K289" s="1">
        <v>825000</v>
      </c>
      <c r="L289" s="1">
        <v>0</v>
      </c>
      <c r="M289" s="1">
        <v>80000</v>
      </c>
      <c r="N289" s="1">
        <v>541435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1270000</v>
      </c>
      <c r="U289" s="1">
        <v>0</v>
      </c>
      <c r="V289" s="1">
        <v>1271202</v>
      </c>
      <c r="W289" s="1">
        <v>220000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386739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649722</v>
      </c>
      <c r="AM289" s="1">
        <v>0</v>
      </c>
      <c r="AN289" s="1">
        <v>10930212</v>
      </c>
      <c r="AO289" s="1">
        <v>10930212</v>
      </c>
      <c r="AP289" s="1">
        <v>0</v>
      </c>
      <c r="AQ289" s="1">
        <v>1932042</v>
      </c>
      <c r="AR289" s="1">
        <v>289806</v>
      </c>
      <c r="AS289" s="1">
        <v>0</v>
      </c>
      <c r="AT289" s="1">
        <f t="shared" si="26"/>
        <v>13152060</v>
      </c>
    </row>
    <row r="290" spans="1:46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12820775</v>
      </c>
      <c r="G290" s="1">
        <v>467814</v>
      </c>
      <c r="H290" s="1">
        <v>0</v>
      </c>
      <c r="I290" s="1">
        <v>9849565</v>
      </c>
      <c r="J290" s="1">
        <v>0</v>
      </c>
      <c r="K290" s="1">
        <v>3465000</v>
      </c>
      <c r="L290" s="1">
        <v>0</v>
      </c>
      <c r="M290" s="1">
        <v>400000</v>
      </c>
      <c r="N290" s="1">
        <v>2330496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1270000</v>
      </c>
      <c r="U290" s="1">
        <v>0</v>
      </c>
      <c r="V290" s="1">
        <v>2916244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1664641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2496961</v>
      </c>
      <c r="AM290" s="1">
        <v>0</v>
      </c>
      <c r="AN290" s="1">
        <v>38781496</v>
      </c>
      <c r="AO290" s="1">
        <v>9511817</v>
      </c>
      <c r="AP290" s="1">
        <v>29269679</v>
      </c>
      <c r="AQ290" s="1">
        <v>7502299</v>
      </c>
      <c r="AR290" s="1">
        <v>1125345</v>
      </c>
      <c r="AS290" s="1">
        <v>0</v>
      </c>
      <c r="AT290" s="1">
        <f t="shared" si="26"/>
        <v>47409140</v>
      </c>
    </row>
    <row r="291" spans="1:46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18482196</v>
      </c>
      <c r="G291" s="1">
        <v>1821223</v>
      </c>
      <c r="H291" s="1">
        <v>0</v>
      </c>
      <c r="I291" s="1">
        <v>15053463</v>
      </c>
      <c r="J291" s="1">
        <v>0</v>
      </c>
      <c r="K291" s="1">
        <v>4125000</v>
      </c>
      <c r="L291" s="1">
        <v>0</v>
      </c>
      <c r="M291" s="1">
        <v>400000</v>
      </c>
      <c r="N291" s="1">
        <v>2636193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7530153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1882995</v>
      </c>
      <c r="AF291" s="1">
        <v>1111269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4368549</v>
      </c>
      <c r="AM291" s="1">
        <v>0</v>
      </c>
      <c r="AN291" s="1">
        <v>58511041</v>
      </c>
      <c r="AO291" s="1">
        <v>9953186</v>
      </c>
      <c r="AP291" s="1">
        <v>48557855</v>
      </c>
      <c r="AQ291" s="1">
        <v>11479954</v>
      </c>
      <c r="AR291" s="1">
        <v>1721993</v>
      </c>
      <c r="AS291" s="1">
        <v>0</v>
      </c>
      <c r="AT291" s="1">
        <f t="shared" si="26"/>
        <v>71712988</v>
      </c>
    </row>
    <row r="292" spans="1:46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16850469</v>
      </c>
      <c r="G292" s="1">
        <v>9046309</v>
      </c>
      <c r="H292" s="1">
        <v>0</v>
      </c>
      <c r="I292" s="1">
        <v>13473915</v>
      </c>
      <c r="J292" s="1">
        <v>0</v>
      </c>
      <c r="K292" s="1">
        <v>5500000</v>
      </c>
      <c r="L292" s="1">
        <v>0</v>
      </c>
      <c r="M292" s="1">
        <v>400000</v>
      </c>
      <c r="N292" s="1">
        <v>2831533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1270000</v>
      </c>
      <c r="U292" s="1">
        <v>0</v>
      </c>
      <c r="V292" s="1">
        <v>12307903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2022524</v>
      </c>
      <c r="AF292" s="1">
        <v>1111269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4206849</v>
      </c>
      <c r="AM292" s="1">
        <v>0</v>
      </c>
      <c r="AN292" s="1">
        <v>70120771</v>
      </c>
      <c r="AO292" s="1">
        <v>12645283</v>
      </c>
      <c r="AP292" s="1">
        <v>57475488</v>
      </c>
      <c r="AQ292" s="1">
        <v>13547900</v>
      </c>
      <c r="AR292" s="1">
        <v>2032185</v>
      </c>
      <c r="AS292" s="1">
        <v>0</v>
      </c>
      <c r="AT292" s="1">
        <f t="shared" si="26"/>
        <v>85700856</v>
      </c>
    </row>
    <row r="293" spans="1:46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12117523</v>
      </c>
      <c r="G293" s="1">
        <v>2282208</v>
      </c>
      <c r="H293" s="1">
        <v>0</v>
      </c>
      <c r="I293" s="1">
        <v>9734091</v>
      </c>
      <c r="J293" s="1">
        <v>0</v>
      </c>
      <c r="K293" s="1">
        <v>4620000</v>
      </c>
      <c r="L293" s="1">
        <v>0</v>
      </c>
      <c r="M293" s="1">
        <v>400000</v>
      </c>
      <c r="N293" s="1">
        <v>2310659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1270000</v>
      </c>
      <c r="U293" s="1">
        <v>0</v>
      </c>
      <c r="V293" s="1">
        <v>2845350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1650471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2640753</v>
      </c>
      <c r="AM293" s="1">
        <v>0</v>
      </c>
      <c r="AN293" s="1">
        <v>40971055</v>
      </c>
      <c r="AO293" s="1">
        <v>8875922</v>
      </c>
      <c r="AP293" s="1">
        <v>32095133</v>
      </c>
      <c r="AQ293" s="1">
        <v>7940211</v>
      </c>
      <c r="AR293" s="1">
        <v>1191032</v>
      </c>
      <c r="AS293" s="1">
        <v>0</v>
      </c>
      <c r="AT293" s="1">
        <f t="shared" si="26"/>
        <v>50102298</v>
      </c>
    </row>
    <row r="294" spans="1:46">
      <c r="A294" s="1" t="str">
        <f>"00336"</f>
        <v>00336</v>
      </c>
      <c r="B294" s="1" t="str">
        <f>"مصطفي"</f>
        <v>مصطفي</v>
      </c>
      <c r="C294" s="1" t="str">
        <f>"پاپي"</f>
        <v>پاپي</v>
      </c>
      <c r="D294" s="1" t="str">
        <f t="shared" si="29"/>
        <v>قراردادي بهره بردار</v>
      </c>
      <c r="E294" s="1" t="str">
        <f>"پروژه تعميرات نيروگاه بوشهر"</f>
        <v>پروژه تعميرات نيروگاه بوشهر</v>
      </c>
      <c r="F294" s="1">
        <v>15626712</v>
      </c>
      <c r="G294" s="1">
        <v>0</v>
      </c>
      <c r="H294" s="1">
        <v>0</v>
      </c>
      <c r="I294" s="1">
        <v>16156140</v>
      </c>
      <c r="J294" s="1">
        <v>0</v>
      </c>
      <c r="K294" s="1">
        <v>4125000</v>
      </c>
      <c r="L294" s="1">
        <v>0</v>
      </c>
      <c r="M294" s="1">
        <v>400000</v>
      </c>
      <c r="N294" s="1">
        <v>2714548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9625525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1938963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4963745</v>
      </c>
      <c r="AM294" s="1">
        <v>0</v>
      </c>
      <c r="AN294" s="1">
        <v>56650633</v>
      </c>
      <c r="AO294" s="1">
        <v>13894815</v>
      </c>
      <c r="AP294" s="1">
        <v>42755818</v>
      </c>
      <c r="AQ294" s="1">
        <v>11330127</v>
      </c>
      <c r="AR294" s="1">
        <v>1699519</v>
      </c>
      <c r="AS294" s="1">
        <v>0</v>
      </c>
      <c r="AT294" s="1">
        <f t="shared" si="26"/>
        <v>69680279</v>
      </c>
    </row>
    <row r="295" spans="1:46">
      <c r="A295" s="1" t="str">
        <f>"00337"</f>
        <v>00337</v>
      </c>
      <c r="B295" s="1" t="str">
        <f>"عباس"</f>
        <v>عباس</v>
      </c>
      <c r="C295" s="1" t="str">
        <f>"دهقاني"</f>
        <v>دهقاني</v>
      </c>
      <c r="D295" s="1" t="str">
        <f t="shared" si="29"/>
        <v>قراردادي بهره بردار</v>
      </c>
      <c r="E295" s="1" t="str">
        <f>"پروژه بهره برداري نيروگاه بوشهر"</f>
        <v>پروژه بهره برداري نيروگاه بوشهر</v>
      </c>
      <c r="F295" s="1">
        <v>12552409</v>
      </c>
      <c r="G295" s="1">
        <v>5531097</v>
      </c>
      <c r="H295" s="1">
        <v>0</v>
      </c>
      <c r="I295" s="1">
        <v>10463415</v>
      </c>
      <c r="J295" s="1">
        <v>0</v>
      </c>
      <c r="K295" s="1">
        <v>4620000</v>
      </c>
      <c r="L295" s="1">
        <v>0</v>
      </c>
      <c r="M295" s="1">
        <v>400000</v>
      </c>
      <c r="N295" s="1">
        <v>2468141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1270000</v>
      </c>
      <c r="U295" s="1">
        <v>0</v>
      </c>
      <c r="V295" s="1">
        <v>7154685</v>
      </c>
      <c r="W295" s="1">
        <v>1100000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1762958</v>
      </c>
      <c r="AF295" s="1">
        <v>1111269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3525916</v>
      </c>
      <c r="AM295" s="1">
        <v>0</v>
      </c>
      <c r="AN295" s="1">
        <v>51959890</v>
      </c>
      <c r="AO295" s="1">
        <v>10428586</v>
      </c>
      <c r="AP295" s="1">
        <v>41531304</v>
      </c>
      <c r="AQ295" s="1">
        <v>9915724</v>
      </c>
      <c r="AR295" s="1">
        <v>1487359</v>
      </c>
      <c r="AS295" s="1">
        <v>0</v>
      </c>
      <c r="AT295" s="1">
        <f t="shared" si="26"/>
        <v>63362973</v>
      </c>
    </row>
    <row r="296" spans="1:46">
      <c r="A296" s="1" t="str">
        <f>"00338"</f>
        <v>00338</v>
      </c>
      <c r="B296" s="1" t="str">
        <f>"رضا"</f>
        <v>رضا</v>
      </c>
      <c r="C296" s="1" t="str">
        <f>"دهقان"</f>
        <v>دهقان</v>
      </c>
      <c r="D296" s="1" t="str">
        <f t="shared" si="29"/>
        <v>قراردادي بهره بردار</v>
      </c>
      <c r="E296" s="1" t="str">
        <f>"پروژه بهره برداري نيروگاه بوشهر"</f>
        <v>پروژه بهره برداري نيروگاه بوشهر</v>
      </c>
      <c r="F296" s="1">
        <v>12014294</v>
      </c>
      <c r="G296" s="1">
        <v>4144063</v>
      </c>
      <c r="H296" s="1">
        <v>0</v>
      </c>
      <c r="I296" s="1">
        <v>10762815</v>
      </c>
      <c r="J296" s="1">
        <v>0</v>
      </c>
      <c r="K296" s="1">
        <v>3465000</v>
      </c>
      <c r="L296" s="1">
        <v>0</v>
      </c>
      <c r="M296" s="1">
        <v>400000</v>
      </c>
      <c r="N296" s="1">
        <v>2305249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1270000</v>
      </c>
      <c r="U296" s="1">
        <v>0</v>
      </c>
      <c r="V296" s="1">
        <v>8246929</v>
      </c>
      <c r="W296" s="1">
        <v>1100000</v>
      </c>
      <c r="X296" s="1">
        <v>1802144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1646605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8741700</v>
      </c>
      <c r="AM296" s="1">
        <v>0</v>
      </c>
      <c r="AN296" s="1">
        <v>55898799</v>
      </c>
      <c r="AO296" s="1">
        <v>8331596</v>
      </c>
      <c r="AP296" s="1">
        <v>47567203</v>
      </c>
      <c r="AQ296" s="1">
        <v>10925760</v>
      </c>
      <c r="AR296" s="1">
        <v>1638864</v>
      </c>
      <c r="AS296" s="1">
        <v>0</v>
      </c>
      <c r="AT296" s="1">
        <f t="shared" si="26"/>
        <v>68463423</v>
      </c>
    </row>
    <row r="297" spans="1:46">
      <c r="A297" s="1" t="str">
        <f>"00340"</f>
        <v>00340</v>
      </c>
      <c r="B297" s="1" t="str">
        <f>"مجيد"</f>
        <v>مجيد</v>
      </c>
      <c r="C297" s="1" t="str">
        <f>"سعادت پور"</f>
        <v>سعادت پور</v>
      </c>
      <c r="D297" s="1" t="str">
        <f t="shared" si="29"/>
        <v>قراردادي بهره بردار</v>
      </c>
      <c r="E297" s="1" t="str">
        <f>"پروژه بهره برداري نيروگاه بوشهر"</f>
        <v>پروژه بهره برداري نيروگاه بوشهر</v>
      </c>
      <c r="F297" s="1">
        <v>16374264</v>
      </c>
      <c r="G297" s="1">
        <v>9047315</v>
      </c>
      <c r="H297" s="1">
        <v>0</v>
      </c>
      <c r="I297" s="1">
        <v>12997790</v>
      </c>
      <c r="J297" s="1">
        <v>0</v>
      </c>
      <c r="K297" s="1">
        <v>5500000</v>
      </c>
      <c r="L297" s="1">
        <v>0</v>
      </c>
      <c r="M297" s="1">
        <v>400000</v>
      </c>
      <c r="N297" s="1">
        <v>2976191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12973142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2125851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4251702</v>
      </c>
      <c r="AM297" s="1">
        <v>0</v>
      </c>
      <c r="AN297" s="1">
        <v>67746255</v>
      </c>
      <c r="AO297" s="1">
        <v>14292934</v>
      </c>
      <c r="AP297" s="1">
        <v>53453321</v>
      </c>
      <c r="AQ297" s="1">
        <v>13549251</v>
      </c>
      <c r="AR297" s="1">
        <v>2032388</v>
      </c>
      <c r="AS297" s="1">
        <v>0</v>
      </c>
      <c r="AT297" s="1">
        <f t="shared" si="26"/>
        <v>83327894</v>
      </c>
    </row>
    <row r="298" spans="1:46">
      <c r="A298" s="1" t="str">
        <f>"00341"</f>
        <v>00341</v>
      </c>
      <c r="B298" s="1" t="str">
        <f>"عباس"</f>
        <v>عباس</v>
      </c>
      <c r="C298" s="1" t="str">
        <f>"حيدري"</f>
        <v>حيدري</v>
      </c>
      <c r="D298" s="1" t="str">
        <f t="shared" si="29"/>
        <v>قراردادي بهره بردار</v>
      </c>
      <c r="E298" s="1" t="str">
        <f>"پروژه بهره برداري نيروگاه بوشهر"</f>
        <v>پروژه بهره برداري نيروگاه بوشهر</v>
      </c>
      <c r="F298" s="1">
        <v>11756311</v>
      </c>
      <c r="G298" s="1">
        <v>9947397</v>
      </c>
      <c r="H298" s="1">
        <v>0</v>
      </c>
      <c r="I298" s="1">
        <v>8572431</v>
      </c>
      <c r="J298" s="1">
        <v>0</v>
      </c>
      <c r="K298" s="1">
        <v>4620000</v>
      </c>
      <c r="L298" s="1">
        <v>0</v>
      </c>
      <c r="M298" s="1">
        <v>400000</v>
      </c>
      <c r="N298" s="1">
        <v>2174804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2638713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1553432</v>
      </c>
      <c r="AF298" s="1">
        <v>3333807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2330148</v>
      </c>
      <c r="AM298" s="1">
        <v>0</v>
      </c>
      <c r="AN298" s="1">
        <v>48427043</v>
      </c>
      <c r="AO298" s="1">
        <v>13350359</v>
      </c>
      <c r="AP298" s="1">
        <v>35076684</v>
      </c>
      <c r="AQ298" s="1">
        <v>9018647</v>
      </c>
      <c r="AR298" s="1">
        <v>1352797</v>
      </c>
      <c r="AS298" s="1">
        <v>0</v>
      </c>
      <c r="AT298" s="1">
        <f t="shared" si="26"/>
        <v>58798487</v>
      </c>
    </row>
    <row r="299" spans="1:46">
      <c r="A299" s="1" t="str">
        <f>"00342"</f>
        <v>00342</v>
      </c>
      <c r="B299" s="1" t="str">
        <f>"اسماعيل"</f>
        <v>اسماعيل</v>
      </c>
      <c r="C299" s="1" t="str">
        <f>"محمدي"</f>
        <v>محمدي</v>
      </c>
      <c r="D299" s="1" t="str">
        <f t="shared" ref="D299:D305" si="30">"قراردادي کارگري"</f>
        <v>قراردادي کارگري</v>
      </c>
      <c r="E299" s="1" t="str">
        <f t="shared" ref="E299:E305" si="31">"پروژه تعميرات نيروگاه بوشهر"</f>
        <v>پروژه تعميرات نيروگاه بوشهر</v>
      </c>
      <c r="F299" s="1">
        <v>4959474</v>
      </c>
      <c r="G299" s="1">
        <v>4954658</v>
      </c>
      <c r="H299" s="1">
        <v>0</v>
      </c>
      <c r="I299" s="1">
        <v>3917984</v>
      </c>
      <c r="J299" s="1">
        <v>0</v>
      </c>
      <c r="K299" s="1">
        <v>0</v>
      </c>
      <c r="L299" s="1">
        <v>5300597</v>
      </c>
      <c r="M299" s="1">
        <v>400000</v>
      </c>
      <c r="N299" s="1">
        <v>2479738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5992072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2498669</v>
      </c>
      <c r="AE299" s="1">
        <v>0</v>
      </c>
      <c r="AF299" s="1">
        <v>3333807</v>
      </c>
      <c r="AG299" s="1">
        <v>0</v>
      </c>
      <c r="AH299" s="1">
        <v>0</v>
      </c>
      <c r="AI299" s="1">
        <v>0</v>
      </c>
      <c r="AJ299" s="1">
        <v>3170981</v>
      </c>
      <c r="AK299" s="1">
        <v>0</v>
      </c>
      <c r="AL299" s="1">
        <v>0</v>
      </c>
      <c r="AM299" s="1">
        <v>0</v>
      </c>
      <c r="AN299" s="1">
        <v>38107980</v>
      </c>
      <c r="AO299" s="1">
        <v>4360339</v>
      </c>
      <c r="AP299" s="1">
        <v>33747641</v>
      </c>
      <c r="AQ299" s="1">
        <v>6954835</v>
      </c>
      <c r="AR299" s="1">
        <v>1043225</v>
      </c>
      <c r="AS299" s="1">
        <v>0</v>
      </c>
      <c r="AT299" s="1">
        <f t="shared" si="26"/>
        <v>46106040</v>
      </c>
    </row>
    <row r="300" spans="1:46">
      <c r="A300" s="1" t="str">
        <f>"00343"</f>
        <v>00343</v>
      </c>
      <c r="B300" s="1" t="str">
        <f>"علي"</f>
        <v>علي</v>
      </c>
      <c r="C300" s="1" t="str">
        <f>"حيدري"</f>
        <v>حيدري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6026484</v>
      </c>
      <c r="G300" s="1">
        <v>6706772</v>
      </c>
      <c r="H300" s="1">
        <v>0</v>
      </c>
      <c r="I300" s="1">
        <v>4098009</v>
      </c>
      <c r="J300" s="1">
        <v>0</v>
      </c>
      <c r="K300" s="1">
        <v>0</v>
      </c>
      <c r="L300" s="1">
        <v>3620700</v>
      </c>
      <c r="M300" s="1">
        <v>400000</v>
      </c>
      <c r="N300" s="1">
        <v>3171834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6077619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2537554</v>
      </c>
      <c r="AE300" s="1">
        <v>0</v>
      </c>
      <c r="AF300" s="1">
        <v>2222538</v>
      </c>
      <c r="AG300" s="1">
        <v>0</v>
      </c>
      <c r="AH300" s="1">
        <v>0</v>
      </c>
      <c r="AI300" s="1">
        <v>0</v>
      </c>
      <c r="AJ300" s="1">
        <v>3219250</v>
      </c>
      <c r="AK300" s="1">
        <v>0</v>
      </c>
      <c r="AL300" s="1">
        <v>0</v>
      </c>
      <c r="AM300" s="1">
        <v>0</v>
      </c>
      <c r="AN300" s="1">
        <v>39180760</v>
      </c>
      <c r="AO300" s="1">
        <v>6625337</v>
      </c>
      <c r="AP300" s="1">
        <v>32555423</v>
      </c>
      <c r="AQ300" s="1">
        <v>7391644</v>
      </c>
      <c r="AR300" s="1">
        <v>1108747</v>
      </c>
      <c r="AS300" s="1">
        <v>780000</v>
      </c>
      <c r="AT300" s="1">
        <f t="shared" si="26"/>
        <v>48461151</v>
      </c>
    </row>
    <row r="301" spans="1:46">
      <c r="A301" s="1" t="str">
        <f>"00344"</f>
        <v>00344</v>
      </c>
      <c r="B301" s="1" t="str">
        <f>"مهدي"</f>
        <v>مهدي</v>
      </c>
      <c r="C301" s="1" t="str">
        <f>"حسن پور"</f>
        <v>حسن پور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7433567</v>
      </c>
      <c r="G301" s="1">
        <v>4986731</v>
      </c>
      <c r="H301" s="1">
        <v>0</v>
      </c>
      <c r="I301" s="1">
        <v>5203497</v>
      </c>
      <c r="J301" s="1">
        <v>0</v>
      </c>
      <c r="K301" s="1">
        <v>0</v>
      </c>
      <c r="L301" s="1">
        <v>3620700</v>
      </c>
      <c r="M301" s="1">
        <v>400000</v>
      </c>
      <c r="N301" s="1">
        <v>3938314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7159706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3029412</v>
      </c>
      <c r="AE301" s="1">
        <v>0</v>
      </c>
      <c r="AF301" s="1">
        <v>1111269</v>
      </c>
      <c r="AG301" s="1">
        <v>0</v>
      </c>
      <c r="AH301" s="1">
        <v>0</v>
      </c>
      <c r="AI301" s="1">
        <v>0</v>
      </c>
      <c r="AJ301" s="1">
        <v>3829810</v>
      </c>
      <c r="AK301" s="1">
        <v>0</v>
      </c>
      <c r="AL301" s="1">
        <v>0</v>
      </c>
      <c r="AM301" s="1">
        <v>0</v>
      </c>
      <c r="AN301" s="1">
        <v>41813006</v>
      </c>
      <c r="AO301" s="1">
        <v>8103917</v>
      </c>
      <c r="AP301" s="1">
        <v>33709089</v>
      </c>
      <c r="AQ301" s="1">
        <v>8140347</v>
      </c>
      <c r="AR301" s="1">
        <v>1221052</v>
      </c>
      <c r="AS301" s="1">
        <v>900000</v>
      </c>
      <c r="AT301" s="1">
        <f t="shared" si="26"/>
        <v>52074405</v>
      </c>
    </row>
    <row r="302" spans="1:46">
      <c r="A302" s="1" t="str">
        <f>"00345"</f>
        <v>00345</v>
      </c>
      <c r="B302" s="1" t="str">
        <f>"حسن"</f>
        <v>حسن</v>
      </c>
      <c r="C302" s="1" t="str">
        <f>"ابراهيمي"</f>
        <v>ابراهيمي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5846431</v>
      </c>
      <c r="G302" s="1">
        <v>2906773</v>
      </c>
      <c r="H302" s="1">
        <v>0</v>
      </c>
      <c r="I302" s="1">
        <v>4267894</v>
      </c>
      <c r="J302" s="1">
        <v>0</v>
      </c>
      <c r="K302" s="1">
        <v>0</v>
      </c>
      <c r="L302" s="1">
        <v>3620700</v>
      </c>
      <c r="M302" s="1">
        <v>400000</v>
      </c>
      <c r="N302" s="1">
        <v>3077069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8103102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2521814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3488127</v>
      </c>
      <c r="AK302" s="1">
        <v>0</v>
      </c>
      <c r="AL302" s="1">
        <v>0</v>
      </c>
      <c r="AM302" s="1">
        <v>0</v>
      </c>
      <c r="AN302" s="1">
        <v>35331910</v>
      </c>
      <c r="AO302" s="1">
        <v>7942273</v>
      </c>
      <c r="AP302" s="1">
        <v>27389637</v>
      </c>
      <c r="AQ302" s="1">
        <v>7066382</v>
      </c>
      <c r="AR302" s="1">
        <v>1059957</v>
      </c>
      <c r="AS302" s="1">
        <v>530000</v>
      </c>
      <c r="AT302" s="1">
        <f t="shared" si="26"/>
        <v>43988249</v>
      </c>
    </row>
    <row r="303" spans="1:46">
      <c r="A303" s="1" t="str">
        <f>"00346"</f>
        <v>00346</v>
      </c>
      <c r="B303" s="1" t="str">
        <f>"رحمن"</f>
        <v>رحمن</v>
      </c>
      <c r="C303" s="1" t="str">
        <f>"باروني"</f>
        <v>باروني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8194368</v>
      </c>
      <c r="G303" s="1">
        <v>3821797</v>
      </c>
      <c r="H303" s="1">
        <v>0</v>
      </c>
      <c r="I303" s="1">
        <v>6063832</v>
      </c>
      <c r="J303" s="1">
        <v>0</v>
      </c>
      <c r="K303" s="1">
        <v>0</v>
      </c>
      <c r="L303" s="1">
        <v>3620700</v>
      </c>
      <c r="M303" s="1">
        <v>400000</v>
      </c>
      <c r="N303" s="1">
        <v>4370330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10509034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3337385</v>
      </c>
      <c r="AE303" s="1">
        <v>0</v>
      </c>
      <c r="AF303" s="1">
        <v>1111269</v>
      </c>
      <c r="AG303" s="1">
        <v>0</v>
      </c>
      <c r="AH303" s="1">
        <v>0</v>
      </c>
      <c r="AI303" s="1">
        <v>0</v>
      </c>
      <c r="AJ303" s="1">
        <v>4586157</v>
      </c>
      <c r="AK303" s="1">
        <v>0</v>
      </c>
      <c r="AL303" s="1">
        <v>0</v>
      </c>
      <c r="AM303" s="1">
        <v>0</v>
      </c>
      <c r="AN303" s="1">
        <v>47114872</v>
      </c>
      <c r="AO303" s="1">
        <v>10016465</v>
      </c>
      <c r="AP303" s="1">
        <v>37098407</v>
      </c>
      <c r="AQ303" s="1">
        <v>9200721</v>
      </c>
      <c r="AR303" s="1">
        <v>1380108</v>
      </c>
      <c r="AS303" s="1">
        <v>300000</v>
      </c>
      <c r="AT303" s="1">
        <f t="shared" si="26"/>
        <v>57995701</v>
      </c>
    </row>
    <row r="304" spans="1:46">
      <c r="A304" s="1" t="str">
        <f>"00348"</f>
        <v>00348</v>
      </c>
      <c r="B304" s="1" t="str">
        <f>"اسماعيل"</f>
        <v>اسماعيل</v>
      </c>
      <c r="C304" s="1" t="str">
        <f>"جهان بخت"</f>
        <v>جهان بخت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6265974</v>
      </c>
      <c r="G304" s="1">
        <v>0</v>
      </c>
      <c r="H304" s="1">
        <v>0</v>
      </c>
      <c r="I304" s="1">
        <v>4448842</v>
      </c>
      <c r="J304" s="1">
        <v>0</v>
      </c>
      <c r="K304" s="1">
        <v>0</v>
      </c>
      <c r="L304" s="1">
        <v>3620700</v>
      </c>
      <c r="M304" s="1">
        <v>400000</v>
      </c>
      <c r="N304" s="1">
        <v>3341853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6184701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25362070</v>
      </c>
      <c r="AO304" s="1">
        <v>5096908</v>
      </c>
      <c r="AP304" s="1">
        <v>20265162</v>
      </c>
      <c r="AQ304" s="1">
        <v>5072414</v>
      </c>
      <c r="AR304" s="1">
        <v>760862</v>
      </c>
      <c r="AS304" s="1">
        <v>530000</v>
      </c>
      <c r="AT304" s="1">
        <f t="shared" si="26"/>
        <v>31725346</v>
      </c>
    </row>
    <row r="305" spans="1:46">
      <c r="A305" s="1" t="str">
        <f>"00349"</f>
        <v>00349</v>
      </c>
      <c r="B305" s="1" t="str">
        <f>"ابوالفضل"</f>
        <v>ابوالفضل</v>
      </c>
      <c r="C305" s="1" t="str">
        <f>"اورنگ"</f>
        <v>اورنگ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6365616</v>
      </c>
      <c r="G305" s="1">
        <v>2923467</v>
      </c>
      <c r="H305" s="1">
        <v>0</v>
      </c>
      <c r="I305" s="1">
        <v>4710556</v>
      </c>
      <c r="J305" s="1">
        <v>0</v>
      </c>
      <c r="K305" s="1">
        <v>0</v>
      </c>
      <c r="L305" s="1">
        <v>3620700</v>
      </c>
      <c r="M305" s="1">
        <v>400000</v>
      </c>
      <c r="N305" s="1">
        <v>3372512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8659453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1111269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32263573</v>
      </c>
      <c r="AO305" s="1">
        <v>4960610</v>
      </c>
      <c r="AP305" s="1">
        <v>27302963</v>
      </c>
      <c r="AQ305" s="1">
        <v>6230461</v>
      </c>
      <c r="AR305" s="1">
        <v>934569</v>
      </c>
      <c r="AS305" s="1">
        <v>795000</v>
      </c>
      <c r="AT305" s="1">
        <f t="shared" si="26"/>
        <v>40223603</v>
      </c>
    </row>
    <row r="306" spans="1:46">
      <c r="A306" s="1" t="str">
        <f>"00350"</f>
        <v>00350</v>
      </c>
      <c r="B306" s="1" t="str">
        <f>"علي"</f>
        <v>علي</v>
      </c>
      <c r="C306" s="1" t="str">
        <f>"بهرامي پور"</f>
        <v>بهرامي پور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14837829</v>
      </c>
      <c r="G306" s="1">
        <v>4523526</v>
      </c>
      <c r="H306" s="1">
        <v>0</v>
      </c>
      <c r="I306" s="1">
        <v>12957533</v>
      </c>
      <c r="J306" s="1">
        <v>0</v>
      </c>
      <c r="K306" s="1">
        <v>4620000</v>
      </c>
      <c r="L306" s="1">
        <v>0</v>
      </c>
      <c r="M306" s="1">
        <v>400000</v>
      </c>
      <c r="N306" s="1">
        <v>2831533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19030393</v>
      </c>
      <c r="W306" s="1">
        <v>1100000</v>
      </c>
      <c r="X306" s="1">
        <v>2225674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2022524</v>
      </c>
      <c r="AF306" s="1">
        <v>3333807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10357118</v>
      </c>
      <c r="AM306" s="1">
        <v>0</v>
      </c>
      <c r="AN306" s="1">
        <v>78239937</v>
      </c>
      <c r="AO306" s="1">
        <v>15829174</v>
      </c>
      <c r="AP306" s="1">
        <v>62410763</v>
      </c>
      <c r="AQ306" s="1">
        <v>14981226</v>
      </c>
      <c r="AR306" s="1">
        <v>2247184</v>
      </c>
      <c r="AS306" s="1">
        <v>0</v>
      </c>
      <c r="AT306" s="1">
        <f t="shared" si="26"/>
        <v>95468347</v>
      </c>
    </row>
    <row r="307" spans="1:46">
      <c r="A307" s="1" t="str">
        <f>"00351"</f>
        <v>00351</v>
      </c>
      <c r="B307" s="1" t="str">
        <f>"عادل"</f>
        <v>عادل</v>
      </c>
      <c r="C307" s="1" t="str">
        <f>"عبدالشاهي"</f>
        <v>عبدالشاهي</v>
      </c>
      <c r="D307" s="1" t="str">
        <f>"قراردادي بهره بردار"</f>
        <v>قراردادي بهره بردار</v>
      </c>
      <c r="E307" s="1" t="str">
        <f>"پروژه بهره برداري نيروگاه بوشهر"</f>
        <v>پروژه بهره برداري نيروگاه بوشهر</v>
      </c>
      <c r="F307" s="1">
        <v>9575632</v>
      </c>
      <c r="G307" s="1">
        <v>3059678</v>
      </c>
      <c r="H307" s="1">
        <v>0</v>
      </c>
      <c r="I307" s="1">
        <v>6421277</v>
      </c>
      <c r="J307" s="1">
        <v>0</v>
      </c>
      <c r="K307" s="1">
        <v>4620000</v>
      </c>
      <c r="L307" s="1">
        <v>0</v>
      </c>
      <c r="M307" s="1">
        <v>400000</v>
      </c>
      <c r="N307" s="1">
        <v>1413546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1270000</v>
      </c>
      <c r="U307" s="1">
        <v>0</v>
      </c>
      <c r="V307" s="1">
        <v>10726674</v>
      </c>
      <c r="W307" s="1">
        <v>1100000</v>
      </c>
      <c r="X307" s="1">
        <v>1436345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1009675</v>
      </c>
      <c r="AF307" s="1">
        <v>1111269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5820943</v>
      </c>
      <c r="AM307" s="1">
        <v>0</v>
      </c>
      <c r="AN307" s="1">
        <v>47965039</v>
      </c>
      <c r="AO307" s="1">
        <v>10500097</v>
      </c>
      <c r="AP307" s="1">
        <v>37464942</v>
      </c>
      <c r="AQ307" s="1">
        <v>9116754</v>
      </c>
      <c r="AR307" s="1">
        <v>1367513</v>
      </c>
      <c r="AS307" s="1">
        <v>0</v>
      </c>
      <c r="AT307" s="1">
        <f t="shared" si="26"/>
        <v>58449306</v>
      </c>
    </row>
    <row r="308" spans="1:46">
      <c r="A308" s="1" t="str">
        <f>"00352"</f>
        <v>00352</v>
      </c>
      <c r="B308" s="1" t="str">
        <f>"اميد"</f>
        <v>اميد</v>
      </c>
      <c r="C308" s="1" t="str">
        <f>"فرهادي"</f>
        <v>فرهادي</v>
      </c>
      <c r="D308" s="1" t="str">
        <f t="shared" ref="D308:D320" si="32">"قراردادي کارگري"</f>
        <v>قراردادي کارگري</v>
      </c>
      <c r="E308" s="1" t="str">
        <f t="shared" ref="E308:E320" si="33">"پروژه تعميرات نيروگاه بوشهر"</f>
        <v>پروژه تعميرات نيروگاه بوشهر</v>
      </c>
      <c r="F308" s="1">
        <v>7045209</v>
      </c>
      <c r="G308" s="1">
        <v>1063333</v>
      </c>
      <c r="H308" s="1">
        <v>0</v>
      </c>
      <c r="I308" s="1">
        <v>5495263</v>
      </c>
      <c r="J308" s="1">
        <v>0</v>
      </c>
      <c r="K308" s="1">
        <v>0</v>
      </c>
      <c r="L308" s="1">
        <v>3460800</v>
      </c>
      <c r="M308" s="1">
        <v>400000</v>
      </c>
      <c r="N308" s="1">
        <v>3757446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9406982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1111269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32840302</v>
      </c>
      <c r="AO308" s="1">
        <v>8263167</v>
      </c>
      <c r="AP308" s="1">
        <v>24577135</v>
      </c>
      <c r="AQ308" s="1">
        <v>6345807</v>
      </c>
      <c r="AR308" s="1">
        <v>951871</v>
      </c>
      <c r="AS308" s="1">
        <v>900000</v>
      </c>
      <c r="AT308" s="1">
        <f t="shared" si="26"/>
        <v>41037980</v>
      </c>
    </row>
    <row r="309" spans="1:46">
      <c r="A309" s="1" t="str">
        <f>"00353"</f>
        <v>00353</v>
      </c>
      <c r="B309" s="1" t="str">
        <f>"حميد"</f>
        <v>حميد</v>
      </c>
      <c r="C309" s="1" t="str">
        <f>"مجريان زاده"</f>
        <v>مجريان زاده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6160444</v>
      </c>
      <c r="G309" s="1">
        <v>519851</v>
      </c>
      <c r="H309" s="1">
        <v>0</v>
      </c>
      <c r="I309" s="1">
        <v>4558728</v>
      </c>
      <c r="J309" s="1">
        <v>0</v>
      </c>
      <c r="K309" s="1">
        <v>0</v>
      </c>
      <c r="L309" s="1">
        <v>3620700</v>
      </c>
      <c r="M309" s="1">
        <v>400000</v>
      </c>
      <c r="N309" s="1">
        <v>3263811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6160938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25784472</v>
      </c>
      <c r="AO309" s="1">
        <v>4599810</v>
      </c>
      <c r="AP309" s="1">
        <v>21184662</v>
      </c>
      <c r="AQ309" s="1">
        <v>5156894</v>
      </c>
      <c r="AR309" s="1">
        <v>773534</v>
      </c>
      <c r="AS309" s="1">
        <v>600000</v>
      </c>
      <c r="AT309" s="1">
        <f t="shared" si="26"/>
        <v>32314900</v>
      </c>
    </row>
    <row r="310" spans="1:46">
      <c r="A310" s="1" t="str">
        <f>"00354"</f>
        <v>00354</v>
      </c>
      <c r="B310" s="1" t="str">
        <f>"غلامعلي"</f>
        <v>غلامعلي</v>
      </c>
      <c r="C310" s="1" t="str">
        <f>"محمدرضائي"</f>
        <v>محمدرضائي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6270085</v>
      </c>
      <c r="G310" s="1">
        <v>4805027</v>
      </c>
      <c r="H310" s="1">
        <v>0</v>
      </c>
      <c r="I310" s="1">
        <v>5893880</v>
      </c>
      <c r="J310" s="1">
        <v>0</v>
      </c>
      <c r="K310" s="1">
        <v>0</v>
      </c>
      <c r="L310" s="1">
        <v>4101399</v>
      </c>
      <c r="M310" s="1">
        <v>400000</v>
      </c>
      <c r="N310" s="1">
        <v>3300045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6793594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2934811</v>
      </c>
      <c r="AE310" s="1">
        <v>0</v>
      </c>
      <c r="AF310" s="1">
        <v>2222538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37821379</v>
      </c>
      <c r="AO310" s="1">
        <v>6295757</v>
      </c>
      <c r="AP310" s="1">
        <v>31525622</v>
      </c>
      <c r="AQ310" s="1">
        <v>7119768</v>
      </c>
      <c r="AR310" s="1">
        <v>1067965</v>
      </c>
      <c r="AS310" s="1">
        <v>1060000</v>
      </c>
      <c r="AT310" s="1">
        <f t="shared" si="26"/>
        <v>47069112</v>
      </c>
    </row>
    <row r="311" spans="1:46">
      <c r="A311" s="1" t="str">
        <f>"00355"</f>
        <v>00355</v>
      </c>
      <c r="B311" s="1" t="str">
        <f>"محمدابراهيم"</f>
        <v>محمدابراهيم</v>
      </c>
      <c r="C311" s="1" t="str">
        <f>"جوکار"</f>
        <v>جوکار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9326569</v>
      </c>
      <c r="G311" s="1">
        <v>1995637</v>
      </c>
      <c r="H311" s="1">
        <v>0</v>
      </c>
      <c r="I311" s="1">
        <v>7741053</v>
      </c>
      <c r="J311" s="1">
        <v>0</v>
      </c>
      <c r="K311" s="1">
        <v>0</v>
      </c>
      <c r="L311" s="1">
        <v>3460800</v>
      </c>
      <c r="M311" s="1">
        <v>400000</v>
      </c>
      <c r="N311" s="1">
        <v>4974170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8708336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3825389</v>
      </c>
      <c r="AE311" s="1">
        <v>0</v>
      </c>
      <c r="AF311" s="1">
        <v>2222538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43754492</v>
      </c>
      <c r="AO311" s="1">
        <v>10574402</v>
      </c>
      <c r="AP311" s="1">
        <v>33180090</v>
      </c>
      <c r="AQ311" s="1">
        <v>8306391</v>
      </c>
      <c r="AR311" s="1">
        <v>1245959</v>
      </c>
      <c r="AS311" s="1">
        <v>1060000</v>
      </c>
      <c r="AT311" s="1">
        <f t="shared" si="26"/>
        <v>54366842</v>
      </c>
    </row>
    <row r="312" spans="1:46">
      <c r="A312" s="1" t="str">
        <f>"00356"</f>
        <v>00356</v>
      </c>
      <c r="B312" s="1" t="str">
        <f>"عبداله"</f>
        <v>عبداله</v>
      </c>
      <c r="C312" s="1" t="str">
        <f>"سرتلي"</f>
        <v>سرتلي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6693740</v>
      </c>
      <c r="G312" s="1">
        <v>2816376</v>
      </c>
      <c r="H312" s="1">
        <v>0</v>
      </c>
      <c r="I312" s="1">
        <v>4886430</v>
      </c>
      <c r="J312" s="1">
        <v>0</v>
      </c>
      <c r="K312" s="1">
        <v>0</v>
      </c>
      <c r="L312" s="1">
        <v>4001515</v>
      </c>
      <c r="M312" s="1">
        <v>400000</v>
      </c>
      <c r="N312" s="1">
        <v>3523021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6645017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2865706</v>
      </c>
      <c r="AE312" s="1">
        <v>0</v>
      </c>
      <c r="AF312" s="1">
        <v>2222538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35154343</v>
      </c>
      <c r="AO312" s="1">
        <v>6514633</v>
      </c>
      <c r="AP312" s="1">
        <v>28639710</v>
      </c>
      <c r="AQ312" s="1">
        <v>6586361</v>
      </c>
      <c r="AR312" s="1">
        <v>987954</v>
      </c>
      <c r="AS312" s="1">
        <v>1060000</v>
      </c>
      <c r="AT312" s="1">
        <f t="shared" si="26"/>
        <v>43788658</v>
      </c>
    </row>
    <row r="313" spans="1:46">
      <c r="A313" s="1" t="str">
        <f>"00357"</f>
        <v>00357</v>
      </c>
      <c r="B313" s="1" t="str">
        <f>"مهرزاد"</f>
        <v>مهرزاد</v>
      </c>
      <c r="C313" s="1" t="str">
        <f>"حيدريان اصل"</f>
        <v>حيدريان اصل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10211531</v>
      </c>
      <c r="G313" s="1">
        <v>9471274</v>
      </c>
      <c r="H313" s="1">
        <v>0</v>
      </c>
      <c r="I313" s="1">
        <v>8577686</v>
      </c>
      <c r="J313" s="1">
        <v>0</v>
      </c>
      <c r="K313" s="1">
        <v>0</v>
      </c>
      <c r="L313" s="1">
        <v>3460800</v>
      </c>
      <c r="M313" s="1">
        <v>400000</v>
      </c>
      <c r="N313" s="1">
        <v>5446150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9415763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4154425</v>
      </c>
      <c r="AE313" s="1">
        <v>0</v>
      </c>
      <c r="AF313" s="1">
        <v>3333807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55571436</v>
      </c>
      <c r="AO313" s="1">
        <v>11660564</v>
      </c>
      <c r="AP313" s="1">
        <v>43910872</v>
      </c>
      <c r="AQ313" s="1">
        <v>10447526</v>
      </c>
      <c r="AR313" s="1">
        <v>1567129</v>
      </c>
      <c r="AS313" s="1">
        <v>1325000</v>
      </c>
      <c r="AT313" s="1">
        <f t="shared" si="26"/>
        <v>68911091</v>
      </c>
    </row>
    <row r="314" spans="1:46">
      <c r="A314" s="1" t="str">
        <f>"00358"</f>
        <v>00358</v>
      </c>
      <c r="B314" s="1" t="str">
        <f>"رضا"</f>
        <v>رضا</v>
      </c>
      <c r="C314" s="1" t="str">
        <f>"افسون"</f>
        <v>افسون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7133490</v>
      </c>
      <c r="G314" s="1">
        <v>6794795</v>
      </c>
      <c r="H314" s="1">
        <v>0</v>
      </c>
      <c r="I314" s="1">
        <v>5207448</v>
      </c>
      <c r="J314" s="1">
        <v>0</v>
      </c>
      <c r="K314" s="1">
        <v>0</v>
      </c>
      <c r="L314" s="1">
        <v>3620700</v>
      </c>
      <c r="M314" s="1">
        <v>400000</v>
      </c>
      <c r="N314" s="1">
        <v>3804528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6858338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2964925</v>
      </c>
      <c r="AE314" s="1">
        <v>0</v>
      </c>
      <c r="AF314" s="1">
        <v>2222538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40106762</v>
      </c>
      <c r="AO314" s="1">
        <v>7579292</v>
      </c>
      <c r="AP314" s="1">
        <v>32527470</v>
      </c>
      <c r="AQ314" s="1">
        <v>7576845</v>
      </c>
      <c r="AR314" s="1">
        <v>1136527</v>
      </c>
      <c r="AS314" s="1">
        <v>1060000</v>
      </c>
      <c r="AT314" s="1">
        <f t="shared" si="26"/>
        <v>49880134</v>
      </c>
    </row>
    <row r="315" spans="1:46">
      <c r="A315" s="1" t="str">
        <f>"00359"</f>
        <v>00359</v>
      </c>
      <c r="B315" s="1" t="str">
        <f>"نعمت اله"</f>
        <v>نعمت اله</v>
      </c>
      <c r="C315" s="1" t="str">
        <f>"علي زاده"</f>
        <v>علي زاده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7880738</v>
      </c>
      <c r="G315" s="1">
        <v>1508861</v>
      </c>
      <c r="H315" s="1">
        <v>0</v>
      </c>
      <c r="I315" s="1">
        <v>5831746</v>
      </c>
      <c r="J315" s="1">
        <v>0</v>
      </c>
      <c r="K315" s="1">
        <v>0</v>
      </c>
      <c r="L315" s="1">
        <v>3620700</v>
      </c>
      <c r="M315" s="1">
        <v>400000</v>
      </c>
      <c r="N315" s="1">
        <v>4175226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8052944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2222538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34792753</v>
      </c>
      <c r="AO315" s="1">
        <v>5786947</v>
      </c>
      <c r="AP315" s="1">
        <v>29005806</v>
      </c>
      <c r="AQ315" s="1">
        <v>6514043</v>
      </c>
      <c r="AR315" s="1">
        <v>977106</v>
      </c>
      <c r="AS315" s="1">
        <v>1060000</v>
      </c>
      <c r="AT315" s="1">
        <f t="shared" si="26"/>
        <v>43343902</v>
      </c>
    </row>
    <row r="316" spans="1:46">
      <c r="A316" s="1" t="str">
        <f>"00360"</f>
        <v>00360</v>
      </c>
      <c r="B316" s="1" t="str">
        <f>"احمد"</f>
        <v>احمد</v>
      </c>
      <c r="C316" s="1" t="str">
        <f>"مقاتلي فرد"</f>
        <v>مقاتلي فرد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5841135</v>
      </c>
      <c r="G316" s="1">
        <v>8005041</v>
      </c>
      <c r="H316" s="1">
        <v>0</v>
      </c>
      <c r="I316" s="1">
        <v>4322440</v>
      </c>
      <c r="J316" s="1">
        <v>0</v>
      </c>
      <c r="K316" s="1">
        <v>0</v>
      </c>
      <c r="L316" s="1">
        <v>3620700</v>
      </c>
      <c r="M316" s="1">
        <v>400000</v>
      </c>
      <c r="N316" s="1">
        <v>3074282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3855297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2222538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32441433</v>
      </c>
      <c r="AO316" s="1">
        <v>8093414</v>
      </c>
      <c r="AP316" s="1">
        <v>24348019</v>
      </c>
      <c r="AQ316" s="1">
        <v>6043779</v>
      </c>
      <c r="AR316" s="1">
        <v>906567</v>
      </c>
      <c r="AS316" s="1">
        <v>1060000</v>
      </c>
      <c r="AT316" s="1">
        <f t="shared" si="26"/>
        <v>40451779</v>
      </c>
    </row>
    <row r="317" spans="1:46">
      <c r="A317" s="1" t="str">
        <f>"00361"</f>
        <v>00361</v>
      </c>
      <c r="B317" s="1" t="str">
        <f>"غلامعلي"</f>
        <v>غلامعلي</v>
      </c>
      <c r="C317" s="1" t="str">
        <f>"دشتي زاده"</f>
        <v>دشتي زاده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8978686</v>
      </c>
      <c r="G317" s="1">
        <v>5698172</v>
      </c>
      <c r="H317" s="1">
        <v>0</v>
      </c>
      <c r="I317" s="1">
        <v>6644228</v>
      </c>
      <c r="J317" s="1">
        <v>0</v>
      </c>
      <c r="K317" s="1">
        <v>0</v>
      </c>
      <c r="L317" s="1">
        <v>3620700</v>
      </c>
      <c r="M317" s="1">
        <v>400000</v>
      </c>
      <c r="N317" s="1">
        <v>4604454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6016875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1393600</v>
      </c>
      <c r="AD317" s="1">
        <v>0</v>
      </c>
      <c r="AE317" s="1">
        <v>0</v>
      </c>
      <c r="AF317" s="1">
        <v>3333807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41790522</v>
      </c>
      <c r="AO317" s="1">
        <v>9850130</v>
      </c>
      <c r="AP317" s="1">
        <v>31940392</v>
      </c>
      <c r="AQ317" s="1">
        <v>7691343</v>
      </c>
      <c r="AR317" s="1">
        <v>1153701</v>
      </c>
      <c r="AS317" s="1">
        <v>1325000</v>
      </c>
      <c r="AT317" s="1">
        <f t="shared" si="26"/>
        <v>51960566</v>
      </c>
    </row>
    <row r="318" spans="1:46">
      <c r="A318" s="1" t="str">
        <f>"00362"</f>
        <v>00362</v>
      </c>
      <c r="B318" s="1" t="str">
        <f>"غلامرضا"</f>
        <v>غلامرضا</v>
      </c>
      <c r="C318" s="1" t="str">
        <f>"حسين پور بوشهري"</f>
        <v>حسين پور بوشهري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7460916</v>
      </c>
      <c r="G318" s="1">
        <v>10543317</v>
      </c>
      <c r="H318" s="1">
        <v>0</v>
      </c>
      <c r="I318" s="1">
        <v>5670296</v>
      </c>
      <c r="J318" s="1">
        <v>0</v>
      </c>
      <c r="K318" s="1">
        <v>0</v>
      </c>
      <c r="L318" s="1">
        <v>3620700</v>
      </c>
      <c r="M318" s="1">
        <v>400000</v>
      </c>
      <c r="N318" s="1">
        <v>3801741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7561739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1393600</v>
      </c>
      <c r="AD318" s="1">
        <v>3292088</v>
      </c>
      <c r="AE318" s="1">
        <v>0</v>
      </c>
      <c r="AF318" s="1">
        <v>2222538</v>
      </c>
      <c r="AG318" s="1">
        <v>0</v>
      </c>
      <c r="AH318" s="1">
        <v>0</v>
      </c>
      <c r="AI318" s="1">
        <v>0</v>
      </c>
      <c r="AJ318" s="1">
        <v>4131259</v>
      </c>
      <c r="AK318" s="1">
        <v>0</v>
      </c>
      <c r="AL318" s="1">
        <v>0</v>
      </c>
      <c r="AM318" s="1">
        <v>0</v>
      </c>
      <c r="AN318" s="1">
        <v>51198194</v>
      </c>
      <c r="AO318" s="1">
        <v>6635061</v>
      </c>
      <c r="AP318" s="1">
        <v>44563133</v>
      </c>
      <c r="AQ318" s="1">
        <v>9795131</v>
      </c>
      <c r="AR318" s="1">
        <v>1469270</v>
      </c>
      <c r="AS318" s="1">
        <v>0</v>
      </c>
      <c r="AT318" s="1">
        <f t="shared" si="26"/>
        <v>62462595</v>
      </c>
    </row>
    <row r="319" spans="1:46">
      <c r="A319" s="1" t="str">
        <f>"00363"</f>
        <v>00363</v>
      </c>
      <c r="B319" s="1" t="str">
        <f>"بابک"</f>
        <v>بابک</v>
      </c>
      <c r="C319" s="1" t="str">
        <f>"خدادادي"</f>
        <v>خدادادي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7596873</v>
      </c>
      <c r="G319" s="1">
        <v>2108904</v>
      </c>
      <c r="H319" s="1">
        <v>0</v>
      </c>
      <c r="I319" s="1">
        <v>5925561</v>
      </c>
      <c r="J319" s="1">
        <v>0</v>
      </c>
      <c r="K319" s="1">
        <v>0</v>
      </c>
      <c r="L319" s="1">
        <v>3460800</v>
      </c>
      <c r="M319" s="1">
        <v>400000</v>
      </c>
      <c r="N319" s="1">
        <v>4051666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7887215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32531019</v>
      </c>
      <c r="AO319" s="1">
        <v>5664109</v>
      </c>
      <c r="AP319" s="1">
        <v>26866910</v>
      </c>
      <c r="AQ319" s="1">
        <v>6506204</v>
      </c>
      <c r="AR319" s="1">
        <v>975931</v>
      </c>
      <c r="AS319" s="1">
        <v>530000</v>
      </c>
      <c r="AT319" s="1">
        <f t="shared" si="26"/>
        <v>40543154</v>
      </c>
    </row>
    <row r="320" spans="1:46">
      <c r="A320" s="1" t="str">
        <f>"00364"</f>
        <v>00364</v>
      </c>
      <c r="B320" s="1" t="str">
        <f>"بهنام"</f>
        <v>بهنام</v>
      </c>
      <c r="C320" s="1" t="str">
        <f>"بهزادي"</f>
        <v>بهزادي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6161454</v>
      </c>
      <c r="G320" s="1">
        <v>3112587</v>
      </c>
      <c r="H320" s="1">
        <v>0</v>
      </c>
      <c r="I320" s="1">
        <v>4497861</v>
      </c>
      <c r="J320" s="1">
        <v>0</v>
      </c>
      <c r="K320" s="1">
        <v>0</v>
      </c>
      <c r="L320" s="1">
        <v>3620700</v>
      </c>
      <c r="M320" s="1">
        <v>400000</v>
      </c>
      <c r="N320" s="1">
        <v>3286109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6148825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2634919</v>
      </c>
      <c r="AE320" s="1">
        <v>0</v>
      </c>
      <c r="AF320" s="1">
        <v>1111269</v>
      </c>
      <c r="AG320" s="1">
        <v>0</v>
      </c>
      <c r="AH320" s="1">
        <v>0</v>
      </c>
      <c r="AI320" s="1">
        <v>0</v>
      </c>
      <c r="AJ320" s="1">
        <v>3320093</v>
      </c>
      <c r="AK320" s="1">
        <v>0</v>
      </c>
      <c r="AL320" s="1">
        <v>0</v>
      </c>
      <c r="AM320" s="1">
        <v>0</v>
      </c>
      <c r="AN320" s="1">
        <v>35393817</v>
      </c>
      <c r="AO320" s="1">
        <v>8317671</v>
      </c>
      <c r="AP320" s="1">
        <v>27076146</v>
      </c>
      <c r="AQ320" s="1">
        <v>6856510</v>
      </c>
      <c r="AR320" s="1">
        <v>1028476</v>
      </c>
      <c r="AS320" s="1">
        <v>600000</v>
      </c>
      <c r="AT320" s="1">
        <f t="shared" si="26"/>
        <v>43878803</v>
      </c>
    </row>
    <row r="321" spans="1:46">
      <c r="A321" s="1" t="str">
        <f>"00365"</f>
        <v>00365</v>
      </c>
      <c r="B321" s="1" t="str">
        <f>"محسن"</f>
        <v>محسن</v>
      </c>
      <c r="C321" s="1" t="str">
        <f>"قديمي"</f>
        <v>قديمي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15878292</v>
      </c>
      <c r="G321" s="1">
        <v>8517065</v>
      </c>
      <c r="H321" s="1">
        <v>0</v>
      </c>
      <c r="I321" s="1">
        <v>12252335</v>
      </c>
      <c r="J321" s="1">
        <v>0</v>
      </c>
      <c r="K321" s="1">
        <v>5500000</v>
      </c>
      <c r="L321" s="1">
        <v>0</v>
      </c>
      <c r="M321" s="1">
        <v>400000</v>
      </c>
      <c r="N321" s="1">
        <v>2802601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1270000</v>
      </c>
      <c r="U321" s="1">
        <v>0</v>
      </c>
      <c r="V321" s="1">
        <v>16657272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2425950</v>
      </c>
      <c r="AD321" s="1">
        <v>0</v>
      </c>
      <c r="AE321" s="1">
        <v>2001858</v>
      </c>
      <c r="AF321" s="1">
        <v>1111269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3603344</v>
      </c>
      <c r="AM321" s="1">
        <v>0</v>
      </c>
      <c r="AN321" s="1">
        <v>73519986</v>
      </c>
      <c r="AO321" s="1">
        <v>12811404</v>
      </c>
      <c r="AP321" s="1">
        <v>60708582</v>
      </c>
      <c r="AQ321" s="1">
        <v>14227743</v>
      </c>
      <c r="AR321" s="1">
        <v>2134162</v>
      </c>
      <c r="AS321" s="1">
        <v>0</v>
      </c>
      <c r="AT321" s="1">
        <f t="shared" si="26"/>
        <v>89881891</v>
      </c>
    </row>
    <row r="322" spans="1:46">
      <c r="A322" s="1" t="str">
        <f>"00366"</f>
        <v>00366</v>
      </c>
      <c r="B322" s="1" t="str">
        <f>"سهيل"</f>
        <v>سهيل</v>
      </c>
      <c r="C322" s="1" t="str">
        <f>"طاهري"</f>
        <v>طاهري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15297827</v>
      </c>
      <c r="G322" s="1">
        <v>7993757</v>
      </c>
      <c r="H322" s="1">
        <v>0</v>
      </c>
      <c r="I322" s="1">
        <v>12825339</v>
      </c>
      <c r="J322" s="1">
        <v>0</v>
      </c>
      <c r="K322" s="1">
        <v>5500000</v>
      </c>
      <c r="L322" s="1">
        <v>0</v>
      </c>
      <c r="M322" s="1">
        <v>400000</v>
      </c>
      <c r="N322" s="1">
        <v>2558392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1270000</v>
      </c>
      <c r="U322" s="1">
        <v>0</v>
      </c>
      <c r="V322" s="1">
        <v>7833835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1827423</v>
      </c>
      <c r="AF322" s="1">
        <v>1111269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3508651</v>
      </c>
      <c r="AM322" s="1">
        <v>0</v>
      </c>
      <c r="AN322" s="1">
        <v>61226493</v>
      </c>
      <c r="AO322" s="1">
        <v>14804743</v>
      </c>
      <c r="AP322" s="1">
        <v>46421750</v>
      </c>
      <c r="AQ322" s="1">
        <v>11769045</v>
      </c>
      <c r="AR322" s="1">
        <v>1765357</v>
      </c>
      <c r="AS322" s="1">
        <v>0</v>
      </c>
      <c r="AT322" s="1">
        <f t="shared" si="26"/>
        <v>74760895</v>
      </c>
    </row>
    <row r="323" spans="1:46">
      <c r="A323" s="1" t="str">
        <f>"00367"</f>
        <v>00367</v>
      </c>
      <c r="B323" s="1" t="str">
        <f>"ميترا"</f>
        <v>ميترا</v>
      </c>
      <c r="C323" s="1" t="str">
        <f>"نوري"</f>
        <v>نوري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15773180</v>
      </c>
      <c r="G323" s="1">
        <v>4356704</v>
      </c>
      <c r="H323" s="1">
        <v>0</v>
      </c>
      <c r="I323" s="1">
        <v>12709116</v>
      </c>
      <c r="J323" s="1">
        <v>0</v>
      </c>
      <c r="K323" s="1">
        <v>4125000</v>
      </c>
      <c r="L323" s="1">
        <v>0</v>
      </c>
      <c r="M323" s="1">
        <v>400000</v>
      </c>
      <c r="N323" s="1">
        <v>2716777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6433402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1940555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3104887</v>
      </c>
      <c r="AM323" s="1">
        <v>0</v>
      </c>
      <c r="AN323" s="1">
        <v>52659621</v>
      </c>
      <c r="AO323" s="1">
        <v>10274816</v>
      </c>
      <c r="AP323" s="1">
        <v>42384805</v>
      </c>
      <c r="AQ323" s="1">
        <v>10531924</v>
      </c>
      <c r="AR323" s="1">
        <v>1579789</v>
      </c>
      <c r="AS323" s="1">
        <v>0</v>
      </c>
      <c r="AT323" s="1">
        <f t="shared" ref="AT323:AT386" si="34">AS323+AR323+AQ323+AN323</f>
        <v>64771334</v>
      </c>
    </row>
    <row r="324" spans="1:46">
      <c r="A324" s="1" t="str">
        <f>"00368"</f>
        <v>00368</v>
      </c>
      <c r="B324" s="1" t="str">
        <f>"راضيه"</f>
        <v>راضيه</v>
      </c>
      <c r="C324" s="1" t="str">
        <f>"اژدري"</f>
        <v>اژدري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15009470</v>
      </c>
      <c r="G324" s="1">
        <v>3171879</v>
      </c>
      <c r="H324" s="1">
        <v>0</v>
      </c>
      <c r="I324" s="1">
        <v>11633776</v>
      </c>
      <c r="J324" s="1">
        <v>0</v>
      </c>
      <c r="K324" s="1">
        <v>4125000</v>
      </c>
      <c r="L324" s="1">
        <v>0</v>
      </c>
      <c r="M324" s="1">
        <v>400000</v>
      </c>
      <c r="N324" s="1">
        <v>2429368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5961213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1735263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2776420</v>
      </c>
      <c r="AM324" s="1">
        <v>0</v>
      </c>
      <c r="AN324" s="1">
        <v>48342389</v>
      </c>
      <c r="AO324" s="1">
        <v>6385521</v>
      </c>
      <c r="AP324" s="1">
        <v>41956868</v>
      </c>
      <c r="AQ324" s="1">
        <v>9668478</v>
      </c>
      <c r="AR324" s="1">
        <v>1450272</v>
      </c>
      <c r="AS324" s="1">
        <v>0</v>
      </c>
      <c r="AT324" s="1">
        <f t="shared" si="34"/>
        <v>59461139</v>
      </c>
    </row>
    <row r="325" spans="1:46">
      <c r="A325" s="1" t="str">
        <f>"00369"</f>
        <v>00369</v>
      </c>
      <c r="B325" s="1" t="str">
        <f>"غلامرضا"</f>
        <v>غلامرضا</v>
      </c>
      <c r="C325" s="1" t="str">
        <f>"ميرکي"</f>
        <v>ميرکي</v>
      </c>
      <c r="D325" s="1" t="str">
        <f t="shared" ref="D325:D335" si="35">"قراردادي کارگري"</f>
        <v>قراردادي کارگري</v>
      </c>
      <c r="E325" s="1" t="str">
        <f t="shared" ref="E325:E336" si="36">"پروژه تعميرات نيروگاه بوشهر"</f>
        <v>پروژه تعميرات نيروگاه بوشهر</v>
      </c>
      <c r="F325" s="1">
        <v>7607175</v>
      </c>
      <c r="G325" s="1">
        <v>3803562</v>
      </c>
      <c r="H325" s="1">
        <v>0</v>
      </c>
      <c r="I325" s="1">
        <v>5553237</v>
      </c>
      <c r="J325" s="1">
        <v>0</v>
      </c>
      <c r="K325" s="1">
        <v>0</v>
      </c>
      <c r="L325" s="1">
        <v>3620700</v>
      </c>
      <c r="M325" s="1">
        <v>400000</v>
      </c>
      <c r="N325" s="1">
        <v>4030291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9872796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3121710</v>
      </c>
      <c r="AE325" s="1">
        <v>0</v>
      </c>
      <c r="AF325" s="1">
        <v>3333807</v>
      </c>
      <c r="AG325" s="1">
        <v>0</v>
      </c>
      <c r="AH325" s="1">
        <v>0</v>
      </c>
      <c r="AI325" s="1">
        <v>0</v>
      </c>
      <c r="AJ325" s="1">
        <v>4295788</v>
      </c>
      <c r="AK325" s="1">
        <v>0</v>
      </c>
      <c r="AL325" s="1">
        <v>0</v>
      </c>
      <c r="AM325" s="1">
        <v>0</v>
      </c>
      <c r="AN325" s="1">
        <v>46739066</v>
      </c>
      <c r="AO325" s="1">
        <v>8195361</v>
      </c>
      <c r="AP325" s="1">
        <v>38543705</v>
      </c>
      <c r="AQ325" s="1">
        <v>8681052</v>
      </c>
      <c r="AR325" s="1">
        <v>1302158</v>
      </c>
      <c r="AS325" s="1">
        <v>1325000</v>
      </c>
      <c r="AT325" s="1">
        <f t="shared" si="34"/>
        <v>58047276</v>
      </c>
    </row>
    <row r="326" spans="1:46">
      <c r="A326" s="1" t="str">
        <f>"00370"</f>
        <v>00370</v>
      </c>
      <c r="B326" s="1" t="str">
        <f>"احمد"</f>
        <v>احمد</v>
      </c>
      <c r="C326" s="1" t="str">
        <f>"عابدي"</f>
        <v>عابدي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5952344</v>
      </c>
      <c r="G326" s="1">
        <v>1835105</v>
      </c>
      <c r="H326" s="1">
        <v>0</v>
      </c>
      <c r="I326" s="1">
        <v>4345211</v>
      </c>
      <c r="J326" s="1">
        <v>0</v>
      </c>
      <c r="K326" s="1">
        <v>0</v>
      </c>
      <c r="L326" s="1">
        <v>3620700</v>
      </c>
      <c r="M326" s="1">
        <v>400000</v>
      </c>
      <c r="N326" s="1">
        <v>3132813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8116092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2557660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3523402</v>
      </c>
      <c r="AK326" s="1">
        <v>0</v>
      </c>
      <c r="AL326" s="1">
        <v>0</v>
      </c>
      <c r="AM326" s="1">
        <v>0</v>
      </c>
      <c r="AN326" s="1">
        <v>34583327</v>
      </c>
      <c r="AO326" s="1">
        <v>5905896</v>
      </c>
      <c r="AP326" s="1">
        <v>28677431</v>
      </c>
      <c r="AQ326" s="1">
        <v>6916665</v>
      </c>
      <c r="AR326" s="1">
        <v>1037500</v>
      </c>
      <c r="AS326" s="1">
        <v>195000</v>
      </c>
      <c r="AT326" s="1">
        <f t="shared" si="34"/>
        <v>42732492</v>
      </c>
    </row>
    <row r="327" spans="1:46">
      <c r="A327" s="1" t="str">
        <f>"00371"</f>
        <v>00371</v>
      </c>
      <c r="B327" s="1" t="str">
        <f>"اميد"</f>
        <v>اميد</v>
      </c>
      <c r="C327" s="1" t="str">
        <f>"محمدي"</f>
        <v>محمدي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6052962</v>
      </c>
      <c r="G327" s="1">
        <v>5047075</v>
      </c>
      <c r="H327" s="1">
        <v>0</v>
      </c>
      <c r="I327" s="1">
        <v>4116014</v>
      </c>
      <c r="J327" s="1">
        <v>0</v>
      </c>
      <c r="K327" s="1">
        <v>0</v>
      </c>
      <c r="L327" s="1">
        <v>3620700</v>
      </c>
      <c r="M327" s="1">
        <v>400000</v>
      </c>
      <c r="N327" s="1">
        <v>3185770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6096897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2546317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3230128</v>
      </c>
      <c r="AK327" s="1">
        <v>0</v>
      </c>
      <c r="AL327" s="1">
        <v>0</v>
      </c>
      <c r="AM327" s="1">
        <v>0</v>
      </c>
      <c r="AN327" s="1">
        <v>35395863</v>
      </c>
      <c r="AO327" s="1">
        <v>7812895</v>
      </c>
      <c r="AP327" s="1">
        <v>27582968</v>
      </c>
      <c r="AQ327" s="1">
        <v>7079173</v>
      </c>
      <c r="AR327" s="1">
        <v>1061876</v>
      </c>
      <c r="AS327" s="1">
        <v>530000</v>
      </c>
      <c r="AT327" s="1">
        <f t="shared" si="34"/>
        <v>44066912</v>
      </c>
    </row>
    <row r="328" spans="1:46">
      <c r="A328" s="1" t="str">
        <f>"00372"</f>
        <v>00372</v>
      </c>
      <c r="B328" s="1" t="str">
        <f>"رسول"</f>
        <v>رسول</v>
      </c>
      <c r="C328" s="1" t="str">
        <f>"حسن احمدي"</f>
        <v>حسن احمدي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7228394</v>
      </c>
      <c r="G328" s="1">
        <v>6639014</v>
      </c>
      <c r="H328" s="1">
        <v>0</v>
      </c>
      <c r="I328" s="1">
        <v>5204444</v>
      </c>
      <c r="J328" s="1">
        <v>0</v>
      </c>
      <c r="K328" s="1">
        <v>0</v>
      </c>
      <c r="L328" s="1">
        <v>3620700</v>
      </c>
      <c r="M328" s="1">
        <v>400000</v>
      </c>
      <c r="N328" s="1">
        <v>3829613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6896066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2982473</v>
      </c>
      <c r="AE328" s="1">
        <v>0</v>
      </c>
      <c r="AF328" s="1">
        <v>3333807</v>
      </c>
      <c r="AG328" s="1">
        <v>0</v>
      </c>
      <c r="AH328" s="1">
        <v>0</v>
      </c>
      <c r="AI328" s="1">
        <v>0</v>
      </c>
      <c r="AJ328" s="1">
        <v>3749090</v>
      </c>
      <c r="AK328" s="1">
        <v>0</v>
      </c>
      <c r="AL328" s="1">
        <v>0</v>
      </c>
      <c r="AM328" s="1">
        <v>0</v>
      </c>
      <c r="AN328" s="1">
        <v>44983601</v>
      </c>
      <c r="AO328" s="1">
        <v>8606666</v>
      </c>
      <c r="AP328" s="1">
        <v>36376935</v>
      </c>
      <c r="AQ328" s="1">
        <v>8329959</v>
      </c>
      <c r="AR328" s="1">
        <v>1249494</v>
      </c>
      <c r="AS328" s="1">
        <v>1325000</v>
      </c>
      <c r="AT328" s="1">
        <f t="shared" si="34"/>
        <v>55888054</v>
      </c>
    </row>
    <row r="329" spans="1:46">
      <c r="A329" s="1" t="str">
        <f>"00373"</f>
        <v>00373</v>
      </c>
      <c r="B329" s="1" t="str">
        <f>"شکراله"</f>
        <v>شکراله</v>
      </c>
      <c r="C329" s="1" t="str">
        <f>"عباسي"</f>
        <v>عباسي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9730812</v>
      </c>
      <c r="G329" s="1">
        <v>10171217</v>
      </c>
      <c r="H329" s="1">
        <v>0</v>
      </c>
      <c r="I329" s="1">
        <v>8660423</v>
      </c>
      <c r="J329" s="1">
        <v>0</v>
      </c>
      <c r="K329" s="1">
        <v>0</v>
      </c>
      <c r="L329" s="1">
        <v>3620700</v>
      </c>
      <c r="M329" s="1">
        <v>400000</v>
      </c>
      <c r="N329" s="1">
        <v>5189766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5238060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2222538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46333516</v>
      </c>
      <c r="AO329" s="1">
        <v>9869461</v>
      </c>
      <c r="AP329" s="1">
        <v>36464055</v>
      </c>
      <c r="AQ329" s="1">
        <v>8822196</v>
      </c>
      <c r="AR329" s="1">
        <v>1323329</v>
      </c>
      <c r="AS329" s="1">
        <v>1325000</v>
      </c>
      <c r="AT329" s="1">
        <f t="shared" si="34"/>
        <v>57804041</v>
      </c>
    </row>
    <row r="330" spans="1:46">
      <c r="A330" s="1" t="str">
        <f>"00374"</f>
        <v>00374</v>
      </c>
      <c r="B330" s="1" t="str">
        <f>"مهدي"</f>
        <v>مهدي</v>
      </c>
      <c r="C330" s="1" t="str">
        <f>"برتون"</f>
        <v>برتون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7449349</v>
      </c>
      <c r="G330" s="1">
        <v>2610103</v>
      </c>
      <c r="H330" s="1">
        <v>0</v>
      </c>
      <c r="I330" s="1">
        <v>5438025</v>
      </c>
      <c r="J330" s="1">
        <v>0</v>
      </c>
      <c r="K330" s="1">
        <v>0</v>
      </c>
      <c r="L330" s="1">
        <v>3620700</v>
      </c>
      <c r="M330" s="1">
        <v>400000</v>
      </c>
      <c r="N330" s="1">
        <v>3946675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7080407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3068212</v>
      </c>
      <c r="AE330" s="1">
        <v>0</v>
      </c>
      <c r="AF330" s="1">
        <v>4445076</v>
      </c>
      <c r="AG330" s="1">
        <v>0</v>
      </c>
      <c r="AH330" s="1">
        <v>0</v>
      </c>
      <c r="AI330" s="1">
        <v>0</v>
      </c>
      <c r="AJ330" s="1">
        <v>1284974</v>
      </c>
      <c r="AK330" s="1">
        <v>0</v>
      </c>
      <c r="AL330" s="1">
        <v>0</v>
      </c>
      <c r="AM330" s="1">
        <v>0</v>
      </c>
      <c r="AN330" s="1">
        <v>40443521</v>
      </c>
      <c r="AO330" s="1">
        <v>9932297</v>
      </c>
      <c r="AP330" s="1">
        <v>30511224</v>
      </c>
      <c r="AQ330" s="1">
        <v>7199689</v>
      </c>
      <c r="AR330" s="1">
        <v>1079953</v>
      </c>
      <c r="AS330" s="1">
        <v>1590000</v>
      </c>
      <c r="AT330" s="1">
        <f t="shared" si="34"/>
        <v>50313163</v>
      </c>
    </row>
    <row r="331" spans="1:46">
      <c r="A331" s="1" t="str">
        <f>"00375"</f>
        <v>00375</v>
      </c>
      <c r="B331" s="1" t="str">
        <f>"محمدرضا"</f>
        <v>محمدرضا</v>
      </c>
      <c r="C331" s="1" t="str">
        <f>"قادري"</f>
        <v>قادري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10573560</v>
      </c>
      <c r="G331" s="1">
        <v>17919830</v>
      </c>
      <c r="H331" s="1">
        <v>0</v>
      </c>
      <c r="I331" s="1">
        <v>8458848</v>
      </c>
      <c r="J331" s="1">
        <v>0</v>
      </c>
      <c r="K331" s="1">
        <v>0</v>
      </c>
      <c r="L331" s="1">
        <v>3460800</v>
      </c>
      <c r="M331" s="1">
        <v>400000</v>
      </c>
      <c r="N331" s="1">
        <v>5639232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6000569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1111269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54664108</v>
      </c>
      <c r="AO331" s="1">
        <v>13236328</v>
      </c>
      <c r="AP331" s="1">
        <v>41427780</v>
      </c>
      <c r="AQ331" s="1">
        <v>10710568</v>
      </c>
      <c r="AR331" s="1">
        <v>1606585</v>
      </c>
      <c r="AS331" s="1">
        <v>600000</v>
      </c>
      <c r="AT331" s="1">
        <f t="shared" si="34"/>
        <v>67581261</v>
      </c>
    </row>
    <row r="332" spans="1:46">
      <c r="A332" s="1" t="str">
        <f>"00376"</f>
        <v>00376</v>
      </c>
      <c r="B332" s="1" t="str">
        <f>"امين"</f>
        <v>امين</v>
      </c>
      <c r="C332" s="1" t="str">
        <f>"عسکرزاده شيرازي"</f>
        <v>عسکرزاده شيرازي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9895640</v>
      </c>
      <c r="G332" s="1">
        <v>4738798</v>
      </c>
      <c r="H332" s="1">
        <v>0</v>
      </c>
      <c r="I332" s="1">
        <v>7322774</v>
      </c>
      <c r="J332" s="1">
        <v>0</v>
      </c>
      <c r="K332" s="1">
        <v>0</v>
      </c>
      <c r="L332" s="1">
        <v>3620700</v>
      </c>
      <c r="M332" s="1">
        <v>400000</v>
      </c>
      <c r="N332" s="1">
        <v>5242723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6412777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2222538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40955950</v>
      </c>
      <c r="AO332" s="1">
        <v>6922364</v>
      </c>
      <c r="AP332" s="1">
        <v>34033586</v>
      </c>
      <c r="AQ332" s="1">
        <v>7746682</v>
      </c>
      <c r="AR332" s="1">
        <v>1162002</v>
      </c>
      <c r="AS332" s="1">
        <v>1060000</v>
      </c>
      <c r="AT332" s="1">
        <f t="shared" si="34"/>
        <v>50924634</v>
      </c>
    </row>
    <row r="333" spans="1:46">
      <c r="A333" s="1" t="str">
        <f>"00377"</f>
        <v>00377</v>
      </c>
      <c r="B333" s="1" t="str">
        <f>"احمد"</f>
        <v>احمد</v>
      </c>
      <c r="C333" s="1" t="str">
        <f>"فقيه الاسلام جهرمي"</f>
        <v>فقيه الاسلام جهرمي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8556539</v>
      </c>
      <c r="G333" s="1">
        <v>30013400</v>
      </c>
      <c r="H333" s="1">
        <v>0</v>
      </c>
      <c r="I333" s="1">
        <v>8043146</v>
      </c>
      <c r="J333" s="1">
        <v>0</v>
      </c>
      <c r="K333" s="1">
        <v>0</v>
      </c>
      <c r="L333" s="1">
        <v>3460800</v>
      </c>
      <c r="M333" s="1">
        <v>400000</v>
      </c>
      <c r="N333" s="1">
        <v>4563488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5420724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1111269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62669366</v>
      </c>
      <c r="AO333" s="1">
        <v>11835702</v>
      </c>
      <c r="AP333" s="1">
        <v>50833664</v>
      </c>
      <c r="AQ333" s="1">
        <v>12311619</v>
      </c>
      <c r="AR333" s="1">
        <v>1846743</v>
      </c>
      <c r="AS333" s="1">
        <v>795000</v>
      </c>
      <c r="AT333" s="1">
        <f t="shared" si="34"/>
        <v>77622728</v>
      </c>
    </row>
    <row r="334" spans="1:46">
      <c r="A334" s="1" t="str">
        <f>"00379"</f>
        <v>00379</v>
      </c>
      <c r="B334" s="1" t="str">
        <f>"كاظم"</f>
        <v>كاظم</v>
      </c>
      <c r="C334" s="1" t="str">
        <f>"مسعودي"</f>
        <v>مسعودي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10147220</v>
      </c>
      <c r="G334" s="1">
        <v>11682134</v>
      </c>
      <c r="H334" s="1">
        <v>0</v>
      </c>
      <c r="I334" s="1">
        <v>7610415</v>
      </c>
      <c r="J334" s="1">
        <v>0</v>
      </c>
      <c r="K334" s="1">
        <v>0</v>
      </c>
      <c r="L334" s="1">
        <v>3620700</v>
      </c>
      <c r="M334" s="1">
        <v>400000</v>
      </c>
      <c r="N334" s="1">
        <v>5203702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6853086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1393600</v>
      </c>
      <c r="AD334" s="1">
        <v>0</v>
      </c>
      <c r="AE334" s="1">
        <v>0</v>
      </c>
      <c r="AF334" s="1">
        <v>3333807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51344664</v>
      </c>
      <c r="AO334" s="1">
        <v>13277546</v>
      </c>
      <c r="AP334" s="1">
        <v>38067118</v>
      </c>
      <c r="AQ334" s="1">
        <v>9602171</v>
      </c>
      <c r="AR334" s="1">
        <v>1440326</v>
      </c>
      <c r="AS334" s="1">
        <v>1325000</v>
      </c>
      <c r="AT334" s="1">
        <f t="shared" si="34"/>
        <v>63712161</v>
      </c>
    </row>
    <row r="335" spans="1:46">
      <c r="A335" s="1" t="str">
        <f>"00380"</f>
        <v>00380</v>
      </c>
      <c r="B335" s="1" t="str">
        <f>"سجاد"</f>
        <v>سجاد</v>
      </c>
      <c r="C335" s="1" t="str">
        <f>"عاشوري"</f>
        <v>عاشوري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6074145</v>
      </c>
      <c r="G335" s="1">
        <v>6724000</v>
      </c>
      <c r="H335" s="1">
        <v>0</v>
      </c>
      <c r="I335" s="1">
        <v>4069677</v>
      </c>
      <c r="J335" s="1">
        <v>0</v>
      </c>
      <c r="K335" s="1">
        <v>0</v>
      </c>
      <c r="L335" s="1">
        <v>3620700</v>
      </c>
      <c r="M335" s="1">
        <v>400000</v>
      </c>
      <c r="N335" s="1">
        <v>3196918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6092275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2544216</v>
      </c>
      <c r="AE335" s="1">
        <v>0</v>
      </c>
      <c r="AF335" s="1">
        <v>2222538</v>
      </c>
      <c r="AG335" s="1">
        <v>0</v>
      </c>
      <c r="AH335" s="1">
        <v>0</v>
      </c>
      <c r="AI335" s="1">
        <v>0</v>
      </c>
      <c r="AJ335" s="1">
        <v>3227520</v>
      </c>
      <c r="AK335" s="1">
        <v>0</v>
      </c>
      <c r="AL335" s="1">
        <v>0</v>
      </c>
      <c r="AM335" s="1">
        <v>0</v>
      </c>
      <c r="AN335" s="1">
        <v>39271989</v>
      </c>
      <c r="AO335" s="1">
        <v>7252125</v>
      </c>
      <c r="AP335" s="1">
        <v>32019864</v>
      </c>
      <c r="AQ335" s="1">
        <v>7409890</v>
      </c>
      <c r="AR335" s="1">
        <v>1111484</v>
      </c>
      <c r="AS335" s="1">
        <v>530000</v>
      </c>
      <c r="AT335" s="1">
        <f t="shared" si="34"/>
        <v>48323363</v>
      </c>
    </row>
    <row r="336" spans="1:46">
      <c r="A336" s="1" t="str">
        <f>"00381"</f>
        <v>00381</v>
      </c>
      <c r="B336" s="1" t="str">
        <f>"سيد محمود"</f>
        <v>سيد محمود</v>
      </c>
      <c r="C336" s="1" t="str">
        <f>"سجاديان"</f>
        <v>سجاديان</v>
      </c>
      <c r="D336" s="1" t="str">
        <f>"قراردادي بهره بردار"</f>
        <v>قراردادي بهره بردار</v>
      </c>
      <c r="E336" s="1" t="str">
        <f t="shared" si="36"/>
        <v>پروژه تعميرات نيروگاه بوشهر</v>
      </c>
      <c r="F336" s="1">
        <v>20322273</v>
      </c>
      <c r="G336" s="1">
        <v>13896073</v>
      </c>
      <c r="H336" s="1">
        <v>0</v>
      </c>
      <c r="I336" s="1">
        <v>24022610</v>
      </c>
      <c r="J336" s="1">
        <v>0</v>
      </c>
      <c r="K336" s="1">
        <v>5500000</v>
      </c>
      <c r="L336" s="1">
        <v>0</v>
      </c>
      <c r="M336" s="1">
        <v>400000</v>
      </c>
      <c r="N336" s="1">
        <v>2926504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5588701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3180690</v>
      </c>
      <c r="AD336" s="1">
        <v>0</v>
      </c>
      <c r="AE336" s="1">
        <v>2090360</v>
      </c>
      <c r="AF336" s="1">
        <v>1111269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3344576</v>
      </c>
      <c r="AM336" s="1">
        <v>0</v>
      </c>
      <c r="AN336" s="1">
        <v>83483056</v>
      </c>
      <c r="AO336" s="1">
        <v>26248392</v>
      </c>
      <c r="AP336" s="1">
        <v>57234664</v>
      </c>
      <c r="AQ336" s="1">
        <v>15557766</v>
      </c>
      <c r="AR336" s="1">
        <v>2333665</v>
      </c>
      <c r="AS336" s="1">
        <v>0</v>
      </c>
      <c r="AT336" s="1">
        <f t="shared" si="34"/>
        <v>101374487</v>
      </c>
    </row>
    <row r="337" spans="1:46">
      <c r="A337" s="1" t="str">
        <f>"00382"</f>
        <v>00382</v>
      </c>
      <c r="B337" s="1" t="str">
        <f>"سيد امير"</f>
        <v>سيد امير</v>
      </c>
      <c r="C337" s="1" t="str">
        <f>"حسيني"</f>
        <v>حسيني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16022784</v>
      </c>
      <c r="G337" s="1">
        <v>16868918</v>
      </c>
      <c r="H337" s="1">
        <v>0</v>
      </c>
      <c r="I337" s="1">
        <v>13155958</v>
      </c>
      <c r="J337" s="1">
        <v>0</v>
      </c>
      <c r="K337" s="1">
        <v>5500000</v>
      </c>
      <c r="L337" s="1">
        <v>0</v>
      </c>
      <c r="M337" s="1">
        <v>400000</v>
      </c>
      <c r="N337" s="1">
        <v>2513942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1270000</v>
      </c>
      <c r="U337" s="1">
        <v>0</v>
      </c>
      <c r="V337" s="1">
        <v>9620294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1795672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3160383</v>
      </c>
      <c r="AM337" s="1">
        <v>0</v>
      </c>
      <c r="AN337" s="1">
        <v>71407951</v>
      </c>
      <c r="AO337" s="1">
        <v>15395997</v>
      </c>
      <c r="AP337" s="1">
        <v>56011954</v>
      </c>
      <c r="AQ337" s="1">
        <v>14027590</v>
      </c>
      <c r="AR337" s="1">
        <v>2104139</v>
      </c>
      <c r="AS337" s="1">
        <v>0</v>
      </c>
      <c r="AT337" s="1">
        <f t="shared" si="34"/>
        <v>87539680</v>
      </c>
    </row>
    <row r="338" spans="1:46">
      <c r="A338" s="1" t="str">
        <f>"00383"</f>
        <v>00383</v>
      </c>
      <c r="B338" s="1" t="str">
        <f>"زهرا"</f>
        <v>زهرا</v>
      </c>
      <c r="C338" s="1" t="str">
        <f>"عفيفيان"</f>
        <v>عفيفيان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7360995</v>
      </c>
      <c r="G338" s="1">
        <v>326701</v>
      </c>
      <c r="H338" s="1">
        <v>0</v>
      </c>
      <c r="I338" s="1">
        <v>5373526</v>
      </c>
      <c r="J338" s="1">
        <v>0</v>
      </c>
      <c r="K338" s="1">
        <v>0</v>
      </c>
      <c r="L338" s="1">
        <v>3620700</v>
      </c>
      <c r="M338" s="1">
        <v>400000</v>
      </c>
      <c r="N338" s="1">
        <v>3874208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2172943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24229073</v>
      </c>
      <c r="AO338" s="1">
        <v>5567629</v>
      </c>
      <c r="AP338" s="1">
        <v>18661444</v>
      </c>
      <c r="AQ338" s="1">
        <v>4845815</v>
      </c>
      <c r="AR338" s="1">
        <v>726872</v>
      </c>
      <c r="AS338" s="1">
        <v>300000</v>
      </c>
      <c r="AT338" s="1">
        <f t="shared" si="34"/>
        <v>30101760</v>
      </c>
    </row>
    <row r="339" spans="1:46">
      <c r="A339" s="1" t="str">
        <f>"00384"</f>
        <v>00384</v>
      </c>
      <c r="B339" s="1" t="str">
        <f>"غلامرضا"</f>
        <v>غلامرضا</v>
      </c>
      <c r="C339" s="1" t="str">
        <f>"خسروي"</f>
        <v>خسروي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6007879</v>
      </c>
      <c r="G339" s="1">
        <v>7137662</v>
      </c>
      <c r="H339" s="1">
        <v>0</v>
      </c>
      <c r="I339" s="1">
        <v>4445831</v>
      </c>
      <c r="J339" s="1">
        <v>0</v>
      </c>
      <c r="K339" s="1">
        <v>0</v>
      </c>
      <c r="L339" s="1">
        <v>3620700</v>
      </c>
      <c r="M339" s="1">
        <v>400000</v>
      </c>
      <c r="N339" s="1">
        <v>3182982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6049259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31944313</v>
      </c>
      <c r="AO339" s="1">
        <v>7908207</v>
      </c>
      <c r="AP339" s="1">
        <v>24036106</v>
      </c>
      <c r="AQ339" s="1">
        <v>6388863</v>
      </c>
      <c r="AR339" s="1">
        <v>958329</v>
      </c>
      <c r="AS339" s="1">
        <v>300000</v>
      </c>
      <c r="AT339" s="1">
        <f t="shared" si="34"/>
        <v>39591505</v>
      </c>
    </row>
    <row r="340" spans="1:46">
      <c r="A340" s="1" t="str">
        <f>"00385"</f>
        <v>00385</v>
      </c>
      <c r="B340" s="1" t="str">
        <f>"محمد"</f>
        <v>محمد</v>
      </c>
      <c r="C340" s="1" t="str">
        <f>"پولادي نژاد"</f>
        <v>پولادي نژاد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11074316</v>
      </c>
      <c r="G340" s="1">
        <v>5372598</v>
      </c>
      <c r="H340" s="1">
        <v>0</v>
      </c>
      <c r="I340" s="1">
        <v>8897569</v>
      </c>
      <c r="J340" s="1">
        <v>0</v>
      </c>
      <c r="K340" s="1">
        <v>4620000</v>
      </c>
      <c r="L340" s="1">
        <v>0</v>
      </c>
      <c r="M340" s="1">
        <v>400000</v>
      </c>
      <c r="N340" s="1">
        <v>1719029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6660819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1227878</v>
      </c>
      <c r="AF340" s="1">
        <v>1111269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2455756</v>
      </c>
      <c r="AM340" s="1">
        <v>0</v>
      </c>
      <c r="AN340" s="1">
        <v>44639234</v>
      </c>
      <c r="AO340" s="1">
        <v>17252146</v>
      </c>
      <c r="AP340" s="1">
        <v>27387088</v>
      </c>
      <c r="AQ340" s="1">
        <v>8705593</v>
      </c>
      <c r="AR340" s="1">
        <v>1305839</v>
      </c>
      <c r="AS340" s="1">
        <v>0</v>
      </c>
      <c r="AT340" s="1">
        <f t="shared" si="34"/>
        <v>54650666</v>
      </c>
    </row>
    <row r="341" spans="1:46">
      <c r="A341" s="1" t="str">
        <f>"00386"</f>
        <v>00386</v>
      </c>
      <c r="B341" s="1" t="str">
        <f>"سيد اسد"</f>
        <v>سيد اسد</v>
      </c>
      <c r="C341" s="1" t="str">
        <f>"موسوي"</f>
        <v>موسوي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8304114</v>
      </c>
      <c r="G341" s="1">
        <v>7717068</v>
      </c>
      <c r="H341" s="1">
        <v>0</v>
      </c>
      <c r="I341" s="1">
        <v>6145044</v>
      </c>
      <c r="J341" s="1">
        <v>0</v>
      </c>
      <c r="K341" s="1">
        <v>0</v>
      </c>
      <c r="L341" s="1">
        <v>3620700</v>
      </c>
      <c r="M341" s="1">
        <v>400000</v>
      </c>
      <c r="N341" s="1">
        <v>4428861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7739587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3374808</v>
      </c>
      <c r="AE341" s="1">
        <v>0</v>
      </c>
      <c r="AF341" s="1">
        <v>2222538</v>
      </c>
      <c r="AG341" s="1">
        <v>0</v>
      </c>
      <c r="AH341" s="1">
        <v>0</v>
      </c>
      <c r="AI341" s="1">
        <v>0</v>
      </c>
      <c r="AJ341" s="1">
        <v>4233363</v>
      </c>
      <c r="AK341" s="1">
        <v>0</v>
      </c>
      <c r="AL341" s="1">
        <v>0</v>
      </c>
      <c r="AM341" s="1">
        <v>0</v>
      </c>
      <c r="AN341" s="1">
        <v>49286083</v>
      </c>
      <c r="AO341" s="1">
        <v>9960492</v>
      </c>
      <c r="AP341" s="1">
        <v>39325591</v>
      </c>
      <c r="AQ341" s="1">
        <v>9412709</v>
      </c>
      <c r="AR341" s="1">
        <v>1411906</v>
      </c>
      <c r="AS341" s="1">
        <v>600000</v>
      </c>
      <c r="AT341" s="1">
        <f t="shared" si="34"/>
        <v>60710698</v>
      </c>
    </row>
    <row r="342" spans="1:46">
      <c r="A342" s="1" t="str">
        <f>"00387"</f>
        <v>00387</v>
      </c>
      <c r="B342" s="1" t="str">
        <f>"عادل"</f>
        <v>عادل</v>
      </c>
      <c r="C342" s="1" t="str">
        <f>"محمدي نهاد"</f>
        <v>محمدي نهاد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14673125</v>
      </c>
      <c r="G342" s="1">
        <v>4820163</v>
      </c>
      <c r="H342" s="1">
        <v>0</v>
      </c>
      <c r="I342" s="1">
        <v>11004760</v>
      </c>
      <c r="J342" s="1">
        <v>0</v>
      </c>
      <c r="K342" s="1">
        <v>5500000</v>
      </c>
      <c r="L342" s="1">
        <v>0</v>
      </c>
      <c r="M342" s="1">
        <v>400000</v>
      </c>
      <c r="N342" s="1">
        <v>2307239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6615349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1648028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2636845</v>
      </c>
      <c r="AM342" s="1">
        <v>0</v>
      </c>
      <c r="AN342" s="1">
        <v>50705509</v>
      </c>
      <c r="AO342" s="1">
        <v>6703423</v>
      </c>
      <c r="AP342" s="1">
        <v>44002086</v>
      </c>
      <c r="AQ342" s="1">
        <v>10141102</v>
      </c>
      <c r="AR342" s="1">
        <v>1521165</v>
      </c>
      <c r="AS342" s="1">
        <v>0</v>
      </c>
      <c r="AT342" s="1">
        <f t="shared" si="34"/>
        <v>62367776</v>
      </c>
    </row>
    <row r="343" spans="1:46">
      <c r="A343" s="1" t="str">
        <f>"00388"</f>
        <v>00388</v>
      </c>
      <c r="B343" s="1" t="str">
        <f>"عبدالمهدي"</f>
        <v>عبدالمهدي</v>
      </c>
      <c r="C343" s="1" t="str">
        <f>"صفائي"</f>
        <v>صفائي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6418225</v>
      </c>
      <c r="G343" s="1">
        <v>10782270</v>
      </c>
      <c r="H343" s="1">
        <v>0</v>
      </c>
      <c r="I343" s="1">
        <v>4621122</v>
      </c>
      <c r="J343" s="1">
        <v>0</v>
      </c>
      <c r="K343" s="1">
        <v>0</v>
      </c>
      <c r="L343" s="1">
        <v>3620700</v>
      </c>
      <c r="M343" s="1">
        <v>400000</v>
      </c>
      <c r="N343" s="1">
        <v>3400384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4009888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34352589</v>
      </c>
      <c r="AO343" s="1">
        <v>7198204</v>
      </c>
      <c r="AP343" s="1">
        <v>27154385</v>
      </c>
      <c r="AQ343" s="1">
        <v>6870518</v>
      </c>
      <c r="AR343" s="1">
        <v>1030578</v>
      </c>
      <c r="AS343" s="1">
        <v>530000</v>
      </c>
      <c r="AT343" s="1">
        <f t="shared" si="34"/>
        <v>42783685</v>
      </c>
    </row>
    <row r="344" spans="1:46">
      <c r="A344" s="1" t="str">
        <f>"00389"</f>
        <v>00389</v>
      </c>
      <c r="B344" s="1" t="str">
        <f>"رضا"</f>
        <v>رضا</v>
      </c>
      <c r="C344" s="1" t="str">
        <f>"احسان نيا"</f>
        <v>احسان نيا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6773175</v>
      </c>
      <c r="G344" s="1">
        <v>15953927</v>
      </c>
      <c r="H344" s="1">
        <v>0</v>
      </c>
      <c r="I344" s="1">
        <v>4944418</v>
      </c>
      <c r="J344" s="1">
        <v>0</v>
      </c>
      <c r="K344" s="1">
        <v>0</v>
      </c>
      <c r="L344" s="1">
        <v>4112001</v>
      </c>
      <c r="M344" s="1">
        <v>400000</v>
      </c>
      <c r="N344" s="1">
        <v>3564829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4387829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41236179</v>
      </c>
      <c r="AO344" s="1">
        <v>10585346</v>
      </c>
      <c r="AP344" s="1">
        <v>30650833</v>
      </c>
      <c r="AQ344" s="1">
        <v>8247236</v>
      </c>
      <c r="AR344" s="1">
        <v>1237085</v>
      </c>
      <c r="AS344" s="1">
        <v>600000</v>
      </c>
      <c r="AT344" s="1">
        <f t="shared" si="34"/>
        <v>51320500</v>
      </c>
    </row>
    <row r="345" spans="1:46">
      <c r="A345" s="1" t="str">
        <f>"00390"</f>
        <v>00390</v>
      </c>
      <c r="B345" s="1" t="str">
        <f>"رضا"</f>
        <v>رضا</v>
      </c>
      <c r="C345" s="1" t="str">
        <f>"كشاورز"</f>
        <v>كشاورز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17321175</v>
      </c>
      <c r="G345" s="1">
        <v>11101769</v>
      </c>
      <c r="H345" s="1">
        <v>3773700</v>
      </c>
      <c r="I345" s="1">
        <v>14714547</v>
      </c>
      <c r="J345" s="1">
        <v>0</v>
      </c>
      <c r="K345" s="1">
        <v>5500000</v>
      </c>
      <c r="L345" s="1">
        <v>0</v>
      </c>
      <c r="M345" s="1">
        <v>400000</v>
      </c>
      <c r="N345" s="1">
        <v>2362303</v>
      </c>
      <c r="O345" s="1">
        <v>0</v>
      </c>
      <c r="P345" s="1">
        <v>0</v>
      </c>
      <c r="Q345" s="1">
        <v>0</v>
      </c>
      <c r="R345" s="1">
        <v>0</v>
      </c>
      <c r="S345" s="1">
        <v>1525500</v>
      </c>
      <c r="T345" s="1">
        <v>0</v>
      </c>
      <c r="U345" s="1">
        <v>0</v>
      </c>
      <c r="V345" s="1">
        <v>3844768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1687359</v>
      </c>
      <c r="AF345" s="1">
        <v>2222538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2362303</v>
      </c>
      <c r="AM345" s="1">
        <v>0</v>
      </c>
      <c r="AN345" s="1">
        <v>67915962</v>
      </c>
      <c r="AO345" s="1">
        <v>13427678</v>
      </c>
      <c r="AP345" s="1">
        <v>54488284</v>
      </c>
      <c r="AQ345" s="1">
        <v>12078845</v>
      </c>
      <c r="AR345" s="1">
        <v>1811827</v>
      </c>
      <c r="AS345" s="1">
        <v>0</v>
      </c>
      <c r="AT345" s="1">
        <f t="shared" si="34"/>
        <v>81806634</v>
      </c>
    </row>
    <row r="346" spans="1:46">
      <c r="A346" s="1" t="str">
        <f>"00391"</f>
        <v>00391</v>
      </c>
      <c r="B346" s="1" t="str">
        <f>"حسين"</f>
        <v>حسين</v>
      </c>
      <c r="C346" s="1" t="str">
        <f>"محمدي حساوي"</f>
        <v>محمدي حساوي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6623398</v>
      </c>
      <c r="G346" s="1">
        <v>12906432</v>
      </c>
      <c r="H346" s="1">
        <v>0</v>
      </c>
      <c r="I346" s="1">
        <v>4768846</v>
      </c>
      <c r="J346" s="1">
        <v>0</v>
      </c>
      <c r="K346" s="1">
        <v>0</v>
      </c>
      <c r="L346" s="1">
        <v>4086111</v>
      </c>
      <c r="M346" s="1">
        <v>400000</v>
      </c>
      <c r="N346" s="1">
        <v>3509085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4302362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2222538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39918772</v>
      </c>
      <c r="AO346" s="1">
        <v>10114461</v>
      </c>
      <c r="AP346" s="1">
        <v>29804311</v>
      </c>
      <c r="AQ346" s="1">
        <v>7539247</v>
      </c>
      <c r="AR346" s="1">
        <v>1130887</v>
      </c>
      <c r="AS346" s="1">
        <v>1200000</v>
      </c>
      <c r="AT346" s="1">
        <f t="shared" si="34"/>
        <v>49788906</v>
      </c>
    </row>
    <row r="347" spans="1:46">
      <c r="A347" s="1" t="str">
        <f>"00392"</f>
        <v>00392</v>
      </c>
      <c r="B347" s="1" t="str">
        <f>"عبدالرضا"</f>
        <v>عبدالرضا</v>
      </c>
      <c r="C347" s="1" t="str">
        <f>"علقمي"</f>
        <v>علقمي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5889702</v>
      </c>
      <c r="G347" s="1">
        <v>11548422</v>
      </c>
      <c r="H347" s="1">
        <v>0</v>
      </c>
      <c r="I347" s="1">
        <v>3769409</v>
      </c>
      <c r="J347" s="1">
        <v>0</v>
      </c>
      <c r="K347" s="1">
        <v>0</v>
      </c>
      <c r="L347" s="1">
        <v>5315042</v>
      </c>
      <c r="M347" s="1">
        <v>400000</v>
      </c>
      <c r="N347" s="1">
        <v>2944851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4077991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3333807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38379224</v>
      </c>
      <c r="AO347" s="1">
        <v>9924014</v>
      </c>
      <c r="AP347" s="1">
        <v>28455210</v>
      </c>
      <c r="AQ347" s="1">
        <v>7009083</v>
      </c>
      <c r="AR347" s="1">
        <v>1051363</v>
      </c>
      <c r="AS347" s="1">
        <v>1325000</v>
      </c>
      <c r="AT347" s="1">
        <f t="shared" si="34"/>
        <v>47764670</v>
      </c>
    </row>
    <row r="348" spans="1:46">
      <c r="A348" s="1" t="str">
        <f>"00393"</f>
        <v>00393</v>
      </c>
      <c r="B348" s="1" t="str">
        <f>"زهرا"</f>
        <v>زهرا</v>
      </c>
      <c r="C348" s="1" t="str">
        <f>"فاضلي پور"</f>
        <v>فاضلي پور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18846193</v>
      </c>
      <c r="G348" s="1">
        <v>15246180</v>
      </c>
      <c r="H348" s="1">
        <v>0</v>
      </c>
      <c r="I348" s="1">
        <v>14075354</v>
      </c>
      <c r="J348" s="1">
        <v>0</v>
      </c>
      <c r="K348" s="1">
        <v>4125000</v>
      </c>
      <c r="L348" s="1">
        <v>0</v>
      </c>
      <c r="M348" s="1">
        <v>400000</v>
      </c>
      <c r="N348" s="1">
        <v>2740598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1270000</v>
      </c>
      <c r="U348" s="1">
        <v>0</v>
      </c>
      <c r="V348" s="1">
        <v>6377218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1957571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3523627</v>
      </c>
      <c r="AM348" s="1">
        <v>0</v>
      </c>
      <c r="AN348" s="1">
        <v>69661741</v>
      </c>
      <c r="AO348" s="1">
        <v>13821881</v>
      </c>
      <c r="AP348" s="1">
        <v>55839860</v>
      </c>
      <c r="AQ348" s="1">
        <v>13678348</v>
      </c>
      <c r="AR348" s="1">
        <v>2051752</v>
      </c>
      <c r="AS348" s="1">
        <v>0</v>
      </c>
      <c r="AT348" s="1">
        <f t="shared" si="34"/>
        <v>85391841</v>
      </c>
    </row>
    <row r="349" spans="1:46">
      <c r="A349" s="1" t="str">
        <f>"00397"</f>
        <v>00397</v>
      </c>
      <c r="B349" s="1" t="str">
        <f>"جواد"</f>
        <v>جواد</v>
      </c>
      <c r="C349" s="1" t="str">
        <f>"بيات"</f>
        <v>بيات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6974411</v>
      </c>
      <c r="G349" s="1">
        <v>1250658</v>
      </c>
      <c r="H349" s="1">
        <v>0</v>
      </c>
      <c r="I349" s="1">
        <v>5091320</v>
      </c>
      <c r="J349" s="1">
        <v>0</v>
      </c>
      <c r="K349" s="1">
        <v>0</v>
      </c>
      <c r="L349" s="1">
        <v>3620700</v>
      </c>
      <c r="M349" s="1">
        <v>400000</v>
      </c>
      <c r="N349" s="1">
        <v>3670742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9229299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2903576</v>
      </c>
      <c r="AE349" s="1">
        <v>0</v>
      </c>
      <c r="AF349" s="1">
        <v>2222538</v>
      </c>
      <c r="AG349" s="1">
        <v>0</v>
      </c>
      <c r="AH349" s="1">
        <v>0</v>
      </c>
      <c r="AI349" s="1">
        <v>0</v>
      </c>
      <c r="AJ349" s="1">
        <v>4002106</v>
      </c>
      <c r="AK349" s="1">
        <v>0</v>
      </c>
      <c r="AL349" s="1">
        <v>0</v>
      </c>
      <c r="AM349" s="1">
        <v>0</v>
      </c>
      <c r="AN349" s="1">
        <v>40465350</v>
      </c>
      <c r="AO349" s="1">
        <v>9216796</v>
      </c>
      <c r="AP349" s="1">
        <v>31248554</v>
      </c>
      <c r="AQ349" s="1">
        <v>7648562</v>
      </c>
      <c r="AR349" s="1">
        <v>1147284</v>
      </c>
      <c r="AS349" s="1">
        <v>1060000</v>
      </c>
      <c r="AT349" s="1">
        <f t="shared" si="34"/>
        <v>50321196</v>
      </c>
    </row>
    <row r="350" spans="1:46">
      <c r="A350" s="1" t="str">
        <f>"00398"</f>
        <v>00398</v>
      </c>
      <c r="B350" s="1" t="str">
        <f>"علي اصغر"</f>
        <v>علي اصغر</v>
      </c>
      <c r="C350" s="1" t="str">
        <f>"عباسي بيلندي"</f>
        <v>عباسي بيلندي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11947414</v>
      </c>
      <c r="G350" s="1">
        <v>2832671</v>
      </c>
      <c r="H350" s="1">
        <v>0</v>
      </c>
      <c r="I350" s="1">
        <v>8810938</v>
      </c>
      <c r="J350" s="1">
        <v>0</v>
      </c>
      <c r="K350" s="1">
        <v>4620000</v>
      </c>
      <c r="L350" s="1">
        <v>0</v>
      </c>
      <c r="M350" s="1">
        <v>400000</v>
      </c>
      <c r="N350" s="1">
        <v>2232630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5395564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1594735</v>
      </c>
      <c r="AF350" s="1">
        <v>2222538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2392103</v>
      </c>
      <c r="AM350" s="1">
        <v>0</v>
      </c>
      <c r="AN350" s="1">
        <v>43548593</v>
      </c>
      <c r="AO350" s="1">
        <v>18753599</v>
      </c>
      <c r="AP350" s="1">
        <v>24794994</v>
      </c>
      <c r="AQ350" s="1">
        <v>8265211</v>
      </c>
      <c r="AR350" s="1">
        <v>1239782</v>
      </c>
      <c r="AS350" s="1">
        <v>0</v>
      </c>
      <c r="AT350" s="1">
        <f t="shared" si="34"/>
        <v>53053586</v>
      </c>
    </row>
    <row r="351" spans="1:46">
      <c r="A351" s="1" t="str">
        <f>"00399"</f>
        <v>00399</v>
      </c>
      <c r="B351" s="1" t="str">
        <f>"سيده سلمي"</f>
        <v>سيده سلمي</v>
      </c>
      <c r="C351" s="1" t="str">
        <f>"محمدي يوسف نژاد"</f>
        <v>محمدي يوسف نژاد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13802554</v>
      </c>
      <c r="G351" s="1">
        <v>2351363</v>
      </c>
      <c r="H351" s="1">
        <v>0</v>
      </c>
      <c r="I351" s="1">
        <v>10092288</v>
      </c>
      <c r="J351" s="1">
        <v>0</v>
      </c>
      <c r="K351" s="1">
        <v>4125000</v>
      </c>
      <c r="L351" s="1">
        <v>0</v>
      </c>
      <c r="M351" s="1">
        <v>400000</v>
      </c>
      <c r="N351" s="1">
        <v>2108110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2931569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1505792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1806952</v>
      </c>
      <c r="AM351" s="1">
        <v>0</v>
      </c>
      <c r="AN351" s="1">
        <v>40223628</v>
      </c>
      <c r="AO351" s="1">
        <v>9039173</v>
      </c>
      <c r="AP351" s="1">
        <v>31184455</v>
      </c>
      <c r="AQ351" s="1">
        <v>8044726</v>
      </c>
      <c r="AR351" s="1">
        <v>1206709</v>
      </c>
      <c r="AS351" s="1">
        <v>0</v>
      </c>
      <c r="AT351" s="1">
        <f t="shared" si="34"/>
        <v>49475063</v>
      </c>
    </row>
    <row r="352" spans="1:46">
      <c r="A352" s="1" t="str">
        <f>"00400"</f>
        <v>00400</v>
      </c>
      <c r="B352" s="1" t="str">
        <f>"محمد"</f>
        <v>محمد</v>
      </c>
      <c r="C352" s="1" t="str">
        <f>"شهمرادي"</f>
        <v>شهمرادي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5597534</v>
      </c>
      <c r="G352" s="1">
        <v>4208763</v>
      </c>
      <c r="H352" s="1">
        <v>0</v>
      </c>
      <c r="I352" s="1">
        <v>3974249</v>
      </c>
      <c r="J352" s="1">
        <v>0</v>
      </c>
      <c r="K352" s="1">
        <v>0</v>
      </c>
      <c r="L352" s="1">
        <v>3902803</v>
      </c>
      <c r="M352" s="1">
        <v>400000</v>
      </c>
      <c r="N352" s="1">
        <v>2946070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5779412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2463098</v>
      </c>
      <c r="AE352" s="1">
        <v>0</v>
      </c>
      <c r="AF352" s="1">
        <v>2222538</v>
      </c>
      <c r="AG352" s="1">
        <v>0</v>
      </c>
      <c r="AH352" s="1">
        <v>0</v>
      </c>
      <c r="AI352" s="1">
        <v>0</v>
      </c>
      <c r="AJ352" s="1">
        <v>3108010</v>
      </c>
      <c r="AK352" s="1">
        <v>0</v>
      </c>
      <c r="AL352" s="1">
        <v>0</v>
      </c>
      <c r="AM352" s="1">
        <v>0</v>
      </c>
      <c r="AN352" s="1">
        <v>35702477</v>
      </c>
      <c r="AO352" s="1">
        <v>5302627</v>
      </c>
      <c r="AP352" s="1">
        <v>30399850</v>
      </c>
      <c r="AQ352" s="1">
        <v>6695988</v>
      </c>
      <c r="AR352" s="1">
        <v>1004398</v>
      </c>
      <c r="AS352" s="1">
        <v>390000</v>
      </c>
      <c r="AT352" s="1">
        <f t="shared" si="34"/>
        <v>43792863</v>
      </c>
    </row>
    <row r="353" spans="1:46">
      <c r="A353" s="1" t="str">
        <f>"00401"</f>
        <v>00401</v>
      </c>
      <c r="B353" s="1" t="str">
        <f>"عارف"</f>
        <v>عارف</v>
      </c>
      <c r="C353" s="1" t="str">
        <f>"افراسيابي"</f>
        <v>افراسيابي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10136251</v>
      </c>
      <c r="G353" s="1">
        <v>12498502</v>
      </c>
      <c r="H353" s="1">
        <v>0</v>
      </c>
      <c r="I353" s="1">
        <v>8514451</v>
      </c>
      <c r="J353" s="1">
        <v>0</v>
      </c>
      <c r="K353" s="1">
        <v>0</v>
      </c>
      <c r="L353" s="1">
        <v>3460800</v>
      </c>
      <c r="M353" s="1">
        <v>400000</v>
      </c>
      <c r="N353" s="1">
        <v>5231614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6834491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1532400</v>
      </c>
      <c r="AD353" s="1">
        <v>4331327</v>
      </c>
      <c r="AE353" s="1">
        <v>0</v>
      </c>
      <c r="AF353" s="1">
        <v>4445076</v>
      </c>
      <c r="AG353" s="1">
        <v>0</v>
      </c>
      <c r="AH353" s="1">
        <v>0</v>
      </c>
      <c r="AI353" s="1">
        <v>0</v>
      </c>
      <c r="AJ353" s="1">
        <v>6665868</v>
      </c>
      <c r="AK353" s="1">
        <v>0</v>
      </c>
      <c r="AL353" s="1">
        <v>0</v>
      </c>
      <c r="AM353" s="1">
        <v>0</v>
      </c>
      <c r="AN353" s="1">
        <v>65150780</v>
      </c>
      <c r="AO353" s="1">
        <v>14963278</v>
      </c>
      <c r="AP353" s="1">
        <v>50187502</v>
      </c>
      <c r="AQ353" s="1">
        <v>12141141</v>
      </c>
      <c r="AR353" s="1">
        <v>1821171</v>
      </c>
      <c r="AS353" s="1">
        <v>300000</v>
      </c>
      <c r="AT353" s="1">
        <f t="shared" si="34"/>
        <v>79413092</v>
      </c>
    </row>
    <row r="354" spans="1:46">
      <c r="A354" s="1" t="str">
        <f>"00402"</f>
        <v>00402</v>
      </c>
      <c r="B354" s="1" t="str">
        <f>"حسين"</f>
        <v>حسين</v>
      </c>
      <c r="C354" s="1" t="str">
        <f>"بازيار"</f>
        <v>بازيار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15001377</v>
      </c>
      <c r="G354" s="1">
        <v>7323303</v>
      </c>
      <c r="H354" s="1">
        <v>0</v>
      </c>
      <c r="I354" s="1">
        <v>12050168</v>
      </c>
      <c r="J354" s="1">
        <v>0</v>
      </c>
      <c r="K354" s="1">
        <v>5500000</v>
      </c>
      <c r="L354" s="1">
        <v>0</v>
      </c>
      <c r="M354" s="1">
        <v>400000</v>
      </c>
      <c r="N354" s="1">
        <v>2481080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12267546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1772200</v>
      </c>
      <c r="AF354" s="1">
        <v>1111269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4253281</v>
      </c>
      <c r="AM354" s="1">
        <v>0</v>
      </c>
      <c r="AN354" s="1">
        <v>63260224</v>
      </c>
      <c r="AO354" s="1">
        <v>12311715</v>
      </c>
      <c r="AP354" s="1">
        <v>50948509</v>
      </c>
      <c r="AQ354" s="1">
        <v>12429791</v>
      </c>
      <c r="AR354" s="1">
        <v>1864469</v>
      </c>
      <c r="AS354" s="1">
        <v>0</v>
      </c>
      <c r="AT354" s="1">
        <f t="shared" si="34"/>
        <v>77554484</v>
      </c>
    </row>
    <row r="355" spans="1:46">
      <c r="A355" s="1" t="str">
        <f>"00403"</f>
        <v>00403</v>
      </c>
      <c r="B355" s="1" t="str">
        <f>"سجاد"</f>
        <v>سجاد</v>
      </c>
      <c r="C355" s="1" t="str">
        <f>"راستي"</f>
        <v>راستي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17192605</v>
      </c>
      <c r="G355" s="1">
        <v>9605746</v>
      </c>
      <c r="H355" s="1">
        <v>0</v>
      </c>
      <c r="I355" s="1">
        <v>13639614</v>
      </c>
      <c r="J355" s="1">
        <v>0</v>
      </c>
      <c r="K355" s="1">
        <v>5500000</v>
      </c>
      <c r="L355" s="1">
        <v>0</v>
      </c>
      <c r="M355" s="1">
        <v>400000</v>
      </c>
      <c r="N355" s="1">
        <v>2929205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1270000</v>
      </c>
      <c r="U355" s="1">
        <v>0</v>
      </c>
      <c r="V355" s="1">
        <v>7428718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2092289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3766120</v>
      </c>
      <c r="AM355" s="1">
        <v>0</v>
      </c>
      <c r="AN355" s="1">
        <v>64924297</v>
      </c>
      <c r="AO355" s="1">
        <v>14942634</v>
      </c>
      <c r="AP355" s="1">
        <v>49981663</v>
      </c>
      <c r="AQ355" s="1">
        <v>12730859</v>
      </c>
      <c r="AR355" s="1">
        <v>1909629</v>
      </c>
      <c r="AS355" s="1">
        <v>0</v>
      </c>
      <c r="AT355" s="1">
        <f t="shared" si="34"/>
        <v>79564785</v>
      </c>
    </row>
    <row r="356" spans="1:46">
      <c r="A356" s="1" t="str">
        <f>"00405"</f>
        <v>00405</v>
      </c>
      <c r="B356" s="1" t="str">
        <f>"نرجس"</f>
        <v>نرجس</v>
      </c>
      <c r="C356" s="1" t="str">
        <f>"افراسيابي"</f>
        <v>افراسيابي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12728152</v>
      </c>
      <c r="G356" s="1">
        <v>1257187</v>
      </c>
      <c r="H356" s="1">
        <v>0</v>
      </c>
      <c r="I356" s="1">
        <v>8994416</v>
      </c>
      <c r="J356" s="1">
        <v>0</v>
      </c>
      <c r="K356" s="1">
        <v>4125000</v>
      </c>
      <c r="L356" s="1">
        <v>0</v>
      </c>
      <c r="M356" s="1">
        <v>400000</v>
      </c>
      <c r="N356" s="1">
        <v>1711424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2612337</v>
      </c>
      <c r="W356" s="1">
        <v>1100000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1222446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1466935</v>
      </c>
      <c r="AM356" s="1">
        <v>0</v>
      </c>
      <c r="AN356" s="1">
        <v>35617897</v>
      </c>
      <c r="AO356" s="1">
        <v>5898704</v>
      </c>
      <c r="AP356" s="1">
        <v>29719193</v>
      </c>
      <c r="AQ356" s="1">
        <v>7123579</v>
      </c>
      <c r="AR356" s="1">
        <v>1068537</v>
      </c>
      <c r="AS356" s="1">
        <v>0</v>
      </c>
      <c r="AT356" s="1">
        <f t="shared" si="34"/>
        <v>43810013</v>
      </c>
    </row>
    <row r="357" spans="1:46">
      <c r="A357" s="1" t="str">
        <f>"00407"</f>
        <v>00407</v>
      </c>
      <c r="B357" s="1" t="str">
        <f>"مهدي"</f>
        <v>مهدي</v>
      </c>
      <c r="C357" s="1" t="str">
        <f>"سليمي"</f>
        <v>سليمي</v>
      </c>
      <c r="D357" s="1" t="str">
        <f t="shared" ref="D357:D364" si="37">"قراردادي کارگري"</f>
        <v>قراردادي کارگري</v>
      </c>
      <c r="E357" s="1" t="str">
        <f t="shared" ref="E357:E381" si="38">"پروژه تعميرات نيروگاه بوشهر"</f>
        <v>پروژه تعميرات نيروگاه بوشهر</v>
      </c>
      <c r="F357" s="1">
        <v>11630916</v>
      </c>
      <c r="G357" s="1">
        <v>10100701</v>
      </c>
      <c r="H357" s="1">
        <v>0</v>
      </c>
      <c r="I357" s="1">
        <v>10933061</v>
      </c>
      <c r="J357" s="1">
        <v>0</v>
      </c>
      <c r="K357" s="1">
        <v>0</v>
      </c>
      <c r="L357" s="1">
        <v>3460800</v>
      </c>
      <c r="M357" s="1">
        <v>400000</v>
      </c>
      <c r="N357" s="1">
        <v>6978549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3450333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48054360</v>
      </c>
      <c r="AO357" s="1">
        <v>8238029</v>
      </c>
      <c r="AP357" s="1">
        <v>39816331</v>
      </c>
      <c r="AQ357" s="1">
        <v>9610872</v>
      </c>
      <c r="AR357" s="1">
        <v>1441631</v>
      </c>
      <c r="AS357" s="1">
        <v>600000</v>
      </c>
      <c r="AT357" s="1">
        <f t="shared" si="34"/>
        <v>59706863</v>
      </c>
    </row>
    <row r="358" spans="1:46">
      <c r="A358" s="1" t="str">
        <f>"00408"</f>
        <v>00408</v>
      </c>
      <c r="B358" s="1" t="str">
        <f>"ايرج"</f>
        <v>ايرج</v>
      </c>
      <c r="C358" s="1" t="str">
        <f>"ثوامري"</f>
        <v>ثوامري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6195946</v>
      </c>
      <c r="G358" s="1">
        <v>7539395</v>
      </c>
      <c r="H358" s="1">
        <v>0</v>
      </c>
      <c r="I358" s="1">
        <v>4770878</v>
      </c>
      <c r="J358" s="1">
        <v>0</v>
      </c>
      <c r="K358" s="1">
        <v>0</v>
      </c>
      <c r="L358" s="1">
        <v>4058844</v>
      </c>
      <c r="M358" s="1">
        <v>400000</v>
      </c>
      <c r="N358" s="1">
        <v>3261024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6331741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2743004</v>
      </c>
      <c r="AE358" s="1">
        <v>0</v>
      </c>
      <c r="AF358" s="1">
        <v>2222538</v>
      </c>
      <c r="AG358" s="1">
        <v>0</v>
      </c>
      <c r="AH358" s="1">
        <v>0</v>
      </c>
      <c r="AI358" s="1">
        <v>0</v>
      </c>
      <c r="AJ358" s="1">
        <v>3446581</v>
      </c>
      <c r="AK358" s="1">
        <v>0</v>
      </c>
      <c r="AL358" s="1">
        <v>0</v>
      </c>
      <c r="AM358" s="1">
        <v>0</v>
      </c>
      <c r="AN358" s="1">
        <v>42069951</v>
      </c>
      <c r="AO358" s="1">
        <v>9302566</v>
      </c>
      <c r="AP358" s="1">
        <v>32767385</v>
      </c>
      <c r="AQ358" s="1">
        <v>7969483</v>
      </c>
      <c r="AR358" s="1">
        <v>1195422</v>
      </c>
      <c r="AS358" s="1">
        <v>1060000</v>
      </c>
      <c r="AT358" s="1">
        <f t="shared" si="34"/>
        <v>52294856</v>
      </c>
    </row>
    <row r="359" spans="1:46">
      <c r="A359" s="1" t="str">
        <f>"00409"</f>
        <v>00409</v>
      </c>
      <c r="B359" s="1" t="str">
        <f>"حسن"</f>
        <v>حسن</v>
      </c>
      <c r="C359" s="1" t="str">
        <f>"رستمي"</f>
        <v>رستمي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7378506</v>
      </c>
      <c r="G359" s="1">
        <v>17196490</v>
      </c>
      <c r="H359" s="1">
        <v>0</v>
      </c>
      <c r="I359" s="1">
        <v>6050375</v>
      </c>
      <c r="J359" s="1">
        <v>0</v>
      </c>
      <c r="K359" s="1">
        <v>0</v>
      </c>
      <c r="L359" s="1">
        <v>3460800</v>
      </c>
      <c r="M359" s="1">
        <v>400000</v>
      </c>
      <c r="N359" s="1">
        <v>3935203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6920714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46442088</v>
      </c>
      <c r="AO359" s="1">
        <v>8682130</v>
      </c>
      <c r="AP359" s="1">
        <v>37759958</v>
      </c>
      <c r="AQ359" s="1">
        <v>9288418</v>
      </c>
      <c r="AR359" s="1">
        <v>1393263</v>
      </c>
      <c r="AS359" s="1">
        <v>600000</v>
      </c>
      <c r="AT359" s="1">
        <f t="shared" si="34"/>
        <v>57723769</v>
      </c>
    </row>
    <row r="360" spans="1:46">
      <c r="A360" s="1" t="str">
        <f>"00411"</f>
        <v>00411</v>
      </c>
      <c r="B360" s="1" t="str">
        <f>"زاهد"</f>
        <v>زاهد</v>
      </c>
      <c r="C360" s="1" t="str">
        <f>"طاهري"</f>
        <v>طاهري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7786043</v>
      </c>
      <c r="G360" s="1">
        <v>7087288</v>
      </c>
      <c r="H360" s="1">
        <v>0</v>
      </c>
      <c r="I360" s="1">
        <v>5761672</v>
      </c>
      <c r="J360" s="1">
        <v>0</v>
      </c>
      <c r="K360" s="1">
        <v>0</v>
      </c>
      <c r="L360" s="1">
        <v>3620700</v>
      </c>
      <c r="M360" s="1">
        <v>400000</v>
      </c>
      <c r="N360" s="1">
        <v>4125056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7293911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2222538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39397208</v>
      </c>
      <c r="AO360" s="1">
        <v>10724318</v>
      </c>
      <c r="AP360" s="1">
        <v>28672890</v>
      </c>
      <c r="AQ360" s="1">
        <v>7434934</v>
      </c>
      <c r="AR360" s="1">
        <v>1115240</v>
      </c>
      <c r="AS360" s="1">
        <v>795000</v>
      </c>
      <c r="AT360" s="1">
        <f t="shared" si="34"/>
        <v>48742382</v>
      </c>
    </row>
    <row r="361" spans="1:46">
      <c r="A361" s="1" t="str">
        <f>"00412"</f>
        <v>00412</v>
      </c>
      <c r="B361" s="1" t="str">
        <f>"خسرو"</f>
        <v>خسرو</v>
      </c>
      <c r="C361" s="1" t="str">
        <f>"نيکنام"</f>
        <v>نيکنام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6586572</v>
      </c>
      <c r="G361" s="1">
        <v>22236124</v>
      </c>
      <c r="H361" s="1">
        <v>0</v>
      </c>
      <c r="I361" s="1">
        <v>4874063</v>
      </c>
      <c r="J361" s="1">
        <v>0</v>
      </c>
      <c r="K361" s="1">
        <v>0</v>
      </c>
      <c r="L361" s="1">
        <v>3620700</v>
      </c>
      <c r="M361" s="1">
        <v>400000</v>
      </c>
      <c r="N361" s="1">
        <v>3489574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6221982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2222538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50751553</v>
      </c>
      <c r="AO361" s="1">
        <v>10689174</v>
      </c>
      <c r="AP361" s="1">
        <v>40062379</v>
      </c>
      <c r="AQ361" s="1">
        <v>9705803</v>
      </c>
      <c r="AR361" s="1">
        <v>1455870</v>
      </c>
      <c r="AS361" s="1">
        <v>530000</v>
      </c>
      <c r="AT361" s="1">
        <f t="shared" si="34"/>
        <v>62443226</v>
      </c>
    </row>
    <row r="362" spans="1:46">
      <c r="A362" s="1" t="str">
        <f>"00413"</f>
        <v>00413</v>
      </c>
      <c r="B362" s="1" t="str">
        <f>"سعيد"</f>
        <v>سعيد</v>
      </c>
      <c r="C362" s="1" t="str">
        <f>"نيک راد"</f>
        <v>نيک راد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8671469</v>
      </c>
      <c r="G362" s="1">
        <v>11337447</v>
      </c>
      <c r="H362" s="1">
        <v>0</v>
      </c>
      <c r="I362" s="1">
        <v>7110604</v>
      </c>
      <c r="J362" s="1">
        <v>0</v>
      </c>
      <c r="K362" s="1">
        <v>0</v>
      </c>
      <c r="L362" s="1">
        <v>3460800</v>
      </c>
      <c r="M362" s="1">
        <v>400000</v>
      </c>
      <c r="N362" s="1">
        <v>4624784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7863973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44569077</v>
      </c>
      <c r="AO362" s="1">
        <v>9353168</v>
      </c>
      <c r="AP362" s="1">
        <v>35215909</v>
      </c>
      <c r="AQ362" s="1">
        <v>8913815</v>
      </c>
      <c r="AR362" s="1">
        <v>1337072</v>
      </c>
      <c r="AS362" s="1">
        <v>530000</v>
      </c>
      <c r="AT362" s="1">
        <f t="shared" si="34"/>
        <v>55349964</v>
      </c>
    </row>
    <row r="363" spans="1:46">
      <c r="A363" s="1" t="str">
        <f>"00414"</f>
        <v>00414</v>
      </c>
      <c r="B363" s="1" t="str">
        <f>"حسين"</f>
        <v>حسين</v>
      </c>
      <c r="C363" s="1" t="str">
        <f>"حيدري"</f>
        <v>حيدري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6270085</v>
      </c>
      <c r="G363" s="1">
        <v>8093615</v>
      </c>
      <c r="H363" s="1">
        <v>0</v>
      </c>
      <c r="I363" s="1">
        <v>4577162</v>
      </c>
      <c r="J363" s="1">
        <v>0</v>
      </c>
      <c r="K363" s="1">
        <v>0</v>
      </c>
      <c r="L363" s="1">
        <v>3620700</v>
      </c>
      <c r="M363" s="1">
        <v>400000</v>
      </c>
      <c r="N363" s="1">
        <v>3300045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4431638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2222538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34015783</v>
      </c>
      <c r="AO363" s="1">
        <v>6369082</v>
      </c>
      <c r="AP363" s="1">
        <v>27646701</v>
      </c>
      <c r="AQ363" s="1">
        <v>6358649</v>
      </c>
      <c r="AR363" s="1">
        <v>953797</v>
      </c>
      <c r="AS363" s="1">
        <v>530000</v>
      </c>
      <c r="AT363" s="1">
        <f t="shared" si="34"/>
        <v>41858229</v>
      </c>
    </row>
    <row r="364" spans="1:46">
      <c r="A364" s="1" t="str">
        <f>"00415"</f>
        <v>00415</v>
      </c>
      <c r="B364" s="1" t="str">
        <f>"صادق"</f>
        <v>صادق</v>
      </c>
      <c r="C364" s="1" t="str">
        <f>"سياوش پوري"</f>
        <v>سياوش پوري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7326787</v>
      </c>
      <c r="G364" s="1">
        <v>2446564</v>
      </c>
      <c r="H364" s="1">
        <v>0</v>
      </c>
      <c r="I364" s="1">
        <v>6007966</v>
      </c>
      <c r="J364" s="1">
        <v>0</v>
      </c>
      <c r="K364" s="1">
        <v>0</v>
      </c>
      <c r="L364" s="1">
        <v>3460800</v>
      </c>
      <c r="M364" s="1">
        <v>400000</v>
      </c>
      <c r="N364" s="1">
        <v>3907619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5106730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29756466</v>
      </c>
      <c r="AO364" s="1">
        <v>4137983</v>
      </c>
      <c r="AP364" s="1">
        <v>25618483</v>
      </c>
      <c r="AQ364" s="1">
        <v>5951293</v>
      </c>
      <c r="AR364" s="1">
        <v>892694</v>
      </c>
      <c r="AS364" s="1">
        <v>530000</v>
      </c>
      <c r="AT364" s="1">
        <f t="shared" si="34"/>
        <v>37130453</v>
      </c>
    </row>
    <row r="365" spans="1:46">
      <c r="A365" s="1" t="str">
        <f>"00416"</f>
        <v>00416</v>
      </c>
      <c r="B365" s="1" t="str">
        <f>"سيد محسن"</f>
        <v>سيد محسن</v>
      </c>
      <c r="C365" s="1" t="str">
        <f>"تهامي پورزرندي"</f>
        <v>تهامي پورزرندي</v>
      </c>
      <c r="D365" s="1" t="str">
        <f>"قراردادي بهره بردار"</f>
        <v>قراردادي بهره بردار</v>
      </c>
      <c r="E365" s="1" t="str">
        <f t="shared" si="38"/>
        <v>پروژه تعميرات نيروگاه بوشهر</v>
      </c>
      <c r="F365" s="1">
        <v>19705902</v>
      </c>
      <c r="G365" s="1">
        <v>2702919</v>
      </c>
      <c r="H365" s="1">
        <v>0</v>
      </c>
      <c r="I365" s="1">
        <v>17122175</v>
      </c>
      <c r="J365" s="1">
        <v>0</v>
      </c>
      <c r="K365" s="1">
        <v>0</v>
      </c>
      <c r="L365" s="1">
        <v>0</v>
      </c>
      <c r="M365" s="1">
        <v>400000</v>
      </c>
      <c r="N365" s="1">
        <v>3064873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14619934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2189195</v>
      </c>
      <c r="AF365" s="1">
        <v>2222538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5078933</v>
      </c>
      <c r="AM365" s="1">
        <v>0</v>
      </c>
      <c r="AN365" s="1">
        <v>68206469</v>
      </c>
      <c r="AO365" s="1">
        <v>15024742</v>
      </c>
      <c r="AP365" s="1">
        <v>53181727</v>
      </c>
      <c r="AQ365" s="1">
        <v>13196786</v>
      </c>
      <c r="AR365" s="1">
        <v>1979518</v>
      </c>
      <c r="AS365" s="1">
        <v>0</v>
      </c>
      <c r="AT365" s="1">
        <f t="shared" si="34"/>
        <v>83382773</v>
      </c>
    </row>
    <row r="366" spans="1:46">
      <c r="A366" s="1" t="str">
        <f>"00417"</f>
        <v>00417</v>
      </c>
      <c r="B366" s="1" t="str">
        <f>"حسن"</f>
        <v>حسن</v>
      </c>
      <c r="C366" s="1" t="str">
        <f>"لک"</f>
        <v>لک</v>
      </c>
      <c r="D366" s="1" t="str">
        <f t="shared" ref="D366:D381" si="39">"قراردادي کارگري"</f>
        <v>قراردادي کارگري</v>
      </c>
      <c r="E366" s="1" t="str">
        <f t="shared" si="38"/>
        <v>پروژه تعميرات نيروگاه بوشهر</v>
      </c>
      <c r="F366" s="1">
        <v>8622517</v>
      </c>
      <c r="G366" s="1">
        <v>3415769</v>
      </c>
      <c r="H366" s="1">
        <v>0</v>
      </c>
      <c r="I366" s="1">
        <v>6208212</v>
      </c>
      <c r="J366" s="1">
        <v>0</v>
      </c>
      <c r="K366" s="1">
        <v>0</v>
      </c>
      <c r="L366" s="1">
        <v>3620700</v>
      </c>
      <c r="M366" s="1">
        <v>400000</v>
      </c>
      <c r="N366" s="1">
        <v>4568221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4536135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2222538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34694092</v>
      </c>
      <c r="AO366" s="1">
        <v>5770373</v>
      </c>
      <c r="AP366" s="1">
        <v>28923719</v>
      </c>
      <c r="AQ366" s="1">
        <v>6494311</v>
      </c>
      <c r="AR366" s="1">
        <v>974147</v>
      </c>
      <c r="AS366" s="1">
        <v>1060000</v>
      </c>
      <c r="AT366" s="1">
        <f t="shared" si="34"/>
        <v>43222550</v>
      </c>
    </row>
    <row r="367" spans="1:46">
      <c r="A367" s="1" t="str">
        <f>"00418"</f>
        <v>00418</v>
      </c>
      <c r="B367" s="1" t="str">
        <f>"اسماعيل"</f>
        <v>اسماعيل</v>
      </c>
      <c r="C367" s="1" t="str">
        <f>"محمدي نژاد"</f>
        <v>محمدي نژاد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7101507</v>
      </c>
      <c r="G367" s="1">
        <v>4259437</v>
      </c>
      <c r="H367" s="1">
        <v>0</v>
      </c>
      <c r="I367" s="1">
        <v>5113085</v>
      </c>
      <c r="J367" s="1">
        <v>0</v>
      </c>
      <c r="K367" s="1">
        <v>0</v>
      </c>
      <c r="L367" s="1">
        <v>3620700</v>
      </c>
      <c r="M367" s="1">
        <v>400000</v>
      </c>
      <c r="N367" s="1">
        <v>3737635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3793127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1111269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30236760</v>
      </c>
      <c r="AO367" s="1">
        <v>4620106</v>
      </c>
      <c r="AP367" s="1">
        <v>25616654</v>
      </c>
      <c r="AQ367" s="1">
        <v>5825098</v>
      </c>
      <c r="AR367" s="1">
        <v>873765</v>
      </c>
      <c r="AS367" s="1">
        <v>795000</v>
      </c>
      <c r="AT367" s="1">
        <f t="shared" si="34"/>
        <v>37730623</v>
      </c>
    </row>
    <row r="368" spans="1:46">
      <c r="A368" s="1" t="str">
        <f>"00419"</f>
        <v>00419</v>
      </c>
      <c r="B368" s="1" t="str">
        <f>"ابوذر"</f>
        <v>ابوذر</v>
      </c>
      <c r="C368" s="1" t="str">
        <f>"خاقاني"</f>
        <v>خاقاني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7880738</v>
      </c>
      <c r="G368" s="1">
        <v>4131649</v>
      </c>
      <c r="H368" s="1">
        <v>0</v>
      </c>
      <c r="I368" s="1">
        <v>5595324</v>
      </c>
      <c r="J368" s="1">
        <v>0</v>
      </c>
      <c r="K368" s="1">
        <v>0</v>
      </c>
      <c r="L368" s="1">
        <v>3620700</v>
      </c>
      <c r="M368" s="1">
        <v>400000</v>
      </c>
      <c r="N368" s="1">
        <v>4175226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7059316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2222538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36185491</v>
      </c>
      <c r="AO368" s="1">
        <v>8434596</v>
      </c>
      <c r="AP368" s="1">
        <v>27750895</v>
      </c>
      <c r="AQ368" s="1">
        <v>6792591</v>
      </c>
      <c r="AR368" s="1">
        <v>1018889</v>
      </c>
      <c r="AS368" s="1">
        <v>1060000</v>
      </c>
      <c r="AT368" s="1">
        <f t="shared" si="34"/>
        <v>45056971</v>
      </c>
    </row>
    <row r="369" spans="1:46">
      <c r="A369" s="1" t="str">
        <f>"00420"</f>
        <v>00420</v>
      </c>
      <c r="B369" s="1" t="str">
        <f>"صادق"</f>
        <v>صادق</v>
      </c>
      <c r="C369" s="1" t="str">
        <f>"عادلي زاده"</f>
        <v>عادلي زاده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7580870</v>
      </c>
      <c r="G369" s="1">
        <v>10880001</v>
      </c>
      <c r="H369" s="1">
        <v>0</v>
      </c>
      <c r="I369" s="1">
        <v>5534035</v>
      </c>
      <c r="J369" s="1">
        <v>0</v>
      </c>
      <c r="K369" s="1">
        <v>0</v>
      </c>
      <c r="L369" s="1">
        <v>3620700</v>
      </c>
      <c r="M369" s="1">
        <v>400000</v>
      </c>
      <c r="N369" s="1">
        <v>4016355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4116613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2222538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39471112</v>
      </c>
      <c r="AO369" s="1">
        <v>4764911</v>
      </c>
      <c r="AP369" s="1">
        <v>34706201</v>
      </c>
      <c r="AQ369" s="1">
        <v>7449715</v>
      </c>
      <c r="AR369" s="1">
        <v>1117457</v>
      </c>
      <c r="AS369" s="1">
        <v>0</v>
      </c>
      <c r="AT369" s="1">
        <f t="shared" si="34"/>
        <v>48038284</v>
      </c>
    </row>
    <row r="370" spans="1:46">
      <c r="A370" s="1" t="str">
        <f>"00421"</f>
        <v>00421</v>
      </c>
      <c r="B370" s="1" t="str">
        <f>"محمود"</f>
        <v>محمود</v>
      </c>
      <c r="C370" s="1" t="str">
        <f>"سليماني"</f>
        <v>سليماني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9374817</v>
      </c>
      <c r="G370" s="1">
        <v>0</v>
      </c>
      <c r="H370" s="1">
        <v>0</v>
      </c>
      <c r="I370" s="1">
        <v>6656120</v>
      </c>
      <c r="J370" s="1">
        <v>0</v>
      </c>
      <c r="K370" s="1">
        <v>0</v>
      </c>
      <c r="L370" s="1">
        <v>3620700</v>
      </c>
      <c r="M370" s="1">
        <v>400000</v>
      </c>
      <c r="N370" s="1">
        <v>4966790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9076153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2222538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37417118</v>
      </c>
      <c r="AO370" s="1">
        <v>7617507</v>
      </c>
      <c r="AP370" s="1">
        <v>29799611</v>
      </c>
      <c r="AQ370" s="1">
        <v>7038916</v>
      </c>
      <c r="AR370" s="1">
        <v>1055837</v>
      </c>
      <c r="AS370" s="1">
        <v>795000</v>
      </c>
      <c r="AT370" s="1">
        <f t="shared" si="34"/>
        <v>46306871</v>
      </c>
    </row>
    <row r="371" spans="1:46">
      <c r="A371" s="1" t="str">
        <f>"00422"</f>
        <v>00422</v>
      </c>
      <c r="B371" s="1" t="str">
        <f>"حسين"</f>
        <v>حسين</v>
      </c>
      <c r="C371" s="1" t="str">
        <f>"علوي راد"</f>
        <v>علوي راد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5443959</v>
      </c>
      <c r="G371" s="1">
        <v>15702016</v>
      </c>
      <c r="H371" s="1">
        <v>0</v>
      </c>
      <c r="I371" s="1">
        <v>4137409</v>
      </c>
      <c r="J371" s="1">
        <v>0</v>
      </c>
      <c r="K371" s="1">
        <v>0</v>
      </c>
      <c r="L371" s="1">
        <v>3914864</v>
      </c>
      <c r="M371" s="1">
        <v>400000</v>
      </c>
      <c r="N371" s="1">
        <v>2865242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3215065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2222538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39001093</v>
      </c>
      <c r="AO371" s="1">
        <v>7206614</v>
      </c>
      <c r="AP371" s="1">
        <v>31794479</v>
      </c>
      <c r="AQ371" s="1">
        <v>7355711</v>
      </c>
      <c r="AR371" s="1">
        <v>1103357</v>
      </c>
      <c r="AS371" s="1">
        <v>530000</v>
      </c>
      <c r="AT371" s="1">
        <f t="shared" si="34"/>
        <v>47990161</v>
      </c>
    </row>
    <row r="372" spans="1:46">
      <c r="A372" s="1" t="str">
        <f>"00423"</f>
        <v>00423</v>
      </c>
      <c r="B372" s="1" t="str">
        <f>"عليرضا"</f>
        <v>عليرضا</v>
      </c>
      <c r="C372" s="1" t="str">
        <f>"احمدي"</f>
        <v>احمدي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7060047</v>
      </c>
      <c r="G372" s="1">
        <v>14206588</v>
      </c>
      <c r="H372" s="1">
        <v>0</v>
      </c>
      <c r="I372" s="1">
        <v>5153835</v>
      </c>
      <c r="J372" s="1">
        <v>0</v>
      </c>
      <c r="K372" s="1">
        <v>0</v>
      </c>
      <c r="L372" s="1">
        <v>3620700</v>
      </c>
      <c r="M372" s="1">
        <v>400000</v>
      </c>
      <c r="N372" s="1">
        <v>3740422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3898876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2222538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41403006</v>
      </c>
      <c r="AO372" s="1">
        <v>5089469</v>
      </c>
      <c r="AP372" s="1">
        <v>36313537</v>
      </c>
      <c r="AQ372" s="1">
        <v>7836094</v>
      </c>
      <c r="AR372" s="1">
        <v>1175414</v>
      </c>
      <c r="AS372" s="1">
        <v>0</v>
      </c>
      <c r="AT372" s="1">
        <f t="shared" si="34"/>
        <v>50414514</v>
      </c>
    </row>
    <row r="373" spans="1:46">
      <c r="A373" s="1" t="str">
        <f>"00424"</f>
        <v>00424</v>
      </c>
      <c r="B373" s="1" t="str">
        <f>"سيد محمد"</f>
        <v>سيد محمد</v>
      </c>
      <c r="C373" s="1" t="str">
        <f>"پور قنبري"</f>
        <v>پور قنبري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8131297</v>
      </c>
      <c r="G373" s="1">
        <v>14565411</v>
      </c>
      <c r="H373" s="1">
        <v>0</v>
      </c>
      <c r="I373" s="1">
        <v>6017160</v>
      </c>
      <c r="J373" s="1">
        <v>0</v>
      </c>
      <c r="K373" s="1">
        <v>0</v>
      </c>
      <c r="L373" s="1">
        <v>3460800</v>
      </c>
      <c r="M373" s="1">
        <v>400000</v>
      </c>
      <c r="N373" s="1">
        <v>4336691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4337501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1111269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43460129</v>
      </c>
      <c r="AO373" s="1">
        <v>8014072</v>
      </c>
      <c r="AP373" s="1">
        <v>35446057</v>
      </c>
      <c r="AQ373" s="1">
        <v>8469772</v>
      </c>
      <c r="AR373" s="1">
        <v>1270466</v>
      </c>
      <c r="AS373" s="1">
        <v>600000</v>
      </c>
      <c r="AT373" s="1">
        <f t="shared" si="34"/>
        <v>53800367</v>
      </c>
    </row>
    <row r="374" spans="1:46">
      <c r="A374" s="1" t="str">
        <f>"00425"</f>
        <v>00425</v>
      </c>
      <c r="B374" s="1" t="str">
        <f>"عليرضا"</f>
        <v>عليرضا</v>
      </c>
      <c r="C374" s="1" t="str">
        <f>"اميري منش"</f>
        <v>اميري منش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6881179</v>
      </c>
      <c r="G374" s="1">
        <v>8076753</v>
      </c>
      <c r="H374" s="1">
        <v>0</v>
      </c>
      <c r="I374" s="1">
        <v>5092072</v>
      </c>
      <c r="J374" s="1">
        <v>0</v>
      </c>
      <c r="K374" s="1">
        <v>0</v>
      </c>
      <c r="L374" s="1">
        <v>3620700</v>
      </c>
      <c r="M374" s="1">
        <v>400000</v>
      </c>
      <c r="N374" s="1">
        <v>3645658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3836828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2222538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34875728</v>
      </c>
      <c r="AO374" s="1">
        <v>9685364</v>
      </c>
      <c r="AP374" s="1">
        <v>25190364</v>
      </c>
      <c r="AQ374" s="1">
        <v>6530638</v>
      </c>
      <c r="AR374" s="1">
        <v>979596</v>
      </c>
      <c r="AS374" s="1">
        <v>900000</v>
      </c>
      <c r="AT374" s="1">
        <f t="shared" si="34"/>
        <v>43285962</v>
      </c>
    </row>
    <row r="375" spans="1:46">
      <c r="A375" s="1" t="str">
        <f>"00426"</f>
        <v>00426</v>
      </c>
      <c r="B375" s="1" t="str">
        <f>"محسن"</f>
        <v>محسن</v>
      </c>
      <c r="C375" s="1" t="str">
        <f>"منفرد"</f>
        <v>منفرد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7895691</v>
      </c>
      <c r="G375" s="1">
        <v>12350748</v>
      </c>
      <c r="H375" s="1">
        <v>0</v>
      </c>
      <c r="I375" s="1">
        <v>6632380</v>
      </c>
      <c r="J375" s="1">
        <v>0</v>
      </c>
      <c r="K375" s="1">
        <v>0</v>
      </c>
      <c r="L375" s="1">
        <v>3460800</v>
      </c>
      <c r="M375" s="1">
        <v>400000</v>
      </c>
      <c r="N375" s="1">
        <v>4211034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4265983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40316636</v>
      </c>
      <c r="AO375" s="1">
        <v>9121619</v>
      </c>
      <c r="AP375" s="1">
        <v>31195017</v>
      </c>
      <c r="AQ375" s="1">
        <v>8063327</v>
      </c>
      <c r="AR375" s="1">
        <v>1209499</v>
      </c>
      <c r="AS375" s="1">
        <v>600000</v>
      </c>
      <c r="AT375" s="1">
        <f t="shared" si="34"/>
        <v>50189462</v>
      </c>
    </row>
    <row r="376" spans="1:46">
      <c r="A376" s="1" t="str">
        <f>"00427"</f>
        <v>00427</v>
      </c>
      <c r="B376" s="1" t="str">
        <f>"عبدالمجيد"</f>
        <v>عبدالمجيد</v>
      </c>
      <c r="C376" s="1" t="str">
        <f>"كازروني"</f>
        <v>كازروني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9860994</v>
      </c>
      <c r="G376" s="1">
        <v>19767305</v>
      </c>
      <c r="H376" s="1">
        <v>0</v>
      </c>
      <c r="I376" s="1">
        <v>7297136</v>
      </c>
      <c r="J376" s="1">
        <v>0</v>
      </c>
      <c r="K376" s="1">
        <v>0</v>
      </c>
      <c r="L376" s="1">
        <v>3460800</v>
      </c>
      <c r="M376" s="1">
        <v>400000</v>
      </c>
      <c r="N376" s="1">
        <v>5259197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4928063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3333807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55407302</v>
      </c>
      <c r="AO376" s="1">
        <v>9508078</v>
      </c>
      <c r="AP376" s="1">
        <v>45899224</v>
      </c>
      <c r="AQ376" s="1">
        <v>10414699</v>
      </c>
      <c r="AR376" s="1">
        <v>1562205</v>
      </c>
      <c r="AS376" s="1">
        <v>390000</v>
      </c>
      <c r="AT376" s="1">
        <f t="shared" si="34"/>
        <v>67774206</v>
      </c>
    </row>
    <row r="377" spans="1:46">
      <c r="A377" s="1" t="str">
        <f>"00428"</f>
        <v>00428</v>
      </c>
      <c r="B377" s="1" t="str">
        <f>"قاسم"</f>
        <v>قاسم</v>
      </c>
      <c r="C377" s="1" t="str">
        <f>"عليزاده"</f>
        <v>عليزاده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7498683</v>
      </c>
      <c r="G377" s="1">
        <v>11625560</v>
      </c>
      <c r="H377" s="1">
        <v>0</v>
      </c>
      <c r="I377" s="1">
        <v>5399052</v>
      </c>
      <c r="J377" s="1">
        <v>0</v>
      </c>
      <c r="K377" s="1">
        <v>0</v>
      </c>
      <c r="L377" s="1">
        <v>3620700</v>
      </c>
      <c r="M377" s="1">
        <v>400000</v>
      </c>
      <c r="N377" s="1">
        <v>3946675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4063545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1111269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38765484</v>
      </c>
      <c r="AO377" s="1">
        <v>8751043</v>
      </c>
      <c r="AP377" s="1">
        <v>30014441</v>
      </c>
      <c r="AQ377" s="1">
        <v>7530843</v>
      </c>
      <c r="AR377" s="1">
        <v>1129626</v>
      </c>
      <c r="AS377" s="1">
        <v>795000</v>
      </c>
      <c r="AT377" s="1">
        <f t="shared" si="34"/>
        <v>48220953</v>
      </c>
    </row>
    <row r="378" spans="1:46">
      <c r="A378" s="1" t="str">
        <f>"00429"</f>
        <v>00429</v>
      </c>
      <c r="B378" s="1" t="str">
        <f>"علي"</f>
        <v>علي</v>
      </c>
      <c r="C378" s="1" t="str">
        <f>"نجفي نيا"</f>
        <v>نجفي نيا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6439547</v>
      </c>
      <c r="G378" s="1">
        <v>18520796</v>
      </c>
      <c r="H378" s="1">
        <v>0</v>
      </c>
      <c r="I378" s="1">
        <v>4636474</v>
      </c>
      <c r="J378" s="1">
        <v>0</v>
      </c>
      <c r="K378" s="1">
        <v>0</v>
      </c>
      <c r="L378" s="1">
        <v>3620700</v>
      </c>
      <c r="M378" s="1">
        <v>400000</v>
      </c>
      <c r="N378" s="1">
        <v>3389235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3623402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3333807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45063961</v>
      </c>
      <c r="AO378" s="1">
        <v>6032091</v>
      </c>
      <c r="AP378" s="1">
        <v>39031870</v>
      </c>
      <c r="AQ378" s="1">
        <v>8346031</v>
      </c>
      <c r="AR378" s="1">
        <v>1251905</v>
      </c>
      <c r="AS378" s="1">
        <v>0</v>
      </c>
      <c r="AT378" s="1">
        <f t="shared" si="34"/>
        <v>54661897</v>
      </c>
    </row>
    <row r="379" spans="1:46">
      <c r="A379" s="1" t="str">
        <f>"00430"</f>
        <v>00430</v>
      </c>
      <c r="B379" s="1" t="str">
        <f>"مهدي"</f>
        <v>مهدي</v>
      </c>
      <c r="C379" s="1" t="str">
        <f>"خدري"</f>
        <v>خدري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7578118</v>
      </c>
      <c r="G379" s="1">
        <v>12995846</v>
      </c>
      <c r="H379" s="1">
        <v>0</v>
      </c>
      <c r="I379" s="1">
        <v>5683589</v>
      </c>
      <c r="J379" s="1">
        <v>0</v>
      </c>
      <c r="K379" s="1">
        <v>0</v>
      </c>
      <c r="L379" s="1">
        <v>3699296</v>
      </c>
      <c r="M379" s="1">
        <v>400000</v>
      </c>
      <c r="N379" s="1">
        <v>3988483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4153155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3333807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42932294</v>
      </c>
      <c r="AO379" s="1">
        <v>7555823</v>
      </c>
      <c r="AP379" s="1">
        <v>35376471</v>
      </c>
      <c r="AQ379" s="1">
        <v>7919697</v>
      </c>
      <c r="AR379" s="1">
        <v>1187955</v>
      </c>
      <c r="AS379" s="1">
        <v>1325000</v>
      </c>
      <c r="AT379" s="1">
        <f t="shared" si="34"/>
        <v>53364946</v>
      </c>
    </row>
    <row r="380" spans="1:46">
      <c r="A380" s="1" t="str">
        <f>"00431"</f>
        <v>00431</v>
      </c>
      <c r="B380" s="1" t="str">
        <f>"صفرعلي"</f>
        <v>صفرعلي</v>
      </c>
      <c r="C380" s="1" t="str">
        <f>"جوادي اقدم هرزند"</f>
        <v>جوادي اقدم هرزند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7996477</v>
      </c>
      <c r="G380" s="1">
        <v>13061082</v>
      </c>
      <c r="H380" s="1">
        <v>0</v>
      </c>
      <c r="I380" s="1">
        <v>5917393</v>
      </c>
      <c r="J380" s="1">
        <v>0</v>
      </c>
      <c r="K380" s="1">
        <v>0</v>
      </c>
      <c r="L380" s="1">
        <v>3620700</v>
      </c>
      <c r="M380" s="1">
        <v>400000</v>
      </c>
      <c r="N380" s="1">
        <v>4236544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4188800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2222538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42743534</v>
      </c>
      <c r="AO380" s="1">
        <v>8524997</v>
      </c>
      <c r="AP380" s="1">
        <v>34218537</v>
      </c>
      <c r="AQ380" s="1">
        <v>8104199</v>
      </c>
      <c r="AR380" s="1">
        <v>1215630</v>
      </c>
      <c r="AS380" s="1">
        <v>585000</v>
      </c>
      <c r="AT380" s="1">
        <f t="shared" si="34"/>
        <v>52648363</v>
      </c>
    </row>
    <row r="381" spans="1:46">
      <c r="A381" s="1" t="str">
        <f>"00432"</f>
        <v>00432</v>
      </c>
      <c r="B381" s="1" t="str">
        <f>"حسين"</f>
        <v>حسين</v>
      </c>
      <c r="C381" s="1" t="str">
        <f>"محمدي ثالث"</f>
        <v>محمدي ثالث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7838652</v>
      </c>
      <c r="G381" s="1">
        <v>8386507</v>
      </c>
      <c r="H381" s="1">
        <v>0</v>
      </c>
      <c r="I381" s="1">
        <v>5722216</v>
      </c>
      <c r="J381" s="1">
        <v>0</v>
      </c>
      <c r="K381" s="1">
        <v>0</v>
      </c>
      <c r="L381" s="1">
        <v>3620700</v>
      </c>
      <c r="M381" s="1">
        <v>400000</v>
      </c>
      <c r="N381" s="1">
        <v>4152928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4224382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2222538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37667923</v>
      </c>
      <c r="AO381" s="1">
        <v>6873127</v>
      </c>
      <c r="AP381" s="1">
        <v>30794796</v>
      </c>
      <c r="AQ381" s="1">
        <v>7089077</v>
      </c>
      <c r="AR381" s="1">
        <v>1063362</v>
      </c>
      <c r="AS381" s="1">
        <v>1060000</v>
      </c>
      <c r="AT381" s="1">
        <f t="shared" si="34"/>
        <v>46880362</v>
      </c>
    </row>
    <row r="382" spans="1:46">
      <c r="A382" s="1" t="str">
        <f>"00433"</f>
        <v>00433</v>
      </c>
      <c r="B382" s="1" t="str">
        <f>"عليرضا"</f>
        <v>عليرضا</v>
      </c>
      <c r="C382" s="1" t="str">
        <f>"مسعودي"</f>
        <v>مسعودي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9645425</v>
      </c>
      <c r="G382" s="1">
        <v>8692005</v>
      </c>
      <c r="H382" s="1">
        <v>0</v>
      </c>
      <c r="I382" s="1">
        <v>8712125</v>
      </c>
      <c r="J382" s="1">
        <v>0</v>
      </c>
      <c r="K382" s="1">
        <v>0</v>
      </c>
      <c r="L382" s="1">
        <v>0</v>
      </c>
      <c r="M382" s="1">
        <v>400000</v>
      </c>
      <c r="N382" s="1">
        <v>1631454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1270000</v>
      </c>
      <c r="U382" s="1">
        <v>0</v>
      </c>
      <c r="V382" s="1">
        <v>4430954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1165323</v>
      </c>
      <c r="AF382" s="1">
        <v>2222538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2796777</v>
      </c>
      <c r="AM382" s="1">
        <v>0</v>
      </c>
      <c r="AN382" s="1">
        <v>42066601</v>
      </c>
      <c r="AO382" s="1">
        <v>9372259</v>
      </c>
      <c r="AP382" s="1">
        <v>32694342</v>
      </c>
      <c r="AQ382" s="1">
        <v>7714813</v>
      </c>
      <c r="AR382" s="1">
        <v>1157222</v>
      </c>
      <c r="AS382" s="1">
        <v>0</v>
      </c>
      <c r="AT382" s="1">
        <f t="shared" si="34"/>
        <v>50938636</v>
      </c>
    </row>
    <row r="383" spans="1:46">
      <c r="A383" s="1" t="str">
        <f>"00434"</f>
        <v>00434</v>
      </c>
      <c r="B383" s="1" t="str">
        <f>"عباس"</f>
        <v>عباس</v>
      </c>
      <c r="C383" s="1" t="str">
        <f>"عبدالعلي پور"</f>
        <v>عبدالعلي پور</v>
      </c>
      <c r="D383" s="1" t="str">
        <f t="shared" ref="D383:D389" si="40">"قراردادي کارگري"</f>
        <v>قراردادي کارگري</v>
      </c>
      <c r="E383" s="1" t="str">
        <f t="shared" ref="E383:E389" si="41">"پروژه تعميرات نيروگاه بوشهر"</f>
        <v>پروژه تعميرات نيروگاه بوشهر</v>
      </c>
      <c r="F383" s="1">
        <v>8079579</v>
      </c>
      <c r="G383" s="1">
        <v>17728985</v>
      </c>
      <c r="H383" s="1">
        <v>0</v>
      </c>
      <c r="I383" s="1">
        <v>5978888</v>
      </c>
      <c r="J383" s="1">
        <v>0</v>
      </c>
      <c r="K383" s="1">
        <v>0</v>
      </c>
      <c r="L383" s="1">
        <v>3460800</v>
      </c>
      <c r="M383" s="1">
        <v>400000</v>
      </c>
      <c r="N383" s="1">
        <v>4309108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4315750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2222538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47595648</v>
      </c>
      <c r="AO383" s="1">
        <v>8509833</v>
      </c>
      <c r="AP383" s="1">
        <v>39085815</v>
      </c>
      <c r="AQ383" s="1">
        <v>9074622</v>
      </c>
      <c r="AR383" s="1">
        <v>1361193</v>
      </c>
      <c r="AS383" s="1">
        <v>600000</v>
      </c>
      <c r="AT383" s="1">
        <f t="shared" si="34"/>
        <v>58631463</v>
      </c>
    </row>
    <row r="384" spans="1:46">
      <c r="A384" s="1" t="str">
        <f>"00435"</f>
        <v>00435</v>
      </c>
      <c r="B384" s="1" t="str">
        <f>"رضا"</f>
        <v>رضا</v>
      </c>
      <c r="C384" s="1" t="str">
        <f>"محمودي"</f>
        <v>محمودي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9195948</v>
      </c>
      <c r="G384" s="1">
        <v>25525971</v>
      </c>
      <c r="H384" s="1">
        <v>0</v>
      </c>
      <c r="I384" s="1">
        <v>6805002</v>
      </c>
      <c r="J384" s="1">
        <v>0</v>
      </c>
      <c r="K384" s="1">
        <v>0</v>
      </c>
      <c r="L384" s="1">
        <v>3620700</v>
      </c>
      <c r="M384" s="1">
        <v>400000</v>
      </c>
      <c r="N384" s="1">
        <v>4872026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4678862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3333807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59532316</v>
      </c>
      <c r="AO384" s="1">
        <v>11606293</v>
      </c>
      <c r="AP384" s="1">
        <v>47926023</v>
      </c>
      <c r="AQ384" s="1">
        <v>11239702</v>
      </c>
      <c r="AR384" s="1">
        <v>1685955</v>
      </c>
      <c r="AS384" s="1">
        <v>600000</v>
      </c>
      <c r="AT384" s="1">
        <f t="shared" si="34"/>
        <v>73057973</v>
      </c>
    </row>
    <row r="385" spans="1:46">
      <c r="A385" s="1" t="str">
        <f>"00437"</f>
        <v>00437</v>
      </c>
      <c r="B385" s="1" t="str">
        <f>"رسول"</f>
        <v>رسول</v>
      </c>
      <c r="C385" s="1" t="str">
        <f>"زماني"</f>
        <v>زماني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6826132</v>
      </c>
      <c r="G385" s="1">
        <v>0</v>
      </c>
      <c r="H385" s="1">
        <v>0</v>
      </c>
      <c r="I385" s="1">
        <v>4232202</v>
      </c>
      <c r="J385" s="1">
        <v>0</v>
      </c>
      <c r="K385" s="1">
        <v>0</v>
      </c>
      <c r="L385" s="1">
        <v>3620700</v>
      </c>
      <c r="M385" s="1">
        <v>400000</v>
      </c>
      <c r="N385" s="1">
        <v>3592701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4498069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24269804</v>
      </c>
      <c r="AO385" s="1">
        <v>5906659</v>
      </c>
      <c r="AP385" s="1">
        <v>18363145</v>
      </c>
      <c r="AQ385" s="1">
        <v>4853961</v>
      </c>
      <c r="AR385" s="1">
        <v>728094</v>
      </c>
      <c r="AS385" s="1">
        <v>300000</v>
      </c>
      <c r="AT385" s="1">
        <f t="shared" si="34"/>
        <v>30151859</v>
      </c>
    </row>
    <row r="386" spans="1:46">
      <c r="A386" s="1" t="str">
        <f>"00438"</f>
        <v>00438</v>
      </c>
      <c r="B386" s="1" t="str">
        <f>"منصور"</f>
        <v>منصور</v>
      </c>
      <c r="C386" s="1" t="str">
        <f>"محمدي"</f>
        <v>محمدي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11136717</v>
      </c>
      <c r="G386" s="1">
        <v>8637235</v>
      </c>
      <c r="H386" s="1">
        <v>0</v>
      </c>
      <c r="I386" s="1">
        <v>9354842</v>
      </c>
      <c r="J386" s="1">
        <v>0</v>
      </c>
      <c r="K386" s="1">
        <v>0</v>
      </c>
      <c r="L386" s="1">
        <v>3460800</v>
      </c>
      <c r="M386" s="1">
        <v>400000</v>
      </c>
      <c r="N386" s="1">
        <v>5939584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8318865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2222538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50570581</v>
      </c>
      <c r="AO386" s="1">
        <v>9758484</v>
      </c>
      <c r="AP386" s="1">
        <v>40812097</v>
      </c>
      <c r="AQ386" s="1">
        <v>9669609</v>
      </c>
      <c r="AR386" s="1">
        <v>1450441</v>
      </c>
      <c r="AS386" s="1">
        <v>530000</v>
      </c>
      <c r="AT386" s="1">
        <f t="shared" si="34"/>
        <v>62220631</v>
      </c>
    </row>
    <row r="387" spans="1:46">
      <c r="A387" s="1" t="str">
        <f>"00439"</f>
        <v>00439</v>
      </c>
      <c r="B387" s="1" t="str">
        <f>"سيد سعد"</f>
        <v>سيد سعد</v>
      </c>
      <c r="C387" s="1" t="str">
        <f>"موسوي بغلاني"</f>
        <v>موسوي بغلاني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6466025</v>
      </c>
      <c r="G387" s="1">
        <v>1562716</v>
      </c>
      <c r="H387" s="1">
        <v>0</v>
      </c>
      <c r="I387" s="1">
        <v>4655538</v>
      </c>
      <c r="J387" s="1">
        <v>0</v>
      </c>
      <c r="K387" s="1">
        <v>0</v>
      </c>
      <c r="L387" s="1">
        <v>3620700</v>
      </c>
      <c r="M387" s="1">
        <v>400000</v>
      </c>
      <c r="N387" s="1">
        <v>3403171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8643991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2721815</v>
      </c>
      <c r="AE387" s="1">
        <v>0</v>
      </c>
      <c r="AF387" s="1">
        <v>3333807</v>
      </c>
      <c r="AG387" s="1">
        <v>0</v>
      </c>
      <c r="AH387" s="1">
        <v>0</v>
      </c>
      <c r="AI387" s="1">
        <v>0</v>
      </c>
      <c r="AJ387" s="1">
        <v>3750519</v>
      </c>
      <c r="AK387" s="1">
        <v>0</v>
      </c>
      <c r="AL387" s="1">
        <v>0</v>
      </c>
      <c r="AM387" s="1">
        <v>0</v>
      </c>
      <c r="AN387" s="1">
        <v>39658282</v>
      </c>
      <c r="AO387" s="1">
        <v>10930039</v>
      </c>
      <c r="AP387" s="1">
        <v>28728243</v>
      </c>
      <c r="AQ387" s="1">
        <v>7264895</v>
      </c>
      <c r="AR387" s="1">
        <v>1089734</v>
      </c>
      <c r="AS387" s="1">
        <v>975000</v>
      </c>
      <c r="AT387" s="1">
        <f t="shared" ref="AT387:AT450" si="42">AS387+AR387+AQ387+AN387</f>
        <v>48987911</v>
      </c>
    </row>
    <row r="388" spans="1:46">
      <c r="A388" s="1" t="str">
        <f>"00440"</f>
        <v>00440</v>
      </c>
      <c r="B388" s="1" t="str">
        <f>"احمد"</f>
        <v>احمد</v>
      </c>
      <c r="C388" s="1" t="str">
        <f>"خليفه"</f>
        <v>خليفه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6084736</v>
      </c>
      <c r="G388" s="1">
        <v>1495882</v>
      </c>
      <c r="H388" s="1">
        <v>0</v>
      </c>
      <c r="I388" s="1">
        <v>4441858</v>
      </c>
      <c r="J388" s="1">
        <v>0</v>
      </c>
      <c r="K388" s="1">
        <v>0</v>
      </c>
      <c r="L388" s="1">
        <v>3620700</v>
      </c>
      <c r="M388" s="1">
        <v>400000</v>
      </c>
      <c r="N388" s="1">
        <v>3202493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8293906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2602468</v>
      </c>
      <c r="AE388" s="1">
        <v>0</v>
      </c>
      <c r="AF388" s="1">
        <v>2222538</v>
      </c>
      <c r="AG388" s="1">
        <v>0</v>
      </c>
      <c r="AH388" s="1">
        <v>0</v>
      </c>
      <c r="AI388" s="1">
        <v>0</v>
      </c>
      <c r="AJ388" s="1">
        <v>3590117</v>
      </c>
      <c r="AK388" s="1">
        <v>0</v>
      </c>
      <c r="AL388" s="1">
        <v>0</v>
      </c>
      <c r="AM388" s="1">
        <v>0</v>
      </c>
      <c r="AN388" s="1">
        <v>37054698</v>
      </c>
      <c r="AO388" s="1">
        <v>7939619</v>
      </c>
      <c r="AP388" s="1">
        <v>29115079</v>
      </c>
      <c r="AQ388" s="1">
        <v>6966432</v>
      </c>
      <c r="AR388" s="1">
        <v>1044965</v>
      </c>
      <c r="AS388" s="1">
        <v>530000</v>
      </c>
      <c r="AT388" s="1">
        <f t="shared" si="42"/>
        <v>45596095</v>
      </c>
    </row>
    <row r="389" spans="1:46">
      <c r="A389" s="1" t="str">
        <f>"00442"</f>
        <v>00442</v>
      </c>
      <c r="B389" s="1" t="str">
        <f>"ايوب"</f>
        <v>ايوب</v>
      </c>
      <c r="C389" s="1" t="str">
        <f>"غلامي"</f>
        <v>غلامي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7609056</v>
      </c>
      <c r="G389" s="1">
        <v>5224162</v>
      </c>
      <c r="H389" s="1">
        <v>0</v>
      </c>
      <c r="I389" s="1">
        <v>5326339</v>
      </c>
      <c r="J389" s="1">
        <v>0</v>
      </c>
      <c r="K389" s="1">
        <v>0</v>
      </c>
      <c r="L389" s="1">
        <v>3620700</v>
      </c>
      <c r="M389" s="1">
        <v>400000</v>
      </c>
      <c r="N389" s="1">
        <v>4058163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4091138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1111269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32540827</v>
      </c>
      <c r="AO389" s="1">
        <v>8771591</v>
      </c>
      <c r="AP389" s="1">
        <v>23769236</v>
      </c>
      <c r="AQ389" s="1">
        <v>6285912</v>
      </c>
      <c r="AR389" s="1">
        <v>942887</v>
      </c>
      <c r="AS389" s="1">
        <v>1325000</v>
      </c>
      <c r="AT389" s="1">
        <f t="shared" si="42"/>
        <v>41094626</v>
      </c>
    </row>
    <row r="390" spans="1:46">
      <c r="A390" s="1" t="str">
        <f>"00443"</f>
        <v>00443</v>
      </c>
      <c r="B390" s="1" t="str">
        <f>"امير"</f>
        <v>امير</v>
      </c>
      <c r="C390" s="1" t="str">
        <f>"مرادي"</f>
        <v>مرادي</v>
      </c>
      <c r="D390" s="1" t="str">
        <f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17427306</v>
      </c>
      <c r="G390" s="1">
        <v>7054976</v>
      </c>
      <c r="H390" s="1">
        <v>0</v>
      </c>
      <c r="I390" s="1">
        <v>13615270</v>
      </c>
      <c r="J390" s="1">
        <v>0</v>
      </c>
      <c r="K390" s="1">
        <v>5500000</v>
      </c>
      <c r="L390" s="1">
        <v>0</v>
      </c>
      <c r="M390" s="1">
        <v>400000</v>
      </c>
      <c r="N390" s="1">
        <v>3033426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10346931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2166733</v>
      </c>
      <c r="AF390" s="1">
        <v>1111269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4333466</v>
      </c>
      <c r="AM390" s="1">
        <v>0</v>
      </c>
      <c r="AN390" s="1">
        <v>66089377</v>
      </c>
      <c r="AO390" s="1">
        <v>10601058</v>
      </c>
      <c r="AP390" s="1">
        <v>55488319</v>
      </c>
      <c r="AQ390" s="1">
        <v>12995622</v>
      </c>
      <c r="AR390" s="1">
        <v>1949343</v>
      </c>
      <c r="AS390" s="1">
        <v>0</v>
      </c>
      <c r="AT390" s="1">
        <f t="shared" si="42"/>
        <v>81034342</v>
      </c>
    </row>
    <row r="391" spans="1:46">
      <c r="A391" s="1" t="str">
        <f>"00444"</f>
        <v>00444</v>
      </c>
      <c r="B391" s="1" t="str">
        <f>"علي"</f>
        <v>علي</v>
      </c>
      <c r="C391" s="1" t="str">
        <f>"حسن زاده"</f>
        <v>حسن زاده</v>
      </c>
      <c r="D391" s="1" t="str">
        <f>"قراردادي کارگري"</f>
        <v>قراردادي کارگري</v>
      </c>
      <c r="E391" s="1" t="str">
        <f>"پروژه تعميرات نيروگاه بوشهر"</f>
        <v>پروژه تعميرات نيروگاه بوشهر</v>
      </c>
      <c r="F391" s="1">
        <v>8701429</v>
      </c>
      <c r="G391" s="1">
        <v>11549473</v>
      </c>
      <c r="H391" s="1">
        <v>0</v>
      </c>
      <c r="I391" s="1">
        <v>6352043</v>
      </c>
      <c r="J391" s="1">
        <v>0</v>
      </c>
      <c r="K391" s="1">
        <v>0</v>
      </c>
      <c r="L391" s="1">
        <v>3620700</v>
      </c>
      <c r="M391" s="1">
        <v>400000</v>
      </c>
      <c r="N391" s="1">
        <v>4610029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5514485</v>
      </c>
      <c r="W391" s="1">
        <v>1100000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3333807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45181966</v>
      </c>
      <c r="AO391" s="1">
        <v>5548769</v>
      </c>
      <c r="AP391" s="1">
        <v>39633197</v>
      </c>
      <c r="AQ391" s="1">
        <v>8369632</v>
      </c>
      <c r="AR391" s="1">
        <v>1255445</v>
      </c>
      <c r="AS391" s="1">
        <v>0</v>
      </c>
      <c r="AT391" s="1">
        <f t="shared" si="42"/>
        <v>54807043</v>
      </c>
    </row>
    <row r="392" spans="1:46">
      <c r="A392" s="1" t="str">
        <f>"00448"</f>
        <v>00448</v>
      </c>
      <c r="B392" s="1" t="str">
        <f>"اکبر"</f>
        <v>اکبر</v>
      </c>
      <c r="C392" s="1" t="str">
        <f>"آجامي"</f>
        <v>آجامي</v>
      </c>
      <c r="D392" s="1" t="str">
        <f t="shared" ref="D392:D423" si="43">"قراردادي بهره بردار"</f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11980382</v>
      </c>
      <c r="G392" s="1">
        <v>17338148</v>
      </c>
      <c r="H392" s="1">
        <v>0</v>
      </c>
      <c r="I392" s="1">
        <v>11127971</v>
      </c>
      <c r="J392" s="1">
        <v>0</v>
      </c>
      <c r="K392" s="1">
        <v>4620000</v>
      </c>
      <c r="L392" s="1">
        <v>0</v>
      </c>
      <c r="M392" s="1">
        <v>400000</v>
      </c>
      <c r="N392" s="1">
        <v>2306477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1270000</v>
      </c>
      <c r="U392" s="1">
        <v>0</v>
      </c>
      <c r="V392" s="1">
        <v>8718233</v>
      </c>
      <c r="W392" s="1">
        <v>1100000</v>
      </c>
      <c r="X392" s="1">
        <v>1797057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1647484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10843044</v>
      </c>
      <c r="AM392" s="1">
        <v>0</v>
      </c>
      <c r="AN392" s="1">
        <v>73148796</v>
      </c>
      <c r="AO392" s="1">
        <v>16676535</v>
      </c>
      <c r="AP392" s="1">
        <v>56472261</v>
      </c>
      <c r="AQ392" s="1">
        <v>14375759</v>
      </c>
      <c r="AR392" s="1">
        <v>2156364</v>
      </c>
      <c r="AS392" s="1">
        <v>0</v>
      </c>
      <c r="AT392" s="1">
        <f t="shared" si="42"/>
        <v>89680919</v>
      </c>
    </row>
    <row r="393" spans="1:46">
      <c r="A393" s="1" t="str">
        <f>"00449"</f>
        <v>00449</v>
      </c>
      <c r="B393" s="1" t="str">
        <f>"حميدرضا"</f>
        <v>حميدرضا</v>
      </c>
      <c r="C393" s="1" t="str">
        <f>"احمدي خرم"</f>
        <v>احمدي خرم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10785159</v>
      </c>
      <c r="G393" s="1">
        <v>3326011</v>
      </c>
      <c r="H393" s="1">
        <v>0</v>
      </c>
      <c r="I393" s="1">
        <v>7751644</v>
      </c>
      <c r="J393" s="1">
        <v>0</v>
      </c>
      <c r="K393" s="1">
        <v>4620000</v>
      </c>
      <c r="L393" s="1">
        <v>0</v>
      </c>
      <c r="M393" s="1">
        <v>400000</v>
      </c>
      <c r="N393" s="1">
        <v>1837255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1270000</v>
      </c>
      <c r="U393" s="1">
        <v>0</v>
      </c>
      <c r="V393" s="1">
        <v>9096783</v>
      </c>
      <c r="W393" s="1">
        <v>1100000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1312324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4304424</v>
      </c>
      <c r="AM393" s="1">
        <v>0</v>
      </c>
      <c r="AN393" s="1">
        <v>45803600</v>
      </c>
      <c r="AO393" s="1">
        <v>7022542</v>
      </c>
      <c r="AP393" s="1">
        <v>38781058</v>
      </c>
      <c r="AQ393" s="1">
        <v>8906720</v>
      </c>
      <c r="AR393" s="1">
        <v>1336008</v>
      </c>
      <c r="AS393" s="1">
        <v>0</v>
      </c>
      <c r="AT393" s="1">
        <f t="shared" si="42"/>
        <v>56046328</v>
      </c>
    </row>
    <row r="394" spans="1:46">
      <c r="A394" s="1" t="str">
        <f>"00450"</f>
        <v>00450</v>
      </c>
      <c r="B394" s="1" t="str">
        <f>"سيدابراهيم"</f>
        <v>سيدابراهيم</v>
      </c>
      <c r="C394" s="1" t="str">
        <f>"اعلايي خانقاه سادات"</f>
        <v>اعلايي خانقاه سادات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15704773</v>
      </c>
      <c r="G394" s="1">
        <v>8288773</v>
      </c>
      <c r="H394" s="1">
        <v>0</v>
      </c>
      <c r="I394" s="1">
        <v>11890242</v>
      </c>
      <c r="J394" s="1">
        <v>0</v>
      </c>
      <c r="K394" s="1">
        <v>5500000</v>
      </c>
      <c r="L394" s="1">
        <v>0</v>
      </c>
      <c r="M394" s="1">
        <v>400000</v>
      </c>
      <c r="N394" s="1">
        <v>2723963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11208374</v>
      </c>
      <c r="W394" s="1">
        <v>1100000</v>
      </c>
      <c r="X394" s="1">
        <v>2355716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1945688</v>
      </c>
      <c r="AF394" s="1">
        <v>2222538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3891377</v>
      </c>
      <c r="AM394" s="1">
        <v>0</v>
      </c>
      <c r="AN394" s="1">
        <v>67231444</v>
      </c>
      <c r="AO394" s="1">
        <v>18586414</v>
      </c>
      <c r="AP394" s="1">
        <v>48645030</v>
      </c>
      <c r="AQ394" s="1">
        <v>13001781</v>
      </c>
      <c r="AR394" s="1">
        <v>1950267</v>
      </c>
      <c r="AS394" s="1">
        <v>0</v>
      </c>
      <c r="AT394" s="1">
        <f t="shared" si="42"/>
        <v>82183492</v>
      </c>
    </row>
    <row r="395" spans="1:46">
      <c r="A395" s="1" t="str">
        <f>"00451"</f>
        <v>00451</v>
      </c>
      <c r="B395" s="1" t="str">
        <f>"محمدمهدي"</f>
        <v>محمدمهدي</v>
      </c>
      <c r="C395" s="1" t="str">
        <f>"افشاري"</f>
        <v>افشاري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11837313</v>
      </c>
      <c r="G395" s="1">
        <v>4741391</v>
      </c>
      <c r="H395" s="1">
        <v>0</v>
      </c>
      <c r="I395" s="1">
        <v>8481846</v>
      </c>
      <c r="J395" s="1">
        <v>0</v>
      </c>
      <c r="K395" s="1">
        <v>4620000</v>
      </c>
      <c r="L395" s="1">
        <v>0</v>
      </c>
      <c r="M395" s="1">
        <v>400000</v>
      </c>
      <c r="N395" s="1">
        <v>2194655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1270000</v>
      </c>
      <c r="U395" s="1">
        <v>0</v>
      </c>
      <c r="V395" s="1">
        <v>6079554</v>
      </c>
      <c r="W395" s="1">
        <v>1100000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1567612</v>
      </c>
      <c r="AF395" s="1">
        <v>1111269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2351417</v>
      </c>
      <c r="AM395" s="1">
        <v>0</v>
      </c>
      <c r="AN395" s="1">
        <v>45755057</v>
      </c>
      <c r="AO395" s="1">
        <v>7955923</v>
      </c>
      <c r="AP395" s="1">
        <v>37799134</v>
      </c>
      <c r="AQ395" s="1">
        <v>8674758</v>
      </c>
      <c r="AR395" s="1">
        <v>1301214</v>
      </c>
      <c r="AS395" s="1">
        <v>0</v>
      </c>
      <c r="AT395" s="1">
        <f t="shared" si="42"/>
        <v>55731029</v>
      </c>
    </row>
    <row r="396" spans="1:46">
      <c r="A396" s="1" t="str">
        <f>"00452"</f>
        <v>00452</v>
      </c>
      <c r="B396" s="1" t="str">
        <f>"محمدرضا"</f>
        <v>محمدرضا</v>
      </c>
      <c r="C396" s="1" t="str">
        <f>"اکبرپور"</f>
        <v>اکبرپور</v>
      </c>
      <c r="D396" s="1" t="str">
        <f t="shared" si="43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11824303</v>
      </c>
      <c r="G396" s="1">
        <v>9860548</v>
      </c>
      <c r="H396" s="1">
        <v>0</v>
      </c>
      <c r="I396" s="1">
        <v>10885402</v>
      </c>
      <c r="J396" s="1">
        <v>0</v>
      </c>
      <c r="K396" s="1">
        <v>4620000</v>
      </c>
      <c r="L396" s="1">
        <v>0</v>
      </c>
      <c r="M396" s="1">
        <v>400000</v>
      </c>
      <c r="N396" s="1">
        <v>2244927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1270000</v>
      </c>
      <c r="U396" s="1">
        <v>0</v>
      </c>
      <c r="V396" s="1">
        <v>8428994</v>
      </c>
      <c r="W396" s="1">
        <v>1100000</v>
      </c>
      <c r="X396" s="1">
        <v>1773645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1603519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10089647</v>
      </c>
      <c r="AM396" s="1">
        <v>0</v>
      </c>
      <c r="AN396" s="1">
        <v>64100985</v>
      </c>
      <c r="AO396" s="1">
        <v>11444380</v>
      </c>
      <c r="AP396" s="1">
        <v>52656605</v>
      </c>
      <c r="AQ396" s="1">
        <v>12566197</v>
      </c>
      <c r="AR396" s="1">
        <v>1884930</v>
      </c>
      <c r="AS396" s="1">
        <v>0</v>
      </c>
      <c r="AT396" s="1">
        <f t="shared" si="42"/>
        <v>78552112</v>
      </c>
    </row>
    <row r="397" spans="1:46">
      <c r="A397" s="1" t="str">
        <f>"00453"</f>
        <v>00453</v>
      </c>
      <c r="B397" s="1" t="str">
        <f>"رضا"</f>
        <v>رضا</v>
      </c>
      <c r="C397" s="1" t="str">
        <f>"اوجي نيا"</f>
        <v>اوجي نيا</v>
      </c>
      <c r="D397" s="1" t="str">
        <f t="shared" si="43"/>
        <v>قراردادي بهره بردار</v>
      </c>
      <c r="E397" s="1" t="str">
        <f>"پروژه تعميرات نيروگاه بوشهر"</f>
        <v>پروژه تعميرات نيروگاه بوشهر</v>
      </c>
      <c r="F397" s="1">
        <v>14746144</v>
      </c>
      <c r="G397" s="1">
        <v>2634133</v>
      </c>
      <c r="H397" s="1">
        <v>0</v>
      </c>
      <c r="I397" s="1">
        <v>9886495</v>
      </c>
      <c r="J397" s="1">
        <v>0</v>
      </c>
      <c r="K397" s="1">
        <v>5500000</v>
      </c>
      <c r="L397" s="1">
        <v>0</v>
      </c>
      <c r="M397" s="1">
        <v>400000</v>
      </c>
      <c r="N397" s="1">
        <v>2341061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1270000</v>
      </c>
      <c r="U397" s="1">
        <v>0</v>
      </c>
      <c r="V397" s="1">
        <v>8282686</v>
      </c>
      <c r="W397" s="1">
        <v>1100000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1672186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3210598</v>
      </c>
      <c r="AM397" s="1">
        <v>0</v>
      </c>
      <c r="AN397" s="1">
        <v>51043303</v>
      </c>
      <c r="AO397" s="1">
        <v>9526581</v>
      </c>
      <c r="AP397" s="1">
        <v>41516722</v>
      </c>
      <c r="AQ397" s="1">
        <v>9954661</v>
      </c>
      <c r="AR397" s="1">
        <v>1493199</v>
      </c>
      <c r="AS397" s="1">
        <v>0</v>
      </c>
      <c r="AT397" s="1">
        <f t="shared" si="42"/>
        <v>62491163</v>
      </c>
    </row>
    <row r="398" spans="1:46">
      <c r="A398" s="1" t="str">
        <f>"00454"</f>
        <v>00454</v>
      </c>
      <c r="B398" s="1" t="str">
        <f>"مهرداد"</f>
        <v>مهرداد</v>
      </c>
      <c r="C398" s="1" t="str">
        <f>"بازياري"</f>
        <v>بازياري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11899447</v>
      </c>
      <c r="G398" s="1">
        <v>6086433</v>
      </c>
      <c r="H398" s="1">
        <v>0</v>
      </c>
      <c r="I398" s="1">
        <v>9565952</v>
      </c>
      <c r="J398" s="1">
        <v>0</v>
      </c>
      <c r="K398" s="1">
        <v>4620000</v>
      </c>
      <c r="L398" s="1">
        <v>0</v>
      </c>
      <c r="M398" s="1">
        <v>400000</v>
      </c>
      <c r="N398" s="1">
        <v>2256257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1270000</v>
      </c>
      <c r="U398" s="1">
        <v>0</v>
      </c>
      <c r="V398" s="1">
        <v>7804207</v>
      </c>
      <c r="W398" s="1">
        <v>1100000</v>
      </c>
      <c r="X398" s="1">
        <v>1784917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1611612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8598065</v>
      </c>
      <c r="AM398" s="1">
        <v>0</v>
      </c>
      <c r="AN398" s="1">
        <v>56996890</v>
      </c>
      <c r="AO398" s="1">
        <v>8488197</v>
      </c>
      <c r="AP398" s="1">
        <v>48508693</v>
      </c>
      <c r="AQ398" s="1">
        <v>11145378</v>
      </c>
      <c r="AR398" s="1">
        <v>1671807</v>
      </c>
      <c r="AS398" s="1">
        <v>0</v>
      </c>
      <c r="AT398" s="1">
        <f t="shared" si="42"/>
        <v>69814075</v>
      </c>
    </row>
    <row r="399" spans="1:46">
      <c r="A399" s="1" t="str">
        <f>"00455"</f>
        <v>00455</v>
      </c>
      <c r="B399" s="1" t="str">
        <f>"سعيد"</f>
        <v>سعيد</v>
      </c>
      <c r="C399" s="1" t="str">
        <f>"بزرگي"</f>
        <v>بزرگي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15061505</v>
      </c>
      <c r="G399" s="1">
        <v>3303630</v>
      </c>
      <c r="H399" s="1">
        <v>0</v>
      </c>
      <c r="I399" s="1">
        <v>10892453</v>
      </c>
      <c r="J399" s="1">
        <v>0</v>
      </c>
      <c r="K399" s="1">
        <v>5500000</v>
      </c>
      <c r="L399" s="1">
        <v>0</v>
      </c>
      <c r="M399" s="1">
        <v>400000</v>
      </c>
      <c r="N399" s="1">
        <v>2485321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11683975</v>
      </c>
      <c r="W399" s="1">
        <v>1100000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1775230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3408440</v>
      </c>
      <c r="AM399" s="1">
        <v>0</v>
      </c>
      <c r="AN399" s="1">
        <v>55610554</v>
      </c>
      <c r="AO399" s="1">
        <v>14805410</v>
      </c>
      <c r="AP399" s="1">
        <v>40805144</v>
      </c>
      <c r="AQ399" s="1">
        <v>11122111</v>
      </c>
      <c r="AR399" s="1">
        <v>1668317</v>
      </c>
      <c r="AS399" s="1">
        <v>0</v>
      </c>
      <c r="AT399" s="1">
        <f t="shared" si="42"/>
        <v>68400982</v>
      </c>
    </row>
    <row r="400" spans="1:46">
      <c r="A400" s="1" t="str">
        <f>"00456"</f>
        <v>00456</v>
      </c>
      <c r="B400" s="1" t="str">
        <f>"محمد"</f>
        <v>محمد</v>
      </c>
      <c r="C400" s="1" t="str">
        <f>"پرويني"</f>
        <v>پرويني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12090599</v>
      </c>
      <c r="G400" s="1">
        <v>9446142</v>
      </c>
      <c r="H400" s="1">
        <v>0</v>
      </c>
      <c r="I400" s="1">
        <v>10204120</v>
      </c>
      <c r="J400" s="1">
        <v>0</v>
      </c>
      <c r="K400" s="1">
        <v>4620000</v>
      </c>
      <c r="L400" s="1">
        <v>0</v>
      </c>
      <c r="M400" s="1">
        <v>400000</v>
      </c>
      <c r="N400" s="1">
        <v>2329710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1270000</v>
      </c>
      <c r="U400" s="1">
        <v>0</v>
      </c>
      <c r="V400" s="1">
        <v>8074751</v>
      </c>
      <c r="W400" s="1">
        <v>1100000</v>
      </c>
      <c r="X400" s="1">
        <v>1813590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1664079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8819105</v>
      </c>
      <c r="AM400" s="1">
        <v>0</v>
      </c>
      <c r="AN400" s="1">
        <v>61832096</v>
      </c>
      <c r="AO400" s="1">
        <v>9323598</v>
      </c>
      <c r="AP400" s="1">
        <v>52508498</v>
      </c>
      <c r="AQ400" s="1">
        <v>12112419</v>
      </c>
      <c r="AR400" s="1">
        <v>1816863</v>
      </c>
      <c r="AS400" s="1">
        <v>0</v>
      </c>
      <c r="AT400" s="1">
        <f t="shared" si="42"/>
        <v>75761378</v>
      </c>
    </row>
    <row r="401" spans="1:46">
      <c r="A401" s="1" t="str">
        <f>"00457"</f>
        <v>00457</v>
      </c>
      <c r="B401" s="1" t="str">
        <f>"محمد امين"</f>
        <v>محمد امين</v>
      </c>
      <c r="C401" s="1" t="str">
        <f>"پريسوز"</f>
        <v>پريسوز</v>
      </c>
      <c r="D401" s="1" t="str">
        <f t="shared" si="43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10708242</v>
      </c>
      <c r="G401" s="1">
        <v>2189177</v>
      </c>
      <c r="H401" s="1">
        <v>0</v>
      </c>
      <c r="I401" s="1">
        <v>4743992</v>
      </c>
      <c r="J401" s="1">
        <v>0</v>
      </c>
      <c r="K401" s="1">
        <v>4620000</v>
      </c>
      <c r="L401" s="1">
        <v>0</v>
      </c>
      <c r="M401" s="1">
        <v>400000</v>
      </c>
      <c r="N401" s="1">
        <v>1789002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8028128</v>
      </c>
      <c r="W401" s="1">
        <v>1100000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1277859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3475776</v>
      </c>
      <c r="AM401" s="1">
        <v>0</v>
      </c>
      <c r="AN401" s="1">
        <v>38332176</v>
      </c>
      <c r="AO401" s="1">
        <v>10899659</v>
      </c>
      <c r="AP401" s="1">
        <v>27432517</v>
      </c>
      <c r="AQ401" s="1">
        <v>7666435</v>
      </c>
      <c r="AR401" s="1">
        <v>1149965</v>
      </c>
      <c r="AS401" s="1">
        <v>0</v>
      </c>
      <c r="AT401" s="1">
        <f t="shared" si="42"/>
        <v>47148576</v>
      </c>
    </row>
    <row r="402" spans="1:46">
      <c r="A402" s="1" t="str">
        <f>"00458"</f>
        <v>00458</v>
      </c>
      <c r="B402" s="1" t="str">
        <f>"سعيد"</f>
        <v>سعيد</v>
      </c>
      <c r="C402" s="1" t="str">
        <f>"پولادي"</f>
        <v>پولادي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11571733</v>
      </c>
      <c r="G402" s="1">
        <v>15348362</v>
      </c>
      <c r="H402" s="1">
        <v>0</v>
      </c>
      <c r="I402" s="1">
        <v>9262500</v>
      </c>
      <c r="J402" s="1">
        <v>0</v>
      </c>
      <c r="K402" s="1">
        <v>4620000</v>
      </c>
      <c r="L402" s="1">
        <v>0</v>
      </c>
      <c r="M402" s="1">
        <v>400000</v>
      </c>
      <c r="N402" s="1">
        <v>2164198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1270000</v>
      </c>
      <c r="U402" s="1">
        <v>0</v>
      </c>
      <c r="V402" s="1">
        <v>14122585</v>
      </c>
      <c r="W402" s="1">
        <v>1100000</v>
      </c>
      <c r="X402" s="1">
        <v>1735760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1545857</v>
      </c>
      <c r="AF402" s="1">
        <v>1111269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8109088</v>
      </c>
      <c r="AM402" s="1">
        <v>0</v>
      </c>
      <c r="AN402" s="1">
        <v>72361352</v>
      </c>
      <c r="AO402" s="1">
        <v>12870678</v>
      </c>
      <c r="AP402" s="1">
        <v>59490674</v>
      </c>
      <c r="AQ402" s="1">
        <v>13996017</v>
      </c>
      <c r="AR402" s="1">
        <v>2099402</v>
      </c>
      <c r="AS402" s="1">
        <v>0</v>
      </c>
      <c r="AT402" s="1">
        <f t="shared" si="42"/>
        <v>88456771</v>
      </c>
    </row>
    <row r="403" spans="1:46">
      <c r="A403" s="1" t="str">
        <f>"00459"</f>
        <v>00459</v>
      </c>
      <c r="B403" s="1" t="str">
        <f>"بهنام"</f>
        <v>بهنام</v>
      </c>
      <c r="C403" s="1" t="str">
        <f>"تنگستاني"</f>
        <v>تنگستاني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11508885</v>
      </c>
      <c r="G403" s="1">
        <v>0</v>
      </c>
      <c r="H403" s="1">
        <v>0</v>
      </c>
      <c r="I403" s="1">
        <v>9122390</v>
      </c>
      <c r="J403" s="1">
        <v>0</v>
      </c>
      <c r="K403" s="1">
        <v>3465000</v>
      </c>
      <c r="L403" s="1">
        <v>0</v>
      </c>
      <c r="M403" s="1">
        <v>400000</v>
      </c>
      <c r="N403" s="1">
        <v>2118064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1270000</v>
      </c>
      <c r="U403" s="1">
        <v>0</v>
      </c>
      <c r="V403" s="1">
        <v>12645792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1512903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4478192</v>
      </c>
      <c r="AM403" s="1">
        <v>0</v>
      </c>
      <c r="AN403" s="1">
        <v>47621226</v>
      </c>
      <c r="AO403" s="1">
        <v>7941904</v>
      </c>
      <c r="AP403" s="1">
        <v>39679322</v>
      </c>
      <c r="AQ403" s="1">
        <v>9270245</v>
      </c>
      <c r="AR403" s="1">
        <v>1390537</v>
      </c>
      <c r="AS403" s="1">
        <v>0</v>
      </c>
      <c r="AT403" s="1">
        <f t="shared" si="42"/>
        <v>58282008</v>
      </c>
    </row>
    <row r="404" spans="1:46">
      <c r="A404" s="1" t="str">
        <f>"00460"</f>
        <v>00460</v>
      </c>
      <c r="B404" s="1" t="str">
        <f>"مجيد"</f>
        <v>مجيد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11270600</v>
      </c>
      <c r="G404" s="1">
        <v>0</v>
      </c>
      <c r="H404" s="1">
        <v>0</v>
      </c>
      <c r="I404" s="1">
        <v>9084448</v>
      </c>
      <c r="J404" s="1">
        <v>0</v>
      </c>
      <c r="K404" s="1">
        <v>4620000</v>
      </c>
      <c r="L404" s="1">
        <v>0</v>
      </c>
      <c r="M404" s="1">
        <v>400000</v>
      </c>
      <c r="N404" s="1">
        <v>2039904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11386704</v>
      </c>
      <c r="W404" s="1">
        <v>1100000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1457074</v>
      </c>
      <c r="AF404" s="1">
        <v>1111269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7344422</v>
      </c>
      <c r="AM404" s="1">
        <v>0</v>
      </c>
      <c r="AN404" s="1">
        <v>49814421</v>
      </c>
      <c r="AO404" s="1">
        <v>8111019</v>
      </c>
      <c r="AP404" s="1">
        <v>41703402</v>
      </c>
      <c r="AQ404" s="1">
        <v>9740630</v>
      </c>
      <c r="AR404" s="1">
        <v>1461095</v>
      </c>
      <c r="AS404" s="1">
        <v>0</v>
      </c>
      <c r="AT404" s="1">
        <f t="shared" si="42"/>
        <v>61016146</v>
      </c>
    </row>
    <row r="405" spans="1:46">
      <c r="A405" s="1" t="str">
        <f>"00461"</f>
        <v>00461</v>
      </c>
      <c r="B405" s="1" t="str">
        <f>"علي اکبر"</f>
        <v>علي اکبر</v>
      </c>
      <c r="C405" s="1" t="str">
        <f>"جعفري"</f>
        <v>جعفري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12105237</v>
      </c>
      <c r="G405" s="1">
        <v>3088623</v>
      </c>
      <c r="H405" s="1">
        <v>0</v>
      </c>
      <c r="I405" s="1">
        <v>9909253</v>
      </c>
      <c r="J405" s="1">
        <v>0</v>
      </c>
      <c r="K405" s="1">
        <v>4620000</v>
      </c>
      <c r="L405" s="1">
        <v>0</v>
      </c>
      <c r="M405" s="1">
        <v>400000</v>
      </c>
      <c r="N405" s="1">
        <v>2331091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1270000</v>
      </c>
      <c r="U405" s="1">
        <v>0</v>
      </c>
      <c r="V405" s="1">
        <v>7920649</v>
      </c>
      <c r="W405" s="1">
        <v>1100000</v>
      </c>
      <c r="X405" s="1">
        <v>1815786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1665065</v>
      </c>
      <c r="AF405" s="1">
        <v>1111269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8426958</v>
      </c>
      <c r="AM405" s="1">
        <v>0</v>
      </c>
      <c r="AN405" s="1">
        <v>55763931</v>
      </c>
      <c r="AO405" s="1">
        <v>13494437</v>
      </c>
      <c r="AP405" s="1">
        <v>42269494</v>
      </c>
      <c r="AQ405" s="1">
        <v>10676532</v>
      </c>
      <c r="AR405" s="1">
        <v>1601480</v>
      </c>
      <c r="AS405" s="1">
        <v>0</v>
      </c>
      <c r="AT405" s="1">
        <f t="shared" si="42"/>
        <v>68041943</v>
      </c>
    </row>
    <row r="406" spans="1:46">
      <c r="A406" s="1" t="str">
        <f>"00462"</f>
        <v>00462</v>
      </c>
      <c r="B406" s="1" t="str">
        <f>"سلمان"</f>
        <v>سلمان</v>
      </c>
      <c r="C406" s="1" t="str">
        <f>"حسين زاده"</f>
        <v>حسين زاده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12992310</v>
      </c>
      <c r="G406" s="1">
        <v>3700806</v>
      </c>
      <c r="H406" s="1">
        <v>0</v>
      </c>
      <c r="I406" s="1">
        <v>10861658</v>
      </c>
      <c r="J406" s="1">
        <v>0</v>
      </c>
      <c r="K406" s="1">
        <v>4620000</v>
      </c>
      <c r="L406" s="1">
        <v>0</v>
      </c>
      <c r="M406" s="1">
        <v>400000</v>
      </c>
      <c r="N406" s="1">
        <v>2478063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1270000</v>
      </c>
      <c r="U406" s="1">
        <v>0</v>
      </c>
      <c r="V406" s="1">
        <v>12948390</v>
      </c>
      <c r="W406" s="1">
        <v>1100000</v>
      </c>
      <c r="X406" s="1">
        <v>1948847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1770045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9703441</v>
      </c>
      <c r="AM406" s="1">
        <v>0</v>
      </c>
      <c r="AN406" s="1">
        <v>63793560</v>
      </c>
      <c r="AO406" s="1">
        <v>10552855</v>
      </c>
      <c r="AP406" s="1">
        <v>53240705</v>
      </c>
      <c r="AQ406" s="1">
        <v>12504712</v>
      </c>
      <c r="AR406" s="1">
        <v>1875707</v>
      </c>
      <c r="AS406" s="1">
        <v>0</v>
      </c>
      <c r="AT406" s="1">
        <f t="shared" si="42"/>
        <v>78173979</v>
      </c>
    </row>
    <row r="407" spans="1:46">
      <c r="A407" s="1" t="str">
        <f>"00463"</f>
        <v>00463</v>
      </c>
      <c r="B407" s="1" t="str">
        <f>"حامد"</f>
        <v>حامد</v>
      </c>
      <c r="C407" s="1" t="str">
        <f>"حسيني فانيد"</f>
        <v>حسيني فانيد</v>
      </c>
      <c r="D407" s="1" t="str">
        <f t="shared" si="43"/>
        <v>قراردادي بهره بردار</v>
      </c>
      <c r="E407" s="1" t="str">
        <f>"پروژه تعميرات نيروگاه بوشهر"</f>
        <v>پروژه تعميرات نيروگاه بوشهر</v>
      </c>
      <c r="F407" s="1">
        <v>11586248</v>
      </c>
      <c r="G407" s="1">
        <v>0</v>
      </c>
      <c r="H407" s="1">
        <v>0</v>
      </c>
      <c r="I407" s="1">
        <v>9407935</v>
      </c>
      <c r="J407" s="1">
        <v>0</v>
      </c>
      <c r="K407" s="1">
        <v>4620000</v>
      </c>
      <c r="L407" s="1">
        <v>0</v>
      </c>
      <c r="M407" s="1">
        <v>400000</v>
      </c>
      <c r="N407" s="1">
        <v>2135972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1270000</v>
      </c>
      <c r="U407" s="1">
        <v>0</v>
      </c>
      <c r="V407" s="1">
        <v>10514095</v>
      </c>
      <c r="W407" s="1">
        <v>1100000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1525695</v>
      </c>
      <c r="AF407" s="1">
        <v>1111269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4149890</v>
      </c>
      <c r="AM407" s="1">
        <v>0</v>
      </c>
      <c r="AN407" s="1">
        <v>47821104</v>
      </c>
      <c r="AO407" s="1">
        <v>15279831</v>
      </c>
      <c r="AP407" s="1">
        <v>32541273</v>
      </c>
      <c r="AQ407" s="1">
        <v>9087967</v>
      </c>
      <c r="AR407" s="1">
        <v>1363195</v>
      </c>
      <c r="AS407" s="1">
        <v>0</v>
      </c>
      <c r="AT407" s="1">
        <f t="shared" si="42"/>
        <v>58272266</v>
      </c>
    </row>
    <row r="408" spans="1:46">
      <c r="A408" s="1" t="str">
        <f>"00465"</f>
        <v>00465</v>
      </c>
      <c r="B408" s="1" t="str">
        <f>"سيد محمد هادي"</f>
        <v>سيد محمد هادي</v>
      </c>
      <c r="C408" s="1" t="str">
        <f>"خرازيان"</f>
        <v>خرازيان</v>
      </c>
      <c r="D408" s="1" t="str">
        <f t="shared" si="43"/>
        <v>قراردادي بهره بردار</v>
      </c>
      <c r="E408" s="1" t="str">
        <f t="shared" ref="E408:E425" si="44">"پروژه بهره برداري نيروگاه بوشهر"</f>
        <v>پروژه بهره برداري نيروگاه بوشهر</v>
      </c>
      <c r="F408" s="1">
        <v>12110638</v>
      </c>
      <c r="G408" s="1">
        <v>2378682</v>
      </c>
      <c r="H408" s="1">
        <v>0</v>
      </c>
      <c r="I408" s="1">
        <v>9300561</v>
      </c>
      <c r="J408" s="1">
        <v>0</v>
      </c>
      <c r="K408" s="1">
        <v>4620000</v>
      </c>
      <c r="L408" s="1">
        <v>0</v>
      </c>
      <c r="M408" s="1">
        <v>400000</v>
      </c>
      <c r="N408" s="1">
        <v>2326058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1270000</v>
      </c>
      <c r="U408" s="1">
        <v>0</v>
      </c>
      <c r="V408" s="1">
        <v>7625044</v>
      </c>
      <c r="W408" s="1">
        <v>1100000</v>
      </c>
      <c r="X408" s="1">
        <v>1816596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1661470</v>
      </c>
      <c r="AF408" s="1">
        <v>1111269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7753637</v>
      </c>
      <c r="AM408" s="1">
        <v>0</v>
      </c>
      <c r="AN408" s="1">
        <v>53473955</v>
      </c>
      <c r="AO408" s="1">
        <v>9697595</v>
      </c>
      <c r="AP408" s="1">
        <v>43776360</v>
      </c>
      <c r="AQ408" s="1">
        <v>10218537</v>
      </c>
      <c r="AR408" s="1">
        <v>1532781</v>
      </c>
      <c r="AS408" s="1">
        <v>0</v>
      </c>
      <c r="AT408" s="1">
        <f t="shared" si="42"/>
        <v>65225273</v>
      </c>
    </row>
    <row r="409" spans="1:46">
      <c r="A409" s="1" t="str">
        <f>"00466"</f>
        <v>00466</v>
      </c>
      <c r="B409" s="1" t="str">
        <f>"عباس"</f>
        <v>عباس</v>
      </c>
      <c r="C409" s="1" t="str">
        <f>"خوش صوت"</f>
        <v>خوش صوت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11948221</v>
      </c>
      <c r="G409" s="1">
        <v>4132285</v>
      </c>
      <c r="H409" s="1">
        <v>0</v>
      </c>
      <c r="I409" s="1">
        <v>9404887</v>
      </c>
      <c r="J409" s="1">
        <v>0</v>
      </c>
      <c r="K409" s="1">
        <v>3465000</v>
      </c>
      <c r="L409" s="1">
        <v>0</v>
      </c>
      <c r="M409" s="1">
        <v>400000</v>
      </c>
      <c r="N409" s="1">
        <v>2245823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6623174</v>
      </c>
      <c r="W409" s="1">
        <v>1100000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1604160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3593317</v>
      </c>
      <c r="AM409" s="1">
        <v>0</v>
      </c>
      <c r="AN409" s="1">
        <v>44516867</v>
      </c>
      <c r="AO409" s="1">
        <v>6592301</v>
      </c>
      <c r="AP409" s="1">
        <v>37924566</v>
      </c>
      <c r="AQ409" s="1">
        <v>8903373</v>
      </c>
      <c r="AR409" s="1">
        <v>1335506</v>
      </c>
      <c r="AS409" s="1">
        <v>0</v>
      </c>
      <c r="AT409" s="1">
        <f t="shared" si="42"/>
        <v>54755746</v>
      </c>
    </row>
    <row r="410" spans="1:46">
      <c r="A410" s="1" t="str">
        <f>"00467"</f>
        <v>00467</v>
      </c>
      <c r="B410" s="1" t="str">
        <f>"سعيد"</f>
        <v>سعيد</v>
      </c>
      <c r="C410" s="1" t="str">
        <f>"داروئي"</f>
        <v>داروئي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13709722</v>
      </c>
      <c r="G410" s="1">
        <v>0</v>
      </c>
      <c r="H410" s="1">
        <v>0</v>
      </c>
      <c r="I410" s="1">
        <v>11538278</v>
      </c>
      <c r="J410" s="1">
        <v>0</v>
      </c>
      <c r="K410" s="1">
        <v>4620000</v>
      </c>
      <c r="L410" s="1">
        <v>0</v>
      </c>
      <c r="M410" s="1">
        <v>400000</v>
      </c>
      <c r="N410" s="1">
        <v>2697705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8182562</v>
      </c>
      <c r="W410" s="1">
        <v>1100000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1926932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5703718</v>
      </c>
      <c r="AM410" s="1">
        <v>0</v>
      </c>
      <c r="AN410" s="1">
        <v>49878917</v>
      </c>
      <c r="AO410" s="1">
        <v>9865835</v>
      </c>
      <c r="AP410" s="1">
        <v>40013082</v>
      </c>
      <c r="AQ410" s="1">
        <v>9975783</v>
      </c>
      <c r="AR410" s="1">
        <v>1496368</v>
      </c>
      <c r="AS410" s="1">
        <v>0</v>
      </c>
      <c r="AT410" s="1">
        <f t="shared" si="42"/>
        <v>61351068</v>
      </c>
    </row>
    <row r="411" spans="1:46">
      <c r="A411" s="1" t="str">
        <f>"00469"</f>
        <v>00469</v>
      </c>
      <c r="B411" s="1" t="str">
        <f>"سعيد"</f>
        <v>سعيد</v>
      </c>
      <c r="C411" s="1" t="str">
        <f>"رستمي خليل اللهي"</f>
        <v>رستمي خليل اللهي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11620101</v>
      </c>
      <c r="G411" s="1">
        <v>2546372</v>
      </c>
      <c r="H411" s="1">
        <v>0</v>
      </c>
      <c r="I411" s="1">
        <v>8961235</v>
      </c>
      <c r="J411" s="1">
        <v>0</v>
      </c>
      <c r="K411" s="1">
        <v>3465000</v>
      </c>
      <c r="L411" s="1">
        <v>0</v>
      </c>
      <c r="M411" s="1">
        <v>400000</v>
      </c>
      <c r="N411" s="1">
        <v>2145576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1270000</v>
      </c>
      <c r="U411" s="1">
        <v>0</v>
      </c>
      <c r="V411" s="1">
        <v>7255633</v>
      </c>
      <c r="W411" s="1">
        <v>1100000</v>
      </c>
      <c r="X411" s="1">
        <v>1743015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1532554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7286766</v>
      </c>
      <c r="AM411" s="1">
        <v>0</v>
      </c>
      <c r="AN411" s="1">
        <v>49326252</v>
      </c>
      <c r="AO411" s="1">
        <v>6503451</v>
      </c>
      <c r="AP411" s="1">
        <v>42822801</v>
      </c>
      <c r="AQ411" s="1">
        <v>9611250</v>
      </c>
      <c r="AR411" s="1">
        <v>1441688</v>
      </c>
      <c r="AS411" s="1">
        <v>0</v>
      </c>
      <c r="AT411" s="1">
        <f t="shared" si="42"/>
        <v>60379190</v>
      </c>
    </row>
    <row r="412" spans="1:46">
      <c r="A412" s="1" t="str">
        <f>"00470"</f>
        <v>00470</v>
      </c>
      <c r="B412" s="1" t="str">
        <f>"غلامحسين"</f>
        <v>غلامحسين</v>
      </c>
      <c r="C412" s="1" t="str">
        <f>"رضازاده"</f>
        <v>رضازاده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12219514</v>
      </c>
      <c r="G412" s="1">
        <v>2494553</v>
      </c>
      <c r="H412" s="1">
        <v>0</v>
      </c>
      <c r="I412" s="1">
        <v>9932477</v>
      </c>
      <c r="J412" s="1">
        <v>0</v>
      </c>
      <c r="K412" s="1">
        <v>3465000</v>
      </c>
      <c r="L412" s="1">
        <v>0</v>
      </c>
      <c r="M412" s="1">
        <v>400000</v>
      </c>
      <c r="N412" s="1">
        <v>2372960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1270000</v>
      </c>
      <c r="U412" s="1">
        <v>0</v>
      </c>
      <c r="V412" s="1">
        <v>7996478</v>
      </c>
      <c r="W412" s="1">
        <v>1100000</v>
      </c>
      <c r="X412" s="1">
        <v>1832927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1694971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8547370</v>
      </c>
      <c r="AM412" s="1">
        <v>0</v>
      </c>
      <c r="AN412" s="1">
        <v>53326250</v>
      </c>
      <c r="AO412" s="1">
        <v>12787972</v>
      </c>
      <c r="AP412" s="1">
        <v>40538278</v>
      </c>
      <c r="AQ412" s="1">
        <v>10411250</v>
      </c>
      <c r="AR412" s="1">
        <v>1561688</v>
      </c>
      <c r="AS412" s="1">
        <v>0</v>
      </c>
      <c r="AT412" s="1">
        <f t="shared" si="42"/>
        <v>65299188</v>
      </c>
    </row>
    <row r="413" spans="1:46">
      <c r="A413" s="1" t="str">
        <f>"00471"</f>
        <v>00471</v>
      </c>
      <c r="B413" s="1" t="str">
        <f>"سالار"</f>
        <v>سالار</v>
      </c>
      <c r="C413" s="1" t="str">
        <f>"رضائي شورباخورلو"</f>
        <v>رضائي شورباخورلو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11720036</v>
      </c>
      <c r="G413" s="1">
        <v>3050681</v>
      </c>
      <c r="H413" s="1">
        <v>0</v>
      </c>
      <c r="I413" s="1">
        <v>10141658</v>
      </c>
      <c r="J413" s="1">
        <v>0</v>
      </c>
      <c r="K413" s="1">
        <v>4620000</v>
      </c>
      <c r="L413" s="1">
        <v>0</v>
      </c>
      <c r="M413" s="1">
        <v>400000</v>
      </c>
      <c r="N413" s="1">
        <v>2194025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11074740</v>
      </c>
      <c r="W413" s="1">
        <v>1100000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1567161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5140287</v>
      </c>
      <c r="AM413" s="1">
        <v>0</v>
      </c>
      <c r="AN413" s="1">
        <v>51008588</v>
      </c>
      <c r="AO413" s="1">
        <v>16030744</v>
      </c>
      <c r="AP413" s="1">
        <v>34977844</v>
      </c>
      <c r="AQ413" s="1">
        <v>10201718</v>
      </c>
      <c r="AR413" s="1">
        <v>1530258</v>
      </c>
      <c r="AS413" s="1">
        <v>0</v>
      </c>
      <c r="AT413" s="1">
        <f t="shared" si="42"/>
        <v>62740564</v>
      </c>
    </row>
    <row r="414" spans="1:46">
      <c r="A414" s="1" t="str">
        <f>"00472"</f>
        <v>00472</v>
      </c>
      <c r="B414" s="1" t="str">
        <f>"حسن"</f>
        <v>حسن</v>
      </c>
      <c r="C414" s="1" t="str">
        <f>"رهبان"</f>
        <v>رهبان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10468284</v>
      </c>
      <c r="G414" s="1">
        <v>6431754</v>
      </c>
      <c r="H414" s="1">
        <v>0</v>
      </c>
      <c r="I414" s="1">
        <v>7840759</v>
      </c>
      <c r="J414" s="1">
        <v>0</v>
      </c>
      <c r="K414" s="1">
        <v>4620000</v>
      </c>
      <c r="L414" s="1">
        <v>0</v>
      </c>
      <c r="M414" s="1">
        <v>400000</v>
      </c>
      <c r="N414" s="1">
        <v>1748240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1270000</v>
      </c>
      <c r="U414" s="1">
        <v>0</v>
      </c>
      <c r="V414" s="1">
        <v>12250960</v>
      </c>
      <c r="W414" s="1">
        <v>1100000</v>
      </c>
      <c r="X414" s="1">
        <v>1570243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1248743</v>
      </c>
      <c r="AF414" s="1">
        <v>1111269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6537065</v>
      </c>
      <c r="AM414" s="1">
        <v>0</v>
      </c>
      <c r="AN414" s="1">
        <v>56597317</v>
      </c>
      <c r="AO414" s="1">
        <v>11865494</v>
      </c>
      <c r="AP414" s="1">
        <v>44731823</v>
      </c>
      <c r="AQ414" s="1">
        <v>10843210</v>
      </c>
      <c r="AR414" s="1">
        <v>1626481</v>
      </c>
      <c r="AS414" s="1">
        <v>0</v>
      </c>
      <c r="AT414" s="1">
        <f t="shared" si="42"/>
        <v>69067008</v>
      </c>
    </row>
    <row r="415" spans="1:46">
      <c r="A415" s="1" t="str">
        <f>"00473"</f>
        <v>00473</v>
      </c>
      <c r="B415" s="1" t="str">
        <f>"مجيد"</f>
        <v>مجيد</v>
      </c>
      <c r="C415" s="1" t="str">
        <f>"رياحين"</f>
        <v>رياحين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11132885</v>
      </c>
      <c r="G415" s="1">
        <v>13351505</v>
      </c>
      <c r="H415" s="1">
        <v>0</v>
      </c>
      <c r="I415" s="1">
        <v>8482656</v>
      </c>
      <c r="J415" s="1">
        <v>0</v>
      </c>
      <c r="K415" s="1">
        <v>4620000</v>
      </c>
      <c r="L415" s="1">
        <v>0</v>
      </c>
      <c r="M415" s="1">
        <v>400000</v>
      </c>
      <c r="N415" s="1">
        <v>1987400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1270000</v>
      </c>
      <c r="U415" s="1">
        <v>0</v>
      </c>
      <c r="V415" s="1">
        <v>10028682</v>
      </c>
      <c r="W415" s="1">
        <v>1100000</v>
      </c>
      <c r="X415" s="1">
        <v>1669933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1419571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8563887</v>
      </c>
      <c r="AM415" s="1">
        <v>0</v>
      </c>
      <c r="AN415" s="1">
        <v>64026519</v>
      </c>
      <c r="AO415" s="1">
        <v>14502070</v>
      </c>
      <c r="AP415" s="1">
        <v>49524449</v>
      </c>
      <c r="AQ415" s="1">
        <v>12551304</v>
      </c>
      <c r="AR415" s="1">
        <v>1882696</v>
      </c>
      <c r="AS415" s="1">
        <v>0</v>
      </c>
      <c r="AT415" s="1">
        <f t="shared" si="42"/>
        <v>78460519</v>
      </c>
    </row>
    <row r="416" spans="1:46">
      <c r="A416" s="1" t="str">
        <f>"00474"</f>
        <v>00474</v>
      </c>
      <c r="B416" s="1" t="str">
        <f>"سيدمجتبي"</f>
        <v>سيدمجتبي</v>
      </c>
      <c r="C416" s="1" t="str">
        <f>"سادات حسيني گروه"</f>
        <v>سادات حسيني گروه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11819359</v>
      </c>
      <c r="G416" s="1">
        <v>5272476</v>
      </c>
      <c r="H416" s="1">
        <v>0</v>
      </c>
      <c r="I416" s="1">
        <v>9297692</v>
      </c>
      <c r="J416" s="1">
        <v>0</v>
      </c>
      <c r="K416" s="1">
        <v>4620000</v>
      </c>
      <c r="L416" s="1">
        <v>0</v>
      </c>
      <c r="M416" s="1">
        <v>400000</v>
      </c>
      <c r="N416" s="1">
        <v>2221304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1270000</v>
      </c>
      <c r="U416" s="1">
        <v>0</v>
      </c>
      <c r="V416" s="1">
        <v>7511697</v>
      </c>
      <c r="W416" s="1">
        <v>1100000</v>
      </c>
      <c r="X416" s="1">
        <v>1772904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1586645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7734552</v>
      </c>
      <c r="AM416" s="1">
        <v>0</v>
      </c>
      <c r="AN416" s="1">
        <v>54606629</v>
      </c>
      <c r="AO416" s="1">
        <v>11278086</v>
      </c>
      <c r="AP416" s="1">
        <v>43328543</v>
      </c>
      <c r="AQ416" s="1">
        <v>10667326</v>
      </c>
      <c r="AR416" s="1">
        <v>1600099</v>
      </c>
      <c r="AS416" s="1">
        <v>0</v>
      </c>
      <c r="AT416" s="1">
        <f t="shared" si="42"/>
        <v>66874054</v>
      </c>
    </row>
    <row r="417" spans="1:46">
      <c r="A417" s="1" t="str">
        <f>"00475"</f>
        <v>00475</v>
      </c>
      <c r="B417" s="1" t="str">
        <f>"عليرضا"</f>
        <v>عليرضا</v>
      </c>
      <c r="C417" s="1" t="str">
        <f>"سترگ"</f>
        <v>سترگ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14460459</v>
      </c>
      <c r="G417" s="1">
        <v>389579</v>
      </c>
      <c r="H417" s="1">
        <v>0</v>
      </c>
      <c r="I417" s="1">
        <v>10986301</v>
      </c>
      <c r="J417" s="1">
        <v>0</v>
      </c>
      <c r="K417" s="1">
        <v>5500000</v>
      </c>
      <c r="L417" s="1">
        <v>0</v>
      </c>
      <c r="M417" s="1">
        <v>400000</v>
      </c>
      <c r="N417" s="1">
        <v>2306360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1270000</v>
      </c>
      <c r="U417" s="1">
        <v>0</v>
      </c>
      <c r="V417" s="1">
        <v>16130970</v>
      </c>
      <c r="W417" s="1">
        <v>1100000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1647400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7896521</v>
      </c>
      <c r="AM417" s="1">
        <v>0</v>
      </c>
      <c r="AN417" s="1">
        <v>62087590</v>
      </c>
      <c r="AO417" s="1">
        <v>8358252</v>
      </c>
      <c r="AP417" s="1">
        <v>53729338</v>
      </c>
      <c r="AQ417" s="1">
        <v>12163518</v>
      </c>
      <c r="AR417" s="1">
        <v>1824528</v>
      </c>
      <c r="AS417" s="1">
        <v>0</v>
      </c>
      <c r="AT417" s="1">
        <f t="shared" si="42"/>
        <v>76075636</v>
      </c>
    </row>
    <row r="418" spans="1:46">
      <c r="A418" s="1" t="str">
        <f>"00476"</f>
        <v>00476</v>
      </c>
      <c r="B418" s="1" t="str">
        <f>"ابراهيم"</f>
        <v>ابراهيم</v>
      </c>
      <c r="C418" s="1" t="str">
        <f>"سملي"</f>
        <v>سملي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11988074</v>
      </c>
      <c r="G418" s="1">
        <v>7417419</v>
      </c>
      <c r="H418" s="1">
        <v>0</v>
      </c>
      <c r="I418" s="1">
        <v>9278644</v>
      </c>
      <c r="J418" s="1">
        <v>0</v>
      </c>
      <c r="K418" s="1">
        <v>4620000</v>
      </c>
      <c r="L418" s="1">
        <v>0</v>
      </c>
      <c r="M418" s="1">
        <v>400000</v>
      </c>
      <c r="N418" s="1">
        <v>2282786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1270000</v>
      </c>
      <c r="U418" s="1">
        <v>0</v>
      </c>
      <c r="V418" s="1">
        <v>7608670</v>
      </c>
      <c r="W418" s="1">
        <v>1100000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1630562</v>
      </c>
      <c r="AF418" s="1">
        <v>1111269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7901106</v>
      </c>
      <c r="AM418" s="1">
        <v>0</v>
      </c>
      <c r="AN418" s="1">
        <v>56608530</v>
      </c>
      <c r="AO418" s="1">
        <v>7662204</v>
      </c>
      <c r="AP418" s="1">
        <v>48946326</v>
      </c>
      <c r="AQ418" s="1">
        <v>10845452</v>
      </c>
      <c r="AR418" s="1">
        <v>1626818</v>
      </c>
      <c r="AS418" s="1">
        <v>0</v>
      </c>
      <c r="AT418" s="1">
        <f t="shared" si="42"/>
        <v>69080800</v>
      </c>
    </row>
    <row r="419" spans="1:46">
      <c r="A419" s="1" t="str">
        <f>"00477"</f>
        <v>00477</v>
      </c>
      <c r="B419" s="1" t="str">
        <f>"احسان"</f>
        <v>احسان</v>
      </c>
      <c r="C419" s="1" t="str">
        <f>"سيفي علمي"</f>
        <v>سيفي علمي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11521691</v>
      </c>
      <c r="G419" s="1">
        <v>5191785</v>
      </c>
      <c r="H419" s="1">
        <v>0</v>
      </c>
      <c r="I419" s="1">
        <v>8247962</v>
      </c>
      <c r="J419" s="1">
        <v>0</v>
      </c>
      <c r="K419" s="1">
        <v>3465000</v>
      </c>
      <c r="L419" s="1">
        <v>0</v>
      </c>
      <c r="M419" s="1">
        <v>400000</v>
      </c>
      <c r="N419" s="1">
        <v>2097286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9988716</v>
      </c>
      <c r="W419" s="1">
        <v>1100000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1498062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2247092</v>
      </c>
      <c r="AM419" s="1">
        <v>0</v>
      </c>
      <c r="AN419" s="1">
        <v>45757594</v>
      </c>
      <c r="AO419" s="1">
        <v>8492839</v>
      </c>
      <c r="AP419" s="1">
        <v>37264755</v>
      </c>
      <c r="AQ419" s="1">
        <v>9151519</v>
      </c>
      <c r="AR419" s="1">
        <v>1372728</v>
      </c>
      <c r="AS419" s="1">
        <v>0</v>
      </c>
      <c r="AT419" s="1">
        <f t="shared" si="42"/>
        <v>56281841</v>
      </c>
    </row>
    <row r="420" spans="1:46">
      <c r="A420" s="1" t="str">
        <f>"00478"</f>
        <v>00478</v>
      </c>
      <c r="B420" s="1" t="str">
        <f>"حامد"</f>
        <v>حامد</v>
      </c>
      <c r="C420" s="1" t="str">
        <f>"شاد"</f>
        <v>شاد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11754117</v>
      </c>
      <c r="G420" s="1">
        <v>2666479</v>
      </c>
      <c r="H420" s="1">
        <v>0</v>
      </c>
      <c r="I420" s="1">
        <v>9749156</v>
      </c>
      <c r="J420" s="1">
        <v>0</v>
      </c>
      <c r="K420" s="1">
        <v>4620000</v>
      </c>
      <c r="L420" s="1">
        <v>0</v>
      </c>
      <c r="M420" s="1">
        <v>400000</v>
      </c>
      <c r="N420" s="1">
        <v>2223168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1270000</v>
      </c>
      <c r="U420" s="1">
        <v>0</v>
      </c>
      <c r="V420" s="1">
        <v>11661857</v>
      </c>
      <c r="W420" s="1">
        <v>1100000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1587976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8734800</v>
      </c>
      <c r="AM420" s="1">
        <v>0</v>
      </c>
      <c r="AN420" s="1">
        <v>55767553</v>
      </c>
      <c r="AO420" s="1">
        <v>7296487</v>
      </c>
      <c r="AP420" s="1">
        <v>48471066</v>
      </c>
      <c r="AQ420" s="1">
        <v>10899511</v>
      </c>
      <c r="AR420" s="1">
        <v>1634927</v>
      </c>
      <c r="AS420" s="1">
        <v>0</v>
      </c>
      <c r="AT420" s="1">
        <f t="shared" si="42"/>
        <v>68301991</v>
      </c>
    </row>
    <row r="421" spans="1:46">
      <c r="A421" s="1" t="str">
        <f>"00479"</f>
        <v>00479</v>
      </c>
      <c r="B421" s="1" t="str">
        <f>"صابر"</f>
        <v>صابر</v>
      </c>
      <c r="C421" s="1" t="str">
        <f>"شباني"</f>
        <v>شباني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10955329</v>
      </c>
      <c r="G421" s="1">
        <v>6730913</v>
      </c>
      <c r="H421" s="1">
        <v>0</v>
      </c>
      <c r="I421" s="1">
        <v>8158038</v>
      </c>
      <c r="J421" s="1">
        <v>0</v>
      </c>
      <c r="K421" s="1">
        <v>4620000</v>
      </c>
      <c r="L421" s="1">
        <v>0</v>
      </c>
      <c r="M421" s="1">
        <v>400000</v>
      </c>
      <c r="N421" s="1">
        <v>1904859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1270000</v>
      </c>
      <c r="U421" s="1">
        <v>0</v>
      </c>
      <c r="V421" s="1">
        <v>6904463</v>
      </c>
      <c r="W421" s="1">
        <v>1100000</v>
      </c>
      <c r="X421" s="1">
        <v>1643299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1360614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7640563</v>
      </c>
      <c r="AM421" s="1">
        <v>0</v>
      </c>
      <c r="AN421" s="1">
        <v>52688078</v>
      </c>
      <c r="AO421" s="1">
        <v>13336306</v>
      </c>
      <c r="AP421" s="1">
        <v>39351772</v>
      </c>
      <c r="AQ421" s="1">
        <v>10283616</v>
      </c>
      <c r="AR421" s="1">
        <v>1542542</v>
      </c>
      <c r="AS421" s="1">
        <v>0</v>
      </c>
      <c r="AT421" s="1">
        <f t="shared" si="42"/>
        <v>64514236</v>
      </c>
    </row>
    <row r="422" spans="1:46">
      <c r="A422" s="1" t="str">
        <f>"00480"</f>
        <v>00480</v>
      </c>
      <c r="B422" s="1" t="str">
        <f>"عليرضا"</f>
        <v>عليرضا</v>
      </c>
      <c r="C422" s="1" t="str">
        <f>"شريفي راد"</f>
        <v>شريفي راد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15187743</v>
      </c>
      <c r="G422" s="1">
        <v>0</v>
      </c>
      <c r="H422" s="1">
        <v>0</v>
      </c>
      <c r="I422" s="1">
        <v>11600662</v>
      </c>
      <c r="J422" s="1">
        <v>0</v>
      </c>
      <c r="K422" s="1">
        <v>5500000</v>
      </c>
      <c r="L422" s="1">
        <v>0</v>
      </c>
      <c r="M422" s="1">
        <v>400000</v>
      </c>
      <c r="N422" s="1">
        <v>2546585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1270000</v>
      </c>
      <c r="U422" s="1">
        <v>0</v>
      </c>
      <c r="V422" s="1">
        <v>12343045</v>
      </c>
      <c r="W422" s="1">
        <v>1100000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1818989</v>
      </c>
      <c r="AF422" s="1">
        <v>2222538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4365574</v>
      </c>
      <c r="AM422" s="1">
        <v>0</v>
      </c>
      <c r="AN422" s="1">
        <v>58355136</v>
      </c>
      <c r="AO422" s="1">
        <v>9284067</v>
      </c>
      <c r="AP422" s="1">
        <v>49071069</v>
      </c>
      <c r="AQ422" s="1">
        <v>10972520</v>
      </c>
      <c r="AR422" s="1">
        <v>1645878</v>
      </c>
      <c r="AS422" s="1">
        <v>0</v>
      </c>
      <c r="AT422" s="1">
        <f t="shared" si="42"/>
        <v>70973534</v>
      </c>
    </row>
    <row r="423" spans="1:46">
      <c r="A423" s="1" t="str">
        <f>"00481"</f>
        <v>00481</v>
      </c>
      <c r="B423" s="1" t="str">
        <f>"صادق"</f>
        <v>صادق</v>
      </c>
      <c r="C423" s="1" t="str">
        <f>"شهابي"</f>
        <v>شهابي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11732227</v>
      </c>
      <c r="G423" s="1">
        <v>9641095</v>
      </c>
      <c r="H423" s="1">
        <v>0</v>
      </c>
      <c r="I423" s="1">
        <v>8747769</v>
      </c>
      <c r="J423" s="1">
        <v>0</v>
      </c>
      <c r="K423" s="1">
        <v>4620000</v>
      </c>
      <c r="L423" s="1">
        <v>0</v>
      </c>
      <c r="M423" s="1">
        <v>400000</v>
      </c>
      <c r="N423" s="1">
        <v>2185194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1270000</v>
      </c>
      <c r="U423" s="1">
        <v>0</v>
      </c>
      <c r="V423" s="1">
        <v>7271825</v>
      </c>
      <c r="W423" s="1">
        <v>1100000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1560853</v>
      </c>
      <c r="AF423" s="1">
        <v>1111269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7390584</v>
      </c>
      <c r="AM423" s="1">
        <v>0</v>
      </c>
      <c r="AN423" s="1">
        <v>57030816</v>
      </c>
      <c r="AO423" s="1">
        <v>9621147</v>
      </c>
      <c r="AP423" s="1">
        <v>47409669</v>
      </c>
      <c r="AQ423" s="1">
        <v>10929909</v>
      </c>
      <c r="AR423" s="1">
        <v>1639486</v>
      </c>
      <c r="AS423" s="1">
        <v>0</v>
      </c>
      <c r="AT423" s="1">
        <f t="shared" si="42"/>
        <v>69600211</v>
      </c>
    </row>
    <row r="424" spans="1:46">
      <c r="A424" s="1" t="str">
        <f>"00482"</f>
        <v>00482</v>
      </c>
      <c r="B424" s="1" t="str">
        <f>"مهدي"</f>
        <v>مهدي</v>
      </c>
      <c r="C424" s="1" t="str">
        <f>"صداقت"</f>
        <v>صداقت</v>
      </c>
      <c r="D424" s="1" t="str">
        <f t="shared" ref="D424:D452" si="45">"قراردادي بهره بردار"</f>
        <v>قراردادي بهره بردار</v>
      </c>
      <c r="E424" s="1" t="str">
        <f t="shared" si="44"/>
        <v>پروژه بهره برداري نيروگاه بوشهر</v>
      </c>
      <c r="F424" s="1">
        <v>14956101</v>
      </c>
      <c r="G424" s="1">
        <v>6942711</v>
      </c>
      <c r="H424" s="1">
        <v>0</v>
      </c>
      <c r="I424" s="1">
        <v>11061688</v>
      </c>
      <c r="J424" s="1">
        <v>0</v>
      </c>
      <c r="K424" s="1">
        <v>5500000</v>
      </c>
      <c r="L424" s="1">
        <v>0</v>
      </c>
      <c r="M424" s="1">
        <v>400000</v>
      </c>
      <c r="N424" s="1">
        <v>2463581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1270000</v>
      </c>
      <c r="U424" s="1">
        <v>0</v>
      </c>
      <c r="V424" s="1">
        <v>14198627</v>
      </c>
      <c r="W424" s="1">
        <v>1100000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1759701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3167461</v>
      </c>
      <c r="AM424" s="1">
        <v>0</v>
      </c>
      <c r="AN424" s="1">
        <v>62819870</v>
      </c>
      <c r="AO424" s="1">
        <v>11011275</v>
      </c>
      <c r="AP424" s="1">
        <v>51808595</v>
      </c>
      <c r="AQ424" s="1">
        <v>12309974</v>
      </c>
      <c r="AR424" s="1">
        <v>1846496</v>
      </c>
      <c r="AS424" s="1">
        <v>0</v>
      </c>
      <c r="AT424" s="1">
        <f t="shared" si="42"/>
        <v>76976340</v>
      </c>
    </row>
    <row r="425" spans="1:46">
      <c r="A425" s="1" t="str">
        <f>"00483"</f>
        <v>00483</v>
      </c>
      <c r="B425" s="1" t="str">
        <f>"رضا"</f>
        <v>رضا</v>
      </c>
      <c r="C425" s="1" t="str">
        <f>"عابدي"</f>
        <v>عابدي</v>
      </c>
      <c r="D425" s="1" t="str">
        <f t="shared" si="45"/>
        <v>قراردادي بهره بردار</v>
      </c>
      <c r="E425" s="1" t="str">
        <f t="shared" si="44"/>
        <v>پروژه بهره برداري نيروگاه بوشهر</v>
      </c>
      <c r="F425" s="1">
        <v>15078532</v>
      </c>
      <c r="G425" s="1">
        <v>6069308</v>
      </c>
      <c r="H425" s="1">
        <v>0</v>
      </c>
      <c r="I425" s="1">
        <v>11004646</v>
      </c>
      <c r="J425" s="1">
        <v>0</v>
      </c>
      <c r="K425" s="1">
        <v>5500000</v>
      </c>
      <c r="L425" s="1">
        <v>0</v>
      </c>
      <c r="M425" s="1">
        <v>400000</v>
      </c>
      <c r="N425" s="1">
        <v>2466763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7782248</v>
      </c>
      <c r="W425" s="1">
        <v>1100000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1761973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3523947</v>
      </c>
      <c r="AM425" s="1">
        <v>0</v>
      </c>
      <c r="AN425" s="1">
        <v>54687417</v>
      </c>
      <c r="AO425" s="1">
        <v>14978198</v>
      </c>
      <c r="AP425" s="1">
        <v>39709219</v>
      </c>
      <c r="AQ425" s="1">
        <v>10937483</v>
      </c>
      <c r="AR425" s="1">
        <v>1640623</v>
      </c>
      <c r="AS425" s="1">
        <v>0</v>
      </c>
      <c r="AT425" s="1">
        <f t="shared" si="42"/>
        <v>67265523</v>
      </c>
    </row>
    <row r="426" spans="1:46">
      <c r="A426" s="1" t="str">
        <f>"00484"</f>
        <v>00484</v>
      </c>
      <c r="B426" s="1" t="str">
        <f>"وحيد"</f>
        <v>وحيد</v>
      </c>
      <c r="C426" s="1" t="str">
        <f>"عدالت"</f>
        <v>عدالت</v>
      </c>
      <c r="D426" s="1" t="str">
        <f t="shared" si="45"/>
        <v>قراردادي بهره بردار</v>
      </c>
      <c r="E426" s="1" t="str">
        <f>"پروژه تعميرات نيروگاه بوشهر"</f>
        <v>پروژه تعميرات نيروگاه بوشهر</v>
      </c>
      <c r="F426" s="1">
        <v>11416399</v>
      </c>
      <c r="G426" s="1">
        <v>5616026</v>
      </c>
      <c r="H426" s="1">
        <v>0</v>
      </c>
      <c r="I426" s="1">
        <v>9214143</v>
      </c>
      <c r="J426" s="1">
        <v>0</v>
      </c>
      <c r="K426" s="1">
        <v>3465000</v>
      </c>
      <c r="L426" s="1">
        <v>0</v>
      </c>
      <c r="M426" s="1">
        <v>400000</v>
      </c>
      <c r="N426" s="1">
        <v>2073158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10297518</v>
      </c>
      <c r="W426" s="1">
        <v>1100000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1480827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4027849</v>
      </c>
      <c r="AM426" s="1">
        <v>0</v>
      </c>
      <c r="AN426" s="1">
        <v>49090920</v>
      </c>
      <c r="AO426" s="1">
        <v>15442800</v>
      </c>
      <c r="AP426" s="1">
        <v>33648120</v>
      </c>
      <c r="AQ426" s="1">
        <v>9818184</v>
      </c>
      <c r="AR426" s="1">
        <v>1472728</v>
      </c>
      <c r="AS426" s="1">
        <v>0</v>
      </c>
      <c r="AT426" s="1">
        <f t="shared" si="42"/>
        <v>60381832</v>
      </c>
    </row>
    <row r="427" spans="1:46">
      <c r="A427" s="1" t="str">
        <f>"00485"</f>
        <v>00485</v>
      </c>
      <c r="B427" s="1" t="str">
        <f>"مرتضي"</f>
        <v>مرتضي</v>
      </c>
      <c r="C427" s="1" t="str">
        <f>"غلامي"</f>
        <v>غلامي</v>
      </c>
      <c r="D427" s="1" t="str">
        <f t="shared" si="45"/>
        <v>قراردادي بهره بردار</v>
      </c>
      <c r="E427" s="1" t="str">
        <f t="shared" ref="E427:E452" si="46">"پروژه بهره برداري نيروگاه بوشهر"</f>
        <v>پروژه بهره برداري نيروگاه بوشهر</v>
      </c>
      <c r="F427" s="1">
        <v>12054745</v>
      </c>
      <c r="G427" s="1">
        <v>10235338</v>
      </c>
      <c r="H427" s="1">
        <v>0</v>
      </c>
      <c r="I427" s="1">
        <v>9786897</v>
      </c>
      <c r="J427" s="1">
        <v>0</v>
      </c>
      <c r="K427" s="1">
        <v>3465000</v>
      </c>
      <c r="L427" s="1">
        <v>0</v>
      </c>
      <c r="M427" s="1">
        <v>400000</v>
      </c>
      <c r="N427" s="1">
        <v>2314167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1270000</v>
      </c>
      <c r="U427" s="1">
        <v>0</v>
      </c>
      <c r="V427" s="1">
        <v>7953973</v>
      </c>
      <c r="W427" s="1">
        <v>1100000</v>
      </c>
      <c r="X427" s="1">
        <v>1808212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1652977</v>
      </c>
      <c r="AF427" s="1">
        <v>3333807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8773710</v>
      </c>
      <c r="AM427" s="1">
        <v>0</v>
      </c>
      <c r="AN427" s="1">
        <v>64148826</v>
      </c>
      <c r="AO427" s="1">
        <v>13218470</v>
      </c>
      <c r="AP427" s="1">
        <v>50930356</v>
      </c>
      <c r="AQ427" s="1">
        <v>11909004</v>
      </c>
      <c r="AR427" s="1">
        <v>1786351</v>
      </c>
      <c r="AS427" s="1">
        <v>0</v>
      </c>
      <c r="AT427" s="1">
        <f t="shared" si="42"/>
        <v>77844181</v>
      </c>
    </row>
    <row r="428" spans="1:46">
      <c r="A428" s="1" t="str">
        <f>"00486"</f>
        <v>00486</v>
      </c>
      <c r="B428" s="1" t="str">
        <f>"نويد"</f>
        <v>نويد</v>
      </c>
      <c r="C428" s="1" t="str">
        <f>"فلاح"</f>
        <v>فلاح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11878000</v>
      </c>
      <c r="G428" s="1">
        <v>7751564</v>
      </c>
      <c r="H428" s="1">
        <v>0</v>
      </c>
      <c r="I428" s="1">
        <v>9787622</v>
      </c>
      <c r="J428" s="1">
        <v>0</v>
      </c>
      <c r="K428" s="1">
        <v>3465000</v>
      </c>
      <c r="L428" s="1">
        <v>0</v>
      </c>
      <c r="M428" s="1">
        <v>400000</v>
      </c>
      <c r="N428" s="1">
        <v>2268772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1270000</v>
      </c>
      <c r="U428" s="1">
        <v>0</v>
      </c>
      <c r="V428" s="1">
        <v>11138528</v>
      </c>
      <c r="W428" s="1">
        <v>1100000</v>
      </c>
      <c r="X428" s="1">
        <v>1781700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1620552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9527031</v>
      </c>
      <c r="AM428" s="1">
        <v>0</v>
      </c>
      <c r="AN428" s="1">
        <v>61988769</v>
      </c>
      <c r="AO428" s="1">
        <v>12689143</v>
      </c>
      <c r="AP428" s="1">
        <v>49299626</v>
      </c>
      <c r="AQ428" s="1">
        <v>12143754</v>
      </c>
      <c r="AR428" s="1">
        <v>1821563</v>
      </c>
      <c r="AS428" s="1">
        <v>0</v>
      </c>
      <c r="AT428" s="1">
        <f t="shared" si="42"/>
        <v>75954086</v>
      </c>
    </row>
    <row r="429" spans="1:46">
      <c r="A429" s="1" t="str">
        <f>"00487"</f>
        <v>00487</v>
      </c>
      <c r="B429" s="1" t="str">
        <f>"علي"</f>
        <v>علي</v>
      </c>
      <c r="C429" s="1" t="str">
        <f>"فولادوند"</f>
        <v>فولادوند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12226614</v>
      </c>
      <c r="G429" s="1">
        <v>7900211</v>
      </c>
      <c r="H429" s="1">
        <v>0</v>
      </c>
      <c r="I429" s="1">
        <v>11042359</v>
      </c>
      <c r="J429" s="1">
        <v>0</v>
      </c>
      <c r="K429" s="1">
        <v>4620000</v>
      </c>
      <c r="L429" s="1">
        <v>0</v>
      </c>
      <c r="M429" s="1">
        <v>400000</v>
      </c>
      <c r="N429" s="1">
        <v>2404633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1270000</v>
      </c>
      <c r="U429" s="1">
        <v>0</v>
      </c>
      <c r="V429" s="1">
        <v>11868130</v>
      </c>
      <c r="W429" s="1">
        <v>1100000</v>
      </c>
      <c r="X429" s="1">
        <v>1833992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1717595</v>
      </c>
      <c r="AF429" s="1">
        <v>1111269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9988735</v>
      </c>
      <c r="AM429" s="1">
        <v>0</v>
      </c>
      <c r="AN429" s="1">
        <v>67483538</v>
      </c>
      <c r="AO429" s="1">
        <v>9189205</v>
      </c>
      <c r="AP429" s="1">
        <v>58294333</v>
      </c>
      <c r="AQ429" s="1">
        <v>13020454</v>
      </c>
      <c r="AR429" s="1">
        <v>1953068</v>
      </c>
      <c r="AS429" s="1">
        <v>0</v>
      </c>
      <c r="AT429" s="1">
        <f t="shared" si="42"/>
        <v>82457060</v>
      </c>
    </row>
    <row r="430" spans="1:46">
      <c r="A430" s="1" t="str">
        <f>"00488"</f>
        <v>00488</v>
      </c>
      <c r="B430" s="1" t="str">
        <f>"حميدرضا"</f>
        <v>حميدرضا</v>
      </c>
      <c r="C430" s="1" t="str">
        <f>"جفره اي"</f>
        <v>جفره اي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11414881</v>
      </c>
      <c r="G430" s="1">
        <v>2856110</v>
      </c>
      <c r="H430" s="1">
        <v>0</v>
      </c>
      <c r="I430" s="1">
        <v>9080511</v>
      </c>
      <c r="J430" s="1">
        <v>0</v>
      </c>
      <c r="K430" s="1">
        <v>4620000</v>
      </c>
      <c r="L430" s="1">
        <v>0</v>
      </c>
      <c r="M430" s="1">
        <v>400000</v>
      </c>
      <c r="N430" s="1">
        <v>2094706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1270000</v>
      </c>
      <c r="U430" s="1">
        <v>0</v>
      </c>
      <c r="V430" s="1">
        <v>11103294</v>
      </c>
      <c r="W430" s="1">
        <v>1100000</v>
      </c>
      <c r="X430" s="1">
        <v>1712232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1496219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8332060</v>
      </c>
      <c r="AM430" s="1">
        <v>0</v>
      </c>
      <c r="AN430" s="1">
        <v>55480013</v>
      </c>
      <c r="AO430" s="1">
        <v>10308179</v>
      </c>
      <c r="AP430" s="1">
        <v>45171834</v>
      </c>
      <c r="AQ430" s="1">
        <v>10842003</v>
      </c>
      <c r="AR430" s="1">
        <v>1626300</v>
      </c>
      <c r="AS430" s="1">
        <v>0</v>
      </c>
      <c r="AT430" s="1">
        <f t="shared" si="42"/>
        <v>67948316</v>
      </c>
    </row>
    <row r="431" spans="1:46">
      <c r="A431" s="1" t="str">
        <f>"00489"</f>
        <v>00489</v>
      </c>
      <c r="B431" s="1" t="str">
        <f>"ايوب"</f>
        <v>ايوب</v>
      </c>
      <c r="C431" s="1" t="str">
        <f>"قاسمي"</f>
        <v>قاسمي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11518178</v>
      </c>
      <c r="G431" s="1">
        <v>7265898</v>
      </c>
      <c r="H431" s="1">
        <v>0</v>
      </c>
      <c r="I431" s="1">
        <v>8973444</v>
      </c>
      <c r="J431" s="1">
        <v>0</v>
      </c>
      <c r="K431" s="1">
        <v>4620000</v>
      </c>
      <c r="L431" s="1">
        <v>0</v>
      </c>
      <c r="M431" s="1">
        <v>400000</v>
      </c>
      <c r="N431" s="1">
        <v>2114581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7453241</v>
      </c>
      <c r="W431" s="1">
        <v>1100000</v>
      </c>
      <c r="X431" s="1">
        <v>1727727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1510414</v>
      </c>
      <c r="AF431" s="1">
        <v>1111269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8288781</v>
      </c>
      <c r="AM431" s="1">
        <v>0</v>
      </c>
      <c r="AN431" s="1">
        <v>56083533</v>
      </c>
      <c r="AO431" s="1">
        <v>14469568</v>
      </c>
      <c r="AP431" s="1">
        <v>41613965</v>
      </c>
      <c r="AQ431" s="1">
        <v>10994453</v>
      </c>
      <c r="AR431" s="1">
        <v>1649168</v>
      </c>
      <c r="AS431" s="1">
        <v>0</v>
      </c>
      <c r="AT431" s="1">
        <f t="shared" si="42"/>
        <v>68727154</v>
      </c>
    </row>
    <row r="432" spans="1:46">
      <c r="A432" s="1" t="str">
        <f>"00490"</f>
        <v>00490</v>
      </c>
      <c r="B432" s="1" t="str">
        <f>"محمدرضا"</f>
        <v>محمدرضا</v>
      </c>
      <c r="C432" s="1" t="str">
        <f>"قاضي زاده اسکويي"</f>
        <v>قاضي زاده اسکويي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13152243</v>
      </c>
      <c r="G432" s="1">
        <v>13782061</v>
      </c>
      <c r="H432" s="1">
        <v>0</v>
      </c>
      <c r="I432" s="1">
        <v>11747654</v>
      </c>
      <c r="J432" s="1">
        <v>0</v>
      </c>
      <c r="K432" s="1">
        <v>4620000</v>
      </c>
      <c r="L432" s="1">
        <v>0</v>
      </c>
      <c r="M432" s="1">
        <v>400000</v>
      </c>
      <c r="N432" s="1">
        <v>2534040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1270000</v>
      </c>
      <c r="U432" s="1">
        <v>0</v>
      </c>
      <c r="V432" s="1">
        <v>12652547</v>
      </c>
      <c r="W432" s="1">
        <v>1100000</v>
      </c>
      <c r="X432" s="1">
        <v>1972836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1810028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10606577</v>
      </c>
      <c r="AM432" s="1">
        <v>0</v>
      </c>
      <c r="AN432" s="1">
        <v>75647986</v>
      </c>
      <c r="AO432" s="1">
        <v>14153305</v>
      </c>
      <c r="AP432" s="1">
        <v>61494681</v>
      </c>
      <c r="AQ432" s="1">
        <v>14875597</v>
      </c>
      <c r="AR432" s="1">
        <v>2231340</v>
      </c>
      <c r="AS432" s="1">
        <v>0</v>
      </c>
      <c r="AT432" s="1">
        <f t="shared" si="42"/>
        <v>92754923</v>
      </c>
    </row>
    <row r="433" spans="1:46">
      <c r="A433" s="1" t="str">
        <f>"00491"</f>
        <v>00491</v>
      </c>
      <c r="B433" s="1" t="str">
        <f>"حميد"</f>
        <v>حميد</v>
      </c>
      <c r="C433" s="1" t="str">
        <f>"قانع"</f>
        <v>قانع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12141186</v>
      </c>
      <c r="G433" s="1">
        <v>6182273</v>
      </c>
      <c r="H433" s="1">
        <v>0</v>
      </c>
      <c r="I433" s="1">
        <v>9836047</v>
      </c>
      <c r="J433" s="1">
        <v>0</v>
      </c>
      <c r="K433" s="1">
        <v>4620000</v>
      </c>
      <c r="L433" s="1">
        <v>0</v>
      </c>
      <c r="M433" s="1">
        <v>400000</v>
      </c>
      <c r="N433" s="1">
        <v>2353777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13635088</v>
      </c>
      <c r="W433" s="1">
        <v>1100000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1681270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4976557</v>
      </c>
      <c r="AM433" s="1">
        <v>0</v>
      </c>
      <c r="AN433" s="1">
        <v>56926198</v>
      </c>
      <c r="AO433" s="1">
        <v>12751479</v>
      </c>
      <c r="AP433" s="1">
        <v>44174719</v>
      </c>
      <c r="AQ433" s="1">
        <v>11385240</v>
      </c>
      <c r="AR433" s="1">
        <v>1707786</v>
      </c>
      <c r="AS433" s="1">
        <v>0</v>
      </c>
      <c r="AT433" s="1">
        <f t="shared" si="42"/>
        <v>70019224</v>
      </c>
    </row>
    <row r="434" spans="1:46">
      <c r="A434" s="1" t="str">
        <f>"00492"</f>
        <v>00492</v>
      </c>
      <c r="B434" s="1" t="str">
        <f>"حامد"</f>
        <v>حامد</v>
      </c>
      <c r="C434" s="1" t="str">
        <f>"كريم زاده"</f>
        <v>كريم زاده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15540024</v>
      </c>
      <c r="G434" s="1">
        <v>6430361</v>
      </c>
      <c r="H434" s="1">
        <v>0</v>
      </c>
      <c r="I434" s="1">
        <v>11997270</v>
      </c>
      <c r="J434" s="1">
        <v>0</v>
      </c>
      <c r="K434" s="1">
        <v>4125000</v>
      </c>
      <c r="L434" s="1">
        <v>0</v>
      </c>
      <c r="M434" s="1">
        <v>400000</v>
      </c>
      <c r="N434" s="1">
        <v>2644539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8245201</v>
      </c>
      <c r="W434" s="1">
        <v>1100000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1888956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3777912</v>
      </c>
      <c r="AM434" s="1">
        <v>0</v>
      </c>
      <c r="AN434" s="1">
        <v>56149263</v>
      </c>
      <c r="AO434" s="1">
        <v>9761234</v>
      </c>
      <c r="AP434" s="1">
        <v>46388029</v>
      </c>
      <c r="AQ434" s="1">
        <v>11229853</v>
      </c>
      <c r="AR434" s="1">
        <v>1684478</v>
      </c>
      <c r="AS434" s="1">
        <v>0</v>
      </c>
      <c r="AT434" s="1">
        <f t="shared" si="42"/>
        <v>69063594</v>
      </c>
    </row>
    <row r="435" spans="1:46">
      <c r="A435" s="1" t="str">
        <f>"00493"</f>
        <v>00493</v>
      </c>
      <c r="B435" s="1" t="str">
        <f>"هادي"</f>
        <v>هادي</v>
      </c>
      <c r="C435" s="1" t="str">
        <f>"كسرايي"</f>
        <v>كسرايي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11894347</v>
      </c>
      <c r="G435" s="1">
        <v>5336666</v>
      </c>
      <c r="H435" s="1">
        <v>0</v>
      </c>
      <c r="I435" s="1">
        <v>9349324</v>
      </c>
      <c r="J435" s="1">
        <v>0</v>
      </c>
      <c r="K435" s="1">
        <v>4620000</v>
      </c>
      <c r="L435" s="1">
        <v>0</v>
      </c>
      <c r="M435" s="1">
        <v>400000</v>
      </c>
      <c r="N435" s="1">
        <v>2260273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1270000</v>
      </c>
      <c r="U435" s="1">
        <v>0</v>
      </c>
      <c r="V435" s="1">
        <v>13154807</v>
      </c>
      <c r="W435" s="1">
        <v>1100000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1614481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4778864</v>
      </c>
      <c r="AM435" s="1">
        <v>0</v>
      </c>
      <c r="AN435" s="1">
        <v>55778762</v>
      </c>
      <c r="AO435" s="1">
        <v>11649035</v>
      </c>
      <c r="AP435" s="1">
        <v>44129727</v>
      </c>
      <c r="AQ435" s="1">
        <v>10901752</v>
      </c>
      <c r="AR435" s="1">
        <v>1635263</v>
      </c>
      <c r="AS435" s="1">
        <v>0</v>
      </c>
      <c r="AT435" s="1">
        <f t="shared" si="42"/>
        <v>68315777</v>
      </c>
    </row>
    <row r="436" spans="1:46">
      <c r="A436" s="1" t="str">
        <f>"00494"</f>
        <v>00494</v>
      </c>
      <c r="B436" s="1" t="str">
        <f>"علي"</f>
        <v>علي</v>
      </c>
      <c r="C436" s="1" t="str">
        <f>"كريمي"</f>
        <v>كريمي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15673434</v>
      </c>
      <c r="G436" s="1">
        <v>9125329</v>
      </c>
      <c r="H436" s="1">
        <v>0</v>
      </c>
      <c r="I436" s="1">
        <v>11740033</v>
      </c>
      <c r="J436" s="1">
        <v>0</v>
      </c>
      <c r="K436" s="1">
        <v>5500000</v>
      </c>
      <c r="L436" s="1">
        <v>0</v>
      </c>
      <c r="M436" s="1">
        <v>400000</v>
      </c>
      <c r="N436" s="1">
        <v>2730901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1270000</v>
      </c>
      <c r="U436" s="1">
        <v>0</v>
      </c>
      <c r="V436" s="1">
        <v>9360616</v>
      </c>
      <c r="W436" s="1">
        <v>1100000</v>
      </c>
      <c r="X436" s="1">
        <v>2351015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1950644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8603317</v>
      </c>
      <c r="AM436" s="1">
        <v>0</v>
      </c>
      <c r="AN436" s="1">
        <v>69805289</v>
      </c>
      <c r="AO436" s="1">
        <v>14866528</v>
      </c>
      <c r="AP436" s="1">
        <v>54938761</v>
      </c>
      <c r="AQ436" s="1">
        <v>13707058</v>
      </c>
      <c r="AR436" s="1">
        <v>2056059</v>
      </c>
      <c r="AS436" s="1">
        <v>0</v>
      </c>
      <c r="AT436" s="1">
        <f t="shared" si="42"/>
        <v>85568406</v>
      </c>
    </row>
    <row r="437" spans="1:46">
      <c r="A437" s="1" t="str">
        <f>"00495"</f>
        <v>00495</v>
      </c>
      <c r="B437" s="1" t="str">
        <f>"اميد"</f>
        <v>اميد</v>
      </c>
      <c r="C437" s="1" t="str">
        <f>"لغويان زاده"</f>
        <v>لغويان زاده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13463717</v>
      </c>
      <c r="G437" s="1">
        <v>5516237</v>
      </c>
      <c r="H437" s="1">
        <v>0</v>
      </c>
      <c r="I437" s="1">
        <v>9803292</v>
      </c>
      <c r="J437" s="1">
        <v>0</v>
      </c>
      <c r="K437" s="1">
        <v>5500000</v>
      </c>
      <c r="L437" s="1">
        <v>0</v>
      </c>
      <c r="M437" s="1">
        <v>400000</v>
      </c>
      <c r="N437" s="1">
        <v>1985336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1270000</v>
      </c>
      <c r="U437" s="1">
        <v>0</v>
      </c>
      <c r="V437" s="1">
        <v>2865578</v>
      </c>
      <c r="W437" s="1">
        <v>1100000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1418097</v>
      </c>
      <c r="AF437" s="1">
        <v>2222538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1985336</v>
      </c>
      <c r="AM437" s="1">
        <v>0</v>
      </c>
      <c r="AN437" s="1">
        <v>47530131</v>
      </c>
      <c r="AO437" s="1">
        <v>9439932</v>
      </c>
      <c r="AP437" s="1">
        <v>38090199</v>
      </c>
      <c r="AQ437" s="1">
        <v>8807519</v>
      </c>
      <c r="AR437" s="1">
        <v>1321128</v>
      </c>
      <c r="AS437" s="1">
        <v>0</v>
      </c>
      <c r="AT437" s="1">
        <f t="shared" si="42"/>
        <v>57658778</v>
      </c>
    </row>
    <row r="438" spans="1:46">
      <c r="A438" s="1" t="str">
        <f>"00496"</f>
        <v>00496</v>
      </c>
      <c r="B438" s="1" t="str">
        <f>"محمد"</f>
        <v>محمد</v>
      </c>
      <c r="C438" s="1" t="str">
        <f>"مجري ساز پور"</f>
        <v>مجري ساز پور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11892691</v>
      </c>
      <c r="G438" s="1">
        <v>15237575</v>
      </c>
      <c r="H438" s="1">
        <v>0</v>
      </c>
      <c r="I438" s="1">
        <v>9906647</v>
      </c>
      <c r="J438" s="1">
        <v>0</v>
      </c>
      <c r="K438" s="1">
        <v>4620000</v>
      </c>
      <c r="L438" s="1">
        <v>0</v>
      </c>
      <c r="M438" s="1">
        <v>400000</v>
      </c>
      <c r="N438" s="1">
        <v>2275037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1270000</v>
      </c>
      <c r="U438" s="1">
        <v>0</v>
      </c>
      <c r="V438" s="1">
        <v>11191019</v>
      </c>
      <c r="W438" s="1">
        <v>1100000</v>
      </c>
      <c r="X438" s="1">
        <v>1783904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1625026</v>
      </c>
      <c r="AF438" s="1">
        <v>1111269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9547904</v>
      </c>
      <c r="AM438" s="1">
        <v>0</v>
      </c>
      <c r="AN438" s="1">
        <v>71961072</v>
      </c>
      <c r="AO438" s="1">
        <v>12803431</v>
      </c>
      <c r="AP438" s="1">
        <v>59157641</v>
      </c>
      <c r="AQ438" s="1">
        <v>13915961</v>
      </c>
      <c r="AR438" s="1">
        <v>2087394</v>
      </c>
      <c r="AS438" s="1">
        <v>0</v>
      </c>
      <c r="AT438" s="1">
        <f t="shared" si="42"/>
        <v>87964427</v>
      </c>
    </row>
    <row r="439" spans="1:46">
      <c r="A439" s="1" t="str">
        <f>"00497"</f>
        <v>00497</v>
      </c>
      <c r="B439" s="1" t="str">
        <f>"احمد"</f>
        <v>احمد</v>
      </c>
      <c r="C439" s="1" t="str">
        <f>"محمدي"</f>
        <v>محمدي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15225542</v>
      </c>
      <c r="G439" s="1">
        <v>7407461</v>
      </c>
      <c r="H439" s="1">
        <v>0</v>
      </c>
      <c r="I439" s="1">
        <v>11886624</v>
      </c>
      <c r="J439" s="1">
        <v>0</v>
      </c>
      <c r="K439" s="1">
        <v>5500000</v>
      </c>
      <c r="L439" s="1">
        <v>0</v>
      </c>
      <c r="M439" s="1">
        <v>400000</v>
      </c>
      <c r="N439" s="1">
        <v>2563120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12475252</v>
      </c>
      <c r="W439" s="1">
        <v>1100000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1830800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4393920</v>
      </c>
      <c r="AM439" s="1">
        <v>0</v>
      </c>
      <c r="AN439" s="1">
        <v>62782719</v>
      </c>
      <c r="AO439" s="1">
        <v>16859059</v>
      </c>
      <c r="AP439" s="1">
        <v>45923660</v>
      </c>
      <c r="AQ439" s="1">
        <v>12556544</v>
      </c>
      <c r="AR439" s="1">
        <v>1883482</v>
      </c>
      <c r="AS439" s="1">
        <v>0</v>
      </c>
      <c r="AT439" s="1">
        <f t="shared" si="42"/>
        <v>77222745</v>
      </c>
    </row>
    <row r="440" spans="1:46">
      <c r="A440" s="1" t="str">
        <f>"00498"</f>
        <v>00498</v>
      </c>
      <c r="B440" s="1" t="str">
        <f>"عبدالرحيم"</f>
        <v>عبدالرحيم</v>
      </c>
      <c r="C440" s="1" t="str">
        <f>"محمديان"</f>
        <v>محمديان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12099484</v>
      </c>
      <c r="G440" s="1">
        <v>7625818</v>
      </c>
      <c r="H440" s="1">
        <v>0</v>
      </c>
      <c r="I440" s="1">
        <v>10135888</v>
      </c>
      <c r="J440" s="1">
        <v>0</v>
      </c>
      <c r="K440" s="1">
        <v>4620000</v>
      </c>
      <c r="L440" s="1">
        <v>0</v>
      </c>
      <c r="M440" s="1">
        <v>400000</v>
      </c>
      <c r="N440" s="1">
        <v>2352467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1270000</v>
      </c>
      <c r="U440" s="1">
        <v>0</v>
      </c>
      <c r="V440" s="1">
        <v>11455923</v>
      </c>
      <c r="W440" s="1">
        <v>1100000</v>
      </c>
      <c r="X440" s="1">
        <v>1814923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1680334</v>
      </c>
      <c r="AF440" s="1">
        <v>1111269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9813471</v>
      </c>
      <c r="AM440" s="1">
        <v>0</v>
      </c>
      <c r="AN440" s="1">
        <v>65479577</v>
      </c>
      <c r="AO440" s="1">
        <v>14628976</v>
      </c>
      <c r="AP440" s="1">
        <v>50850601</v>
      </c>
      <c r="AQ440" s="1">
        <v>12619662</v>
      </c>
      <c r="AR440" s="1">
        <v>1892949</v>
      </c>
      <c r="AS440" s="1">
        <v>0</v>
      </c>
      <c r="AT440" s="1">
        <f t="shared" si="42"/>
        <v>79992188</v>
      </c>
    </row>
    <row r="441" spans="1:46">
      <c r="A441" s="1" t="str">
        <f>"00499"</f>
        <v>00499</v>
      </c>
      <c r="B441" s="1" t="str">
        <f>"مهدي"</f>
        <v>مهدي</v>
      </c>
      <c r="C441" s="1" t="str">
        <f>"مرشدي"</f>
        <v>مرشدي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11555472</v>
      </c>
      <c r="G441" s="1">
        <v>1489576</v>
      </c>
      <c r="H441" s="1">
        <v>0</v>
      </c>
      <c r="I441" s="1">
        <v>9666413</v>
      </c>
      <c r="J441" s="1">
        <v>0</v>
      </c>
      <c r="K441" s="1">
        <v>3465000</v>
      </c>
      <c r="L441" s="1">
        <v>0</v>
      </c>
      <c r="M441" s="1">
        <v>400000</v>
      </c>
      <c r="N441" s="1">
        <v>2132124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1270000</v>
      </c>
      <c r="U441" s="1">
        <v>0</v>
      </c>
      <c r="V441" s="1">
        <v>7639915</v>
      </c>
      <c r="W441" s="1">
        <v>1100000</v>
      </c>
      <c r="X441" s="1">
        <v>595830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1522946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8340067</v>
      </c>
      <c r="AM441" s="1">
        <v>0</v>
      </c>
      <c r="AN441" s="1">
        <v>49177343</v>
      </c>
      <c r="AO441" s="1">
        <v>10551876</v>
      </c>
      <c r="AP441" s="1">
        <v>38625467</v>
      </c>
      <c r="AQ441" s="1">
        <v>9581469</v>
      </c>
      <c r="AR441" s="1">
        <v>1437220</v>
      </c>
      <c r="AS441" s="1">
        <v>0</v>
      </c>
      <c r="AT441" s="1">
        <f t="shared" si="42"/>
        <v>60196032</v>
      </c>
    </row>
    <row r="442" spans="1:46">
      <c r="A442" s="1" t="str">
        <f>"00500"</f>
        <v>00500</v>
      </c>
      <c r="B442" s="1" t="str">
        <f>"محمد"</f>
        <v>محمد</v>
      </c>
      <c r="C442" s="1" t="str">
        <f>"معيني"</f>
        <v>معيني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14725319</v>
      </c>
      <c r="G442" s="1">
        <v>6984503</v>
      </c>
      <c r="H442" s="1">
        <v>0</v>
      </c>
      <c r="I442" s="1">
        <v>10649223</v>
      </c>
      <c r="J442" s="1">
        <v>0</v>
      </c>
      <c r="K442" s="1">
        <v>5500000</v>
      </c>
      <c r="L442" s="1">
        <v>0</v>
      </c>
      <c r="M442" s="1">
        <v>400000</v>
      </c>
      <c r="N442" s="1">
        <v>2384735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14342959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1703383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4088118</v>
      </c>
      <c r="AM442" s="1">
        <v>0</v>
      </c>
      <c r="AN442" s="1">
        <v>61878240</v>
      </c>
      <c r="AO442" s="1">
        <v>13989488</v>
      </c>
      <c r="AP442" s="1">
        <v>47888752</v>
      </c>
      <c r="AQ442" s="1">
        <v>12375648</v>
      </c>
      <c r="AR442" s="1">
        <v>1856347</v>
      </c>
      <c r="AS442" s="1">
        <v>0</v>
      </c>
      <c r="AT442" s="1">
        <f t="shared" si="42"/>
        <v>76110235</v>
      </c>
    </row>
    <row r="443" spans="1:46">
      <c r="A443" s="1" t="str">
        <f>"00501"</f>
        <v>00501</v>
      </c>
      <c r="B443" s="1" t="str">
        <f>"احمد"</f>
        <v>احمد</v>
      </c>
      <c r="C443" s="1" t="str">
        <f>"ملکي"</f>
        <v>ملکي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14830179</v>
      </c>
      <c r="G443" s="1">
        <v>11148121</v>
      </c>
      <c r="H443" s="1">
        <v>0</v>
      </c>
      <c r="I443" s="1">
        <v>10883234</v>
      </c>
      <c r="J443" s="1">
        <v>0</v>
      </c>
      <c r="K443" s="1">
        <v>4125000</v>
      </c>
      <c r="L443" s="1">
        <v>0</v>
      </c>
      <c r="M443" s="1">
        <v>400000</v>
      </c>
      <c r="N443" s="1">
        <v>2377911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7726733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1698508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3804657</v>
      </c>
      <c r="AM443" s="1">
        <v>0</v>
      </c>
      <c r="AN443" s="1">
        <v>58094343</v>
      </c>
      <c r="AO443" s="1">
        <v>9146747</v>
      </c>
      <c r="AP443" s="1">
        <v>48947596</v>
      </c>
      <c r="AQ443" s="1">
        <v>11618869</v>
      </c>
      <c r="AR443" s="1">
        <v>1742830</v>
      </c>
      <c r="AS443" s="1">
        <v>0</v>
      </c>
      <c r="AT443" s="1">
        <f t="shared" si="42"/>
        <v>71456042</v>
      </c>
    </row>
    <row r="444" spans="1:46">
      <c r="A444" s="1" t="str">
        <f>"00502"</f>
        <v>00502</v>
      </c>
      <c r="B444" s="1" t="str">
        <f>"رامين"</f>
        <v>رامين</v>
      </c>
      <c r="C444" s="1" t="str">
        <f>"منصوري"</f>
        <v>منصوري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11441896</v>
      </c>
      <c r="G444" s="1">
        <v>2519023</v>
      </c>
      <c r="H444" s="1">
        <v>0</v>
      </c>
      <c r="I444" s="1">
        <v>8453234</v>
      </c>
      <c r="J444" s="1">
        <v>0</v>
      </c>
      <c r="K444" s="1">
        <v>3465000</v>
      </c>
      <c r="L444" s="1">
        <v>0</v>
      </c>
      <c r="M444" s="1">
        <v>400000</v>
      </c>
      <c r="N444" s="1">
        <v>2081520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11353343</v>
      </c>
      <c r="W444" s="1">
        <v>1100000</v>
      </c>
      <c r="X444" s="1">
        <v>1716284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1486800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3568320</v>
      </c>
      <c r="AM444" s="1">
        <v>0</v>
      </c>
      <c r="AN444" s="1">
        <v>47585420</v>
      </c>
      <c r="AO444" s="1">
        <v>13465391</v>
      </c>
      <c r="AP444" s="1">
        <v>34120029</v>
      </c>
      <c r="AQ444" s="1">
        <v>9517084</v>
      </c>
      <c r="AR444" s="1">
        <v>1427563</v>
      </c>
      <c r="AS444" s="1">
        <v>0</v>
      </c>
      <c r="AT444" s="1">
        <f t="shared" si="42"/>
        <v>58530067</v>
      </c>
    </row>
    <row r="445" spans="1:46">
      <c r="A445" s="1" t="str">
        <f>"00503"</f>
        <v>00503</v>
      </c>
      <c r="B445" s="1" t="str">
        <f>"سيد ابوالحسن"</f>
        <v>سيد ابوالحسن</v>
      </c>
      <c r="C445" s="1" t="str">
        <f>"موسوي برازجاني"</f>
        <v>موسوي برازجاني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11752776</v>
      </c>
      <c r="G445" s="1">
        <v>4834387</v>
      </c>
      <c r="H445" s="1">
        <v>0</v>
      </c>
      <c r="I445" s="1">
        <v>8784795</v>
      </c>
      <c r="J445" s="1">
        <v>0</v>
      </c>
      <c r="K445" s="1">
        <v>4620000</v>
      </c>
      <c r="L445" s="1">
        <v>0</v>
      </c>
      <c r="M445" s="1">
        <v>400000</v>
      </c>
      <c r="N445" s="1">
        <v>2192948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1270000</v>
      </c>
      <c r="U445" s="1">
        <v>0</v>
      </c>
      <c r="V445" s="1">
        <v>7292701</v>
      </c>
      <c r="W445" s="1">
        <v>1100000</v>
      </c>
      <c r="X445" s="1">
        <v>1762916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1566391</v>
      </c>
      <c r="AF445" s="1">
        <v>3333807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7410484</v>
      </c>
      <c r="AM445" s="1">
        <v>0</v>
      </c>
      <c r="AN445" s="1">
        <v>56321205</v>
      </c>
      <c r="AO445" s="1">
        <v>9170801</v>
      </c>
      <c r="AP445" s="1">
        <v>47150404</v>
      </c>
      <c r="AQ445" s="1">
        <v>10343480</v>
      </c>
      <c r="AR445" s="1">
        <v>1551522</v>
      </c>
      <c r="AS445" s="1">
        <v>0</v>
      </c>
      <c r="AT445" s="1">
        <f t="shared" si="42"/>
        <v>68216207</v>
      </c>
    </row>
    <row r="446" spans="1:46">
      <c r="A446" s="1" t="str">
        <f>"00504"</f>
        <v>00504</v>
      </c>
      <c r="B446" s="1" t="str">
        <f>"مجتبي"</f>
        <v>مجتبي</v>
      </c>
      <c r="C446" s="1" t="str">
        <f>"ميري"</f>
        <v>ميري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11494788</v>
      </c>
      <c r="G446" s="1">
        <v>9109025</v>
      </c>
      <c r="H446" s="1">
        <v>0</v>
      </c>
      <c r="I446" s="1">
        <v>9850373</v>
      </c>
      <c r="J446" s="1">
        <v>0</v>
      </c>
      <c r="K446" s="1">
        <v>4620000</v>
      </c>
      <c r="L446" s="1">
        <v>0</v>
      </c>
      <c r="M446" s="1">
        <v>400000</v>
      </c>
      <c r="N446" s="1">
        <v>2114252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1270000</v>
      </c>
      <c r="U446" s="1">
        <v>0</v>
      </c>
      <c r="V446" s="1">
        <v>7786577</v>
      </c>
      <c r="W446" s="1">
        <v>1100000</v>
      </c>
      <c r="X446" s="1">
        <v>1724218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1510181</v>
      </c>
      <c r="AF446" s="1">
        <v>1111269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8885086</v>
      </c>
      <c r="AM446" s="1">
        <v>0</v>
      </c>
      <c r="AN446" s="1">
        <v>60975769</v>
      </c>
      <c r="AO446" s="1">
        <v>15736088</v>
      </c>
      <c r="AP446" s="1">
        <v>45239681</v>
      </c>
      <c r="AQ446" s="1">
        <v>11718900</v>
      </c>
      <c r="AR446" s="1">
        <v>1757835</v>
      </c>
      <c r="AS446" s="1">
        <v>0</v>
      </c>
      <c r="AT446" s="1">
        <f t="shared" si="42"/>
        <v>74452504</v>
      </c>
    </row>
    <row r="447" spans="1:46">
      <c r="A447" s="1" t="str">
        <f>"00505"</f>
        <v>00505</v>
      </c>
      <c r="B447" s="1" t="str">
        <f>"جمال"</f>
        <v>جمال</v>
      </c>
      <c r="C447" s="1" t="str">
        <f>"نصيري"</f>
        <v>نصيري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12907618</v>
      </c>
      <c r="G447" s="1">
        <v>2577855</v>
      </c>
      <c r="H447" s="1">
        <v>0</v>
      </c>
      <c r="I447" s="1">
        <v>10024390</v>
      </c>
      <c r="J447" s="1">
        <v>0</v>
      </c>
      <c r="K447" s="1">
        <v>4620000</v>
      </c>
      <c r="L447" s="1">
        <v>0</v>
      </c>
      <c r="M447" s="1">
        <v>400000</v>
      </c>
      <c r="N447" s="1">
        <v>2419244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1270000</v>
      </c>
      <c r="U447" s="1">
        <v>0</v>
      </c>
      <c r="V447" s="1">
        <v>8263508</v>
      </c>
      <c r="W447" s="1">
        <v>1100000</v>
      </c>
      <c r="X447" s="1">
        <v>1936143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1728031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8849016</v>
      </c>
      <c r="AM447" s="1">
        <v>0</v>
      </c>
      <c r="AN447" s="1">
        <v>56095805</v>
      </c>
      <c r="AO447" s="1">
        <v>8410188</v>
      </c>
      <c r="AP447" s="1">
        <v>47685617</v>
      </c>
      <c r="AQ447" s="1">
        <v>10965161</v>
      </c>
      <c r="AR447" s="1">
        <v>1644774</v>
      </c>
      <c r="AS447" s="1">
        <v>0</v>
      </c>
      <c r="AT447" s="1">
        <f t="shared" si="42"/>
        <v>68705740</v>
      </c>
    </row>
    <row r="448" spans="1:46">
      <c r="A448" s="1" t="str">
        <f>"00506"</f>
        <v>00506</v>
      </c>
      <c r="B448" s="1" t="str">
        <f>"سيد اسحق"</f>
        <v>سيد اسحق</v>
      </c>
      <c r="C448" s="1" t="str">
        <f>"نعمتي"</f>
        <v>نعمتي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11540087</v>
      </c>
      <c r="G448" s="1">
        <v>18009048</v>
      </c>
      <c r="H448" s="1">
        <v>0</v>
      </c>
      <c r="I448" s="1">
        <v>9226577</v>
      </c>
      <c r="J448" s="1">
        <v>0</v>
      </c>
      <c r="K448" s="1">
        <v>4620000</v>
      </c>
      <c r="L448" s="1">
        <v>0</v>
      </c>
      <c r="M448" s="1">
        <v>400000</v>
      </c>
      <c r="N448" s="1">
        <v>2152374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1270000</v>
      </c>
      <c r="U448" s="1">
        <v>0</v>
      </c>
      <c r="V448" s="1">
        <v>14069530</v>
      </c>
      <c r="W448" s="1">
        <v>1100000</v>
      </c>
      <c r="X448" s="1">
        <v>1731013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1537409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8074256</v>
      </c>
      <c r="AM448" s="1">
        <v>0</v>
      </c>
      <c r="AN448" s="1">
        <v>73730294</v>
      </c>
      <c r="AO448" s="1">
        <v>15897921</v>
      </c>
      <c r="AP448" s="1">
        <v>57832373</v>
      </c>
      <c r="AQ448" s="1">
        <v>14492059</v>
      </c>
      <c r="AR448" s="1">
        <v>2173809</v>
      </c>
      <c r="AS448" s="1">
        <v>0</v>
      </c>
      <c r="AT448" s="1">
        <f t="shared" si="42"/>
        <v>90396162</v>
      </c>
    </row>
    <row r="449" spans="1:46">
      <c r="A449" s="1" t="str">
        <f>"00508"</f>
        <v>00508</v>
      </c>
      <c r="B449" s="1" t="str">
        <f>"عبدالکريم"</f>
        <v>عبدالکريم</v>
      </c>
      <c r="C449" s="1" t="str">
        <f>"نيکنام"</f>
        <v>نيکنام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11340367</v>
      </c>
      <c r="G449" s="1">
        <v>8593084</v>
      </c>
      <c r="H449" s="1">
        <v>0</v>
      </c>
      <c r="I449" s="1">
        <v>9112872</v>
      </c>
      <c r="J449" s="1">
        <v>0</v>
      </c>
      <c r="K449" s="1">
        <v>3465000</v>
      </c>
      <c r="L449" s="1">
        <v>0</v>
      </c>
      <c r="M449" s="1">
        <v>400000</v>
      </c>
      <c r="N449" s="1">
        <v>2049727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1270000</v>
      </c>
      <c r="U449" s="1">
        <v>0</v>
      </c>
      <c r="V449" s="1">
        <v>7345539</v>
      </c>
      <c r="W449" s="1">
        <v>1100000</v>
      </c>
      <c r="X449" s="1">
        <v>1701055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1464090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7970073</v>
      </c>
      <c r="AM449" s="1">
        <v>0</v>
      </c>
      <c r="AN449" s="1">
        <v>55811807</v>
      </c>
      <c r="AO449" s="1">
        <v>10352216</v>
      </c>
      <c r="AP449" s="1">
        <v>45459591</v>
      </c>
      <c r="AQ449" s="1">
        <v>10908361</v>
      </c>
      <c r="AR449" s="1">
        <v>1636254</v>
      </c>
      <c r="AS449" s="1">
        <v>0</v>
      </c>
      <c r="AT449" s="1">
        <f t="shared" si="42"/>
        <v>68356422</v>
      </c>
    </row>
    <row r="450" spans="1:46">
      <c r="A450" s="1" t="str">
        <f>"00509"</f>
        <v>00509</v>
      </c>
      <c r="B450" s="1" t="str">
        <f>"سيد موسي"</f>
        <v>سيد موسي</v>
      </c>
      <c r="C450" s="1" t="str">
        <f>"هاشمي"</f>
        <v>هاشمي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12295131</v>
      </c>
      <c r="G450" s="1">
        <v>1878055</v>
      </c>
      <c r="H450" s="1">
        <v>0</v>
      </c>
      <c r="I450" s="1">
        <v>10247279</v>
      </c>
      <c r="J450" s="1">
        <v>0</v>
      </c>
      <c r="K450" s="1">
        <v>4620000</v>
      </c>
      <c r="L450" s="1">
        <v>0</v>
      </c>
      <c r="M450" s="1">
        <v>400000</v>
      </c>
      <c r="N450" s="1">
        <v>2198666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1270000</v>
      </c>
      <c r="U450" s="1">
        <v>0</v>
      </c>
      <c r="V450" s="1">
        <v>8026995</v>
      </c>
      <c r="W450" s="1">
        <v>1100000</v>
      </c>
      <c r="X450" s="1">
        <v>1844270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1570476</v>
      </c>
      <c r="AF450" s="1">
        <v>2222538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8588424</v>
      </c>
      <c r="AM450" s="1">
        <v>0</v>
      </c>
      <c r="AN450" s="1">
        <v>56261834</v>
      </c>
      <c r="AO450" s="1">
        <v>13354582</v>
      </c>
      <c r="AP450" s="1">
        <v>42907252</v>
      </c>
      <c r="AQ450" s="1">
        <v>10553859</v>
      </c>
      <c r="AR450" s="1">
        <v>1583079</v>
      </c>
      <c r="AS450" s="1">
        <v>0</v>
      </c>
      <c r="AT450" s="1">
        <f t="shared" si="42"/>
        <v>68398772</v>
      </c>
    </row>
    <row r="451" spans="1:46">
      <c r="A451" s="1" t="str">
        <f>"00512"</f>
        <v>00512</v>
      </c>
      <c r="B451" s="1" t="str">
        <f>"مريم"</f>
        <v>مريم</v>
      </c>
      <c r="C451" s="1" t="str">
        <f>"سليماني"</f>
        <v>سليماني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13101173</v>
      </c>
      <c r="G451" s="1">
        <v>1845177</v>
      </c>
      <c r="H451" s="1">
        <v>0</v>
      </c>
      <c r="I451" s="1">
        <v>10741843</v>
      </c>
      <c r="J451" s="1">
        <v>950000</v>
      </c>
      <c r="K451" s="1">
        <v>4125000</v>
      </c>
      <c r="L451" s="1">
        <v>0</v>
      </c>
      <c r="M451" s="1">
        <v>400000</v>
      </c>
      <c r="N451" s="1">
        <v>1858968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2875600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1327834</v>
      </c>
      <c r="AF451" s="1">
        <v>1111269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1726185</v>
      </c>
      <c r="AM451" s="1">
        <v>0</v>
      </c>
      <c r="AN451" s="1">
        <v>41163049</v>
      </c>
      <c r="AO451" s="1">
        <v>11171124</v>
      </c>
      <c r="AP451" s="1">
        <v>29991925</v>
      </c>
      <c r="AQ451" s="1">
        <v>7820356</v>
      </c>
      <c r="AR451" s="1">
        <v>1173053</v>
      </c>
      <c r="AS451" s="1">
        <v>0</v>
      </c>
      <c r="AT451" s="1">
        <f t="shared" ref="AT451:AT514" si="47">AS451+AR451+AQ451+AN451</f>
        <v>50156458</v>
      </c>
    </row>
    <row r="452" spans="1:46">
      <c r="A452" s="1" t="str">
        <f>"00513"</f>
        <v>00513</v>
      </c>
      <c r="B452" s="1" t="str">
        <f>"مريم"</f>
        <v>مريم</v>
      </c>
      <c r="C452" s="1" t="str">
        <f>"دهقاني"</f>
        <v>دهقاني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13152407</v>
      </c>
      <c r="G452" s="1">
        <v>0</v>
      </c>
      <c r="H452" s="1">
        <v>0</v>
      </c>
      <c r="I452" s="1">
        <v>10686951</v>
      </c>
      <c r="J452" s="1">
        <v>0</v>
      </c>
      <c r="K452" s="1">
        <v>4125000</v>
      </c>
      <c r="L452" s="1">
        <v>0</v>
      </c>
      <c r="M452" s="1">
        <v>400000</v>
      </c>
      <c r="N452" s="1">
        <v>1877161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2880043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1340829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1743079</v>
      </c>
      <c r="AM452" s="1">
        <v>0</v>
      </c>
      <c r="AN452" s="1">
        <v>37305470</v>
      </c>
      <c r="AO452" s="1">
        <v>10975922</v>
      </c>
      <c r="AP452" s="1">
        <v>26329548</v>
      </c>
      <c r="AQ452" s="1">
        <v>7461094</v>
      </c>
      <c r="AR452" s="1">
        <v>1119164</v>
      </c>
      <c r="AS452" s="1">
        <v>0</v>
      </c>
      <c r="AT452" s="1">
        <f t="shared" si="47"/>
        <v>45885728</v>
      </c>
    </row>
    <row r="453" spans="1:46">
      <c r="A453" s="1" t="str">
        <f>"00514"</f>
        <v>00514</v>
      </c>
      <c r="B453" s="1" t="str">
        <f>"بديع الزمان"</f>
        <v>بديع الزمان</v>
      </c>
      <c r="C453" s="1" t="str">
        <f>"رفيعي"</f>
        <v>رفيعي</v>
      </c>
      <c r="D453" s="1" t="str">
        <f>"قراردادي کارگري"</f>
        <v>قراردادي کارگري</v>
      </c>
      <c r="E453" s="1" t="str">
        <f t="shared" ref="E453:E458" si="48">"پروژه تعميرات نيروگاه بوشهر"</f>
        <v>پروژه تعميرات نيروگاه بوشهر</v>
      </c>
      <c r="F453" s="1">
        <v>10185474</v>
      </c>
      <c r="G453" s="1">
        <v>38024420</v>
      </c>
      <c r="H453" s="1">
        <v>0</v>
      </c>
      <c r="I453" s="1">
        <v>8555798</v>
      </c>
      <c r="J453" s="1">
        <v>0</v>
      </c>
      <c r="K453" s="1">
        <v>0</v>
      </c>
      <c r="L453" s="1">
        <v>3620700</v>
      </c>
      <c r="M453" s="1">
        <v>400000</v>
      </c>
      <c r="N453" s="1">
        <v>5432253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9297218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696800</v>
      </c>
      <c r="AD453" s="1">
        <v>0</v>
      </c>
      <c r="AE453" s="1">
        <v>0</v>
      </c>
      <c r="AF453" s="1">
        <v>1111269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78423932</v>
      </c>
      <c r="AO453" s="1">
        <v>15263526</v>
      </c>
      <c r="AP453" s="1">
        <v>63160406</v>
      </c>
      <c r="AQ453" s="1">
        <v>15462533</v>
      </c>
      <c r="AR453" s="1">
        <v>2319380</v>
      </c>
      <c r="AS453" s="1">
        <v>900000</v>
      </c>
      <c r="AT453" s="1">
        <f t="shared" si="47"/>
        <v>97105845</v>
      </c>
    </row>
    <row r="454" spans="1:46">
      <c r="A454" s="1" t="str">
        <f>"00515"</f>
        <v>00515</v>
      </c>
      <c r="B454" s="1" t="str">
        <f>"كورش"</f>
        <v>كورش</v>
      </c>
      <c r="C454" s="1" t="str">
        <f>"اميني"</f>
        <v>اميني</v>
      </c>
      <c r="D454" s="1" t="str">
        <f>"قراردادي کارگري"</f>
        <v>قراردادي کارگري</v>
      </c>
      <c r="E454" s="1" t="str">
        <f t="shared" si="48"/>
        <v>پروژه تعميرات نيروگاه بوشهر</v>
      </c>
      <c r="F454" s="1">
        <v>10602293</v>
      </c>
      <c r="G454" s="1">
        <v>31875029</v>
      </c>
      <c r="H454" s="1">
        <v>0</v>
      </c>
      <c r="I454" s="1">
        <v>9223994</v>
      </c>
      <c r="J454" s="1">
        <v>0</v>
      </c>
      <c r="K454" s="1">
        <v>0</v>
      </c>
      <c r="L454" s="1">
        <v>3460800</v>
      </c>
      <c r="M454" s="1">
        <v>400000</v>
      </c>
      <c r="N454" s="1">
        <v>5654557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9674431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766200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72757304</v>
      </c>
      <c r="AO454" s="1">
        <v>15516936</v>
      </c>
      <c r="AP454" s="1">
        <v>57240368</v>
      </c>
      <c r="AQ454" s="1">
        <v>14551461</v>
      </c>
      <c r="AR454" s="1">
        <v>2182719</v>
      </c>
      <c r="AS454" s="1">
        <v>300000</v>
      </c>
      <c r="AT454" s="1">
        <f t="shared" si="47"/>
        <v>89791484</v>
      </c>
    </row>
    <row r="455" spans="1:46">
      <c r="A455" s="1" t="str">
        <f>"00516"</f>
        <v>00516</v>
      </c>
      <c r="B455" s="1" t="str">
        <f>"رضا"</f>
        <v>رضا</v>
      </c>
      <c r="C455" s="1" t="str">
        <f>"اشك منش"</f>
        <v>اشك منش</v>
      </c>
      <c r="D455" s="1" t="str">
        <f t="shared" ref="D455:D464" si="49">"قراردادي بهره بردار"</f>
        <v>قراردادي بهره بردار</v>
      </c>
      <c r="E455" s="1" t="str">
        <f t="shared" si="48"/>
        <v>پروژه تعميرات نيروگاه بوشهر</v>
      </c>
      <c r="F455" s="1">
        <v>17978985</v>
      </c>
      <c r="G455" s="1">
        <v>1649069</v>
      </c>
      <c r="H455" s="1">
        <v>0</v>
      </c>
      <c r="I455" s="1">
        <v>22638561</v>
      </c>
      <c r="J455" s="1">
        <v>0</v>
      </c>
      <c r="K455" s="1">
        <v>5500000</v>
      </c>
      <c r="L455" s="1">
        <v>0</v>
      </c>
      <c r="M455" s="1">
        <v>400000</v>
      </c>
      <c r="N455" s="1">
        <v>2660458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5139955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3180690</v>
      </c>
      <c r="AD455" s="1">
        <v>0</v>
      </c>
      <c r="AE455" s="1">
        <v>1900328</v>
      </c>
      <c r="AF455" s="1">
        <v>1111269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3040524</v>
      </c>
      <c r="AM455" s="1">
        <v>0</v>
      </c>
      <c r="AN455" s="1">
        <v>66299839</v>
      </c>
      <c r="AO455" s="1">
        <v>15570685</v>
      </c>
      <c r="AP455" s="1">
        <v>50729154</v>
      </c>
      <c r="AQ455" s="1">
        <v>13037714</v>
      </c>
      <c r="AR455" s="1">
        <v>1955657</v>
      </c>
      <c r="AS455" s="1">
        <v>0</v>
      </c>
      <c r="AT455" s="1">
        <f t="shared" si="47"/>
        <v>81293210</v>
      </c>
    </row>
    <row r="456" spans="1:46">
      <c r="A456" s="1" t="str">
        <f>"00517"</f>
        <v>00517</v>
      </c>
      <c r="B456" s="1" t="str">
        <f>"سجاد"</f>
        <v>سجاد</v>
      </c>
      <c r="C456" s="1" t="str">
        <f>"جعفري زاده"</f>
        <v>جعفري زاده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15406649</v>
      </c>
      <c r="G456" s="1">
        <v>10981707</v>
      </c>
      <c r="H456" s="1">
        <v>0</v>
      </c>
      <c r="I456" s="1">
        <v>11843193</v>
      </c>
      <c r="J456" s="1">
        <v>0</v>
      </c>
      <c r="K456" s="1">
        <v>5500000</v>
      </c>
      <c r="L456" s="1">
        <v>0</v>
      </c>
      <c r="M456" s="1">
        <v>400000</v>
      </c>
      <c r="N456" s="1">
        <v>2599234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8282984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1856596</v>
      </c>
      <c r="AF456" s="1">
        <v>1111269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4307303</v>
      </c>
      <c r="AM456" s="1">
        <v>0</v>
      </c>
      <c r="AN456" s="1">
        <v>63388935</v>
      </c>
      <c r="AO456" s="1">
        <v>11951155</v>
      </c>
      <c r="AP456" s="1">
        <v>51437780</v>
      </c>
      <c r="AQ456" s="1">
        <v>12455533</v>
      </c>
      <c r="AR456" s="1">
        <v>1868330</v>
      </c>
      <c r="AS456" s="1">
        <v>0</v>
      </c>
      <c r="AT456" s="1">
        <f t="shared" si="47"/>
        <v>77712798</v>
      </c>
    </row>
    <row r="457" spans="1:46">
      <c r="A457" s="1" t="str">
        <f>"00519"</f>
        <v>00519</v>
      </c>
      <c r="B457" s="1" t="str">
        <f>"رامين"</f>
        <v>رامين</v>
      </c>
      <c r="C457" s="1" t="str">
        <f>"وزان"</f>
        <v>وزان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15676283</v>
      </c>
      <c r="G457" s="1">
        <v>0</v>
      </c>
      <c r="H457" s="1">
        <v>0</v>
      </c>
      <c r="I457" s="1">
        <v>12180457</v>
      </c>
      <c r="J457" s="1">
        <v>0</v>
      </c>
      <c r="K457" s="1">
        <v>5500000</v>
      </c>
      <c r="L457" s="1">
        <v>0</v>
      </c>
      <c r="M457" s="1">
        <v>400000</v>
      </c>
      <c r="N457" s="1">
        <v>2728867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12007913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1949192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4989930</v>
      </c>
      <c r="AM457" s="1">
        <v>0</v>
      </c>
      <c r="AN457" s="1">
        <v>56532642</v>
      </c>
      <c r="AO457" s="1">
        <v>10742381</v>
      </c>
      <c r="AP457" s="1">
        <v>45790261</v>
      </c>
      <c r="AQ457" s="1">
        <v>11306528</v>
      </c>
      <c r="AR457" s="1">
        <v>1695979</v>
      </c>
      <c r="AS457" s="1">
        <v>0</v>
      </c>
      <c r="AT457" s="1">
        <f t="shared" si="47"/>
        <v>69535149</v>
      </c>
    </row>
    <row r="458" spans="1:46">
      <c r="A458" s="1" t="str">
        <f>"00520"</f>
        <v>00520</v>
      </c>
      <c r="B458" s="1" t="str">
        <f>"امير"</f>
        <v>امير</v>
      </c>
      <c r="C458" s="1" t="str">
        <f>"مجدميان"</f>
        <v>مجدميان</v>
      </c>
      <c r="D458" s="1" t="str">
        <f t="shared" si="49"/>
        <v>قراردادي بهره بردار</v>
      </c>
      <c r="E458" s="1" t="str">
        <f t="shared" si="48"/>
        <v>پروژه تعميرات نيروگاه بوشهر</v>
      </c>
      <c r="F458" s="1">
        <v>15095340</v>
      </c>
      <c r="G458" s="1">
        <v>14097056</v>
      </c>
      <c r="H458" s="1">
        <v>0</v>
      </c>
      <c r="I458" s="1">
        <v>11536463</v>
      </c>
      <c r="J458" s="1">
        <v>0</v>
      </c>
      <c r="K458" s="1">
        <v>4620000</v>
      </c>
      <c r="L458" s="1">
        <v>0</v>
      </c>
      <c r="M458" s="1">
        <v>400000</v>
      </c>
      <c r="N458" s="1">
        <v>2911978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11717034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2079985</v>
      </c>
      <c r="AF458" s="1">
        <v>1111269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4991963</v>
      </c>
      <c r="AM458" s="1">
        <v>0</v>
      </c>
      <c r="AN458" s="1">
        <v>69661088</v>
      </c>
      <c r="AO458" s="1">
        <v>14223678</v>
      </c>
      <c r="AP458" s="1">
        <v>55437410</v>
      </c>
      <c r="AQ458" s="1">
        <v>13709964</v>
      </c>
      <c r="AR458" s="1">
        <v>2056495</v>
      </c>
      <c r="AS458" s="1">
        <v>0</v>
      </c>
      <c r="AT458" s="1">
        <f t="shared" si="47"/>
        <v>85427547</v>
      </c>
    </row>
    <row r="459" spans="1:46">
      <c r="A459" s="1" t="str">
        <f>"00521"</f>
        <v>00521</v>
      </c>
      <c r="B459" s="1" t="str">
        <f>"حسين"</f>
        <v>حسين</v>
      </c>
      <c r="C459" s="1" t="str">
        <f>"آرمند"</f>
        <v>آرمند</v>
      </c>
      <c r="D459" s="1" t="str">
        <f t="shared" si="49"/>
        <v>قراردادي بهره بردار</v>
      </c>
      <c r="E459" s="1" t="str">
        <f t="shared" ref="E459:E464" si="50">"پروژه بهره برداري نيروگاه بوشهر"</f>
        <v>پروژه بهره برداري نيروگاه بوشهر</v>
      </c>
      <c r="F459" s="1">
        <v>12126937</v>
      </c>
      <c r="G459" s="1">
        <v>8275744</v>
      </c>
      <c r="H459" s="1">
        <v>0</v>
      </c>
      <c r="I459" s="1">
        <v>9924169</v>
      </c>
      <c r="J459" s="1">
        <v>0</v>
      </c>
      <c r="K459" s="1">
        <v>4620000</v>
      </c>
      <c r="L459" s="1">
        <v>0</v>
      </c>
      <c r="M459" s="1">
        <v>400000</v>
      </c>
      <c r="N459" s="1">
        <v>2330640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1270000</v>
      </c>
      <c r="U459" s="1">
        <v>0</v>
      </c>
      <c r="V459" s="1">
        <v>9826486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1664743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4661280</v>
      </c>
      <c r="AM459" s="1">
        <v>0</v>
      </c>
      <c r="AN459" s="1">
        <v>56199999</v>
      </c>
      <c r="AO459" s="1">
        <v>11543803</v>
      </c>
      <c r="AP459" s="1">
        <v>44656196</v>
      </c>
      <c r="AQ459" s="1">
        <v>10986000</v>
      </c>
      <c r="AR459" s="1">
        <v>1647900</v>
      </c>
      <c r="AS459" s="1">
        <v>0</v>
      </c>
      <c r="AT459" s="1">
        <f t="shared" si="47"/>
        <v>68833899</v>
      </c>
    </row>
    <row r="460" spans="1:46">
      <c r="A460" s="1" t="str">
        <f>"00522"</f>
        <v>00522</v>
      </c>
      <c r="B460" s="1" t="str">
        <f>"حميد"</f>
        <v>حميد</v>
      </c>
      <c r="C460" s="1" t="str">
        <f>"آقا بابايي"</f>
        <v>آقا بابايي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30455556</v>
      </c>
      <c r="G460" s="1">
        <v>9944061</v>
      </c>
      <c r="H460" s="1">
        <v>0</v>
      </c>
      <c r="I460" s="1">
        <v>37613362</v>
      </c>
      <c r="J460" s="1">
        <v>0</v>
      </c>
      <c r="K460" s="1">
        <v>5500000</v>
      </c>
      <c r="L460" s="1">
        <v>0</v>
      </c>
      <c r="M460" s="1">
        <v>400000</v>
      </c>
      <c r="N460" s="1">
        <v>4349818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1270000</v>
      </c>
      <c r="U460" s="1">
        <v>0</v>
      </c>
      <c r="V460" s="1">
        <v>8265193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2776365</v>
      </c>
      <c r="AD460" s="1">
        <v>0</v>
      </c>
      <c r="AE460" s="1">
        <v>3107013</v>
      </c>
      <c r="AF460" s="1">
        <v>1111269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4349818</v>
      </c>
      <c r="AM460" s="1">
        <v>0</v>
      </c>
      <c r="AN460" s="1">
        <v>110242455</v>
      </c>
      <c r="AO460" s="1">
        <v>19695141</v>
      </c>
      <c r="AP460" s="1">
        <v>90547314</v>
      </c>
      <c r="AQ460" s="1">
        <v>15557766</v>
      </c>
      <c r="AR460" s="1">
        <v>2333665</v>
      </c>
      <c r="AS460" s="1">
        <v>0</v>
      </c>
      <c r="AT460" s="1">
        <f t="shared" si="47"/>
        <v>128133886</v>
      </c>
    </row>
    <row r="461" spans="1:46">
      <c r="A461" s="1" t="str">
        <f>"00523"</f>
        <v>00523</v>
      </c>
      <c r="B461" s="1" t="str">
        <f>"محسن"</f>
        <v>محسن</v>
      </c>
      <c r="C461" s="1" t="str">
        <f>"ابراهيمي"</f>
        <v>ابراهيمي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14637858</v>
      </c>
      <c r="G461" s="1">
        <v>0</v>
      </c>
      <c r="H461" s="1">
        <v>0</v>
      </c>
      <c r="I461" s="1">
        <v>10561068</v>
      </c>
      <c r="J461" s="1">
        <v>0</v>
      </c>
      <c r="K461" s="1">
        <v>4125000</v>
      </c>
      <c r="L461" s="1">
        <v>0</v>
      </c>
      <c r="M461" s="1">
        <v>400000</v>
      </c>
      <c r="N461" s="1">
        <v>2354951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14723321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1682108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4037058</v>
      </c>
      <c r="AM461" s="1">
        <v>0</v>
      </c>
      <c r="AN461" s="1">
        <v>53621364</v>
      </c>
      <c r="AO461" s="1">
        <v>9363344</v>
      </c>
      <c r="AP461" s="1">
        <v>44258020</v>
      </c>
      <c r="AQ461" s="1">
        <v>10724273</v>
      </c>
      <c r="AR461" s="1">
        <v>1608641</v>
      </c>
      <c r="AS461" s="1">
        <v>0</v>
      </c>
      <c r="AT461" s="1">
        <f t="shared" si="47"/>
        <v>65954278</v>
      </c>
    </row>
    <row r="462" spans="1:46">
      <c r="A462" s="1" t="str">
        <f>"00524"</f>
        <v>00524</v>
      </c>
      <c r="B462" s="1" t="str">
        <f>"مهدي"</f>
        <v>مهدي</v>
      </c>
      <c r="C462" s="1" t="str">
        <f>"اسکندري"</f>
        <v>اسکندري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15217276</v>
      </c>
      <c r="G462" s="1">
        <v>6123939</v>
      </c>
      <c r="H462" s="1">
        <v>0</v>
      </c>
      <c r="I462" s="1">
        <v>11010056</v>
      </c>
      <c r="J462" s="1">
        <v>0</v>
      </c>
      <c r="K462" s="1">
        <v>5500000</v>
      </c>
      <c r="L462" s="1">
        <v>0</v>
      </c>
      <c r="M462" s="1">
        <v>400000</v>
      </c>
      <c r="N462" s="1">
        <v>2517803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7852299</v>
      </c>
      <c r="W462" s="1">
        <v>1100000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1798431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3596861</v>
      </c>
      <c r="AM462" s="1">
        <v>0</v>
      </c>
      <c r="AN462" s="1">
        <v>55116665</v>
      </c>
      <c r="AO462" s="1">
        <v>11219163</v>
      </c>
      <c r="AP462" s="1">
        <v>43897502</v>
      </c>
      <c r="AQ462" s="1">
        <v>11023333</v>
      </c>
      <c r="AR462" s="1">
        <v>1653500</v>
      </c>
      <c r="AS462" s="1">
        <v>0</v>
      </c>
      <c r="AT462" s="1">
        <f t="shared" si="47"/>
        <v>67793498</v>
      </c>
    </row>
    <row r="463" spans="1:46">
      <c r="A463" s="1" t="str">
        <f>"00525"</f>
        <v>00525</v>
      </c>
      <c r="B463" s="1" t="str">
        <f>"روح اله"</f>
        <v>روح اله</v>
      </c>
      <c r="C463" s="1" t="str">
        <f>"اسيري"</f>
        <v>اسيري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11994616</v>
      </c>
      <c r="G463" s="1">
        <v>0</v>
      </c>
      <c r="H463" s="1">
        <v>0</v>
      </c>
      <c r="I463" s="1">
        <v>10941565</v>
      </c>
      <c r="J463" s="1">
        <v>0</v>
      </c>
      <c r="K463" s="1">
        <v>4620000</v>
      </c>
      <c r="L463" s="1">
        <v>0</v>
      </c>
      <c r="M463" s="1">
        <v>400000</v>
      </c>
      <c r="N463" s="1">
        <v>2280211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1270000</v>
      </c>
      <c r="U463" s="1">
        <v>0</v>
      </c>
      <c r="V463" s="1">
        <v>7403084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1628722</v>
      </c>
      <c r="AF463" s="1">
        <v>1111269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5342209</v>
      </c>
      <c r="AM463" s="1">
        <v>0</v>
      </c>
      <c r="AN463" s="1">
        <v>48091676</v>
      </c>
      <c r="AO463" s="1">
        <v>10661257</v>
      </c>
      <c r="AP463" s="1">
        <v>37430419</v>
      </c>
      <c r="AQ463" s="1">
        <v>9142081</v>
      </c>
      <c r="AR463" s="1">
        <v>1371312</v>
      </c>
      <c r="AS463" s="1">
        <v>0</v>
      </c>
      <c r="AT463" s="1">
        <f t="shared" si="47"/>
        <v>58605069</v>
      </c>
    </row>
    <row r="464" spans="1:46">
      <c r="A464" s="1" t="str">
        <f>"00526"</f>
        <v>00526</v>
      </c>
      <c r="B464" s="1" t="str">
        <f>"سارا"</f>
        <v>سارا</v>
      </c>
      <c r="C464" s="1" t="str">
        <f>"اميدي"</f>
        <v>اميدي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6302820</v>
      </c>
      <c r="G464" s="1">
        <v>0</v>
      </c>
      <c r="H464" s="1">
        <v>0</v>
      </c>
      <c r="I464" s="1">
        <v>4623372</v>
      </c>
      <c r="J464" s="1">
        <v>0</v>
      </c>
      <c r="K464" s="1">
        <v>1848000</v>
      </c>
      <c r="L464" s="1">
        <v>0</v>
      </c>
      <c r="M464" s="1">
        <v>213333</v>
      </c>
      <c r="N464" s="1">
        <v>1159453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1270000</v>
      </c>
      <c r="U464" s="1">
        <v>0</v>
      </c>
      <c r="V464" s="1">
        <v>1415610</v>
      </c>
      <c r="W464" s="1">
        <v>586667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828181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1242271</v>
      </c>
      <c r="AM464" s="1">
        <v>0</v>
      </c>
      <c r="AN464" s="1">
        <v>19489707</v>
      </c>
      <c r="AO464" s="1">
        <v>9085295</v>
      </c>
      <c r="AP464" s="1">
        <v>10404412</v>
      </c>
      <c r="AQ464" s="1">
        <v>3643941</v>
      </c>
      <c r="AR464" s="1">
        <v>546591</v>
      </c>
      <c r="AS464" s="1">
        <v>0</v>
      </c>
      <c r="AT464" s="1">
        <f t="shared" si="47"/>
        <v>23680239</v>
      </c>
    </row>
    <row r="465" spans="1:46">
      <c r="A465" s="1" t="str">
        <f>"00527"</f>
        <v>00527</v>
      </c>
      <c r="B465" s="1" t="str">
        <f>"اسحاق"</f>
        <v>اسحاق</v>
      </c>
      <c r="C465" s="1" t="str">
        <f>"غلامي"</f>
        <v>غلامي</v>
      </c>
      <c r="D465" s="1" t="str">
        <f>"قراردادي کارگري"</f>
        <v>قراردادي کارگري</v>
      </c>
      <c r="E465" s="1" t="str">
        <f>"پروژه تعميرات نيروگاه بوشهر"</f>
        <v>پروژه تعميرات نيروگاه بوشهر</v>
      </c>
      <c r="F465" s="1">
        <v>5380411</v>
      </c>
      <c r="G465" s="1">
        <v>6440080</v>
      </c>
      <c r="H465" s="1">
        <v>0</v>
      </c>
      <c r="I465" s="1">
        <v>4089112</v>
      </c>
      <c r="J465" s="1">
        <v>0</v>
      </c>
      <c r="K465" s="1">
        <v>0</v>
      </c>
      <c r="L465" s="1">
        <v>3620700</v>
      </c>
      <c r="M465" s="1">
        <v>400000</v>
      </c>
      <c r="N465" s="1">
        <v>2831795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1742202</v>
      </c>
      <c r="W465" s="1">
        <v>1100000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25604300</v>
      </c>
      <c r="AO465" s="1">
        <v>3188420</v>
      </c>
      <c r="AP465" s="1">
        <v>22415880</v>
      </c>
      <c r="AQ465" s="1">
        <v>5120860</v>
      </c>
      <c r="AR465" s="1">
        <v>768129</v>
      </c>
      <c r="AS465" s="1">
        <v>390000</v>
      </c>
      <c r="AT465" s="1">
        <f t="shared" si="47"/>
        <v>31883289</v>
      </c>
    </row>
    <row r="466" spans="1:46">
      <c r="A466" s="1" t="str">
        <f>"00528"</f>
        <v>00528</v>
      </c>
      <c r="B466" s="1" t="str">
        <f>"ميلاد"</f>
        <v>ميلاد</v>
      </c>
      <c r="C466" s="1" t="str">
        <f>"بيژندي"</f>
        <v>بيژندي</v>
      </c>
      <c r="D466" s="1" t="str">
        <f t="shared" ref="D466:D498" si="51">"قراردادي بهره بردار"</f>
        <v>قراردادي بهره بردار</v>
      </c>
      <c r="E466" s="1" t="str">
        <f t="shared" ref="E466:E497" si="52">"پروژه بهره برداري نيروگاه بوشهر"</f>
        <v>پروژه بهره برداري نيروگاه بوشهر</v>
      </c>
      <c r="F466" s="1">
        <v>11393167</v>
      </c>
      <c r="G466" s="1">
        <v>5274458</v>
      </c>
      <c r="H466" s="1">
        <v>0</v>
      </c>
      <c r="I466" s="1">
        <v>8433442</v>
      </c>
      <c r="J466" s="1">
        <v>0</v>
      </c>
      <c r="K466" s="1">
        <v>0</v>
      </c>
      <c r="L466" s="1">
        <v>0</v>
      </c>
      <c r="M466" s="1">
        <v>400000</v>
      </c>
      <c r="N466" s="1">
        <v>2082802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1270000</v>
      </c>
      <c r="U466" s="1">
        <v>0</v>
      </c>
      <c r="V466" s="1">
        <v>10855463</v>
      </c>
      <c r="W466" s="1">
        <v>1100000</v>
      </c>
      <c r="X466" s="1">
        <v>1708975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1487715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8297658</v>
      </c>
      <c r="AM466" s="1">
        <v>0</v>
      </c>
      <c r="AN466" s="1">
        <v>52303680</v>
      </c>
      <c r="AO466" s="1">
        <v>7416555</v>
      </c>
      <c r="AP466" s="1">
        <v>44887125</v>
      </c>
      <c r="AQ466" s="1">
        <v>10206736</v>
      </c>
      <c r="AR466" s="1">
        <v>1531010</v>
      </c>
      <c r="AS466" s="1">
        <v>0</v>
      </c>
      <c r="AT466" s="1">
        <f t="shared" si="47"/>
        <v>64041426</v>
      </c>
    </row>
    <row r="467" spans="1:46">
      <c r="A467" s="1" t="str">
        <f>"00530"</f>
        <v>00530</v>
      </c>
      <c r="B467" s="1" t="str">
        <f>"مهدي"</f>
        <v>مهدي</v>
      </c>
      <c r="C467" s="1" t="str">
        <f>"حسامي سعيدلو"</f>
        <v>حسامي سعيدلو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11112690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400000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1100000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12612690</v>
      </c>
      <c r="AO467" s="1">
        <v>926888</v>
      </c>
      <c r="AP467" s="1">
        <v>11685802</v>
      </c>
      <c r="AQ467" s="1">
        <v>2522538</v>
      </c>
      <c r="AR467" s="1">
        <v>378381</v>
      </c>
      <c r="AS467" s="1">
        <v>0</v>
      </c>
      <c r="AT467" s="1">
        <f t="shared" si="47"/>
        <v>15513609</v>
      </c>
    </row>
    <row r="468" spans="1:46">
      <c r="A468" s="1" t="str">
        <f>"00531"</f>
        <v>00531</v>
      </c>
      <c r="B468" s="1" t="str">
        <f>"مسعود"</f>
        <v>مسعود</v>
      </c>
      <c r="C468" s="1" t="str">
        <f>"حسين آبادي"</f>
        <v>حسين آبادي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12082044</v>
      </c>
      <c r="G468" s="1">
        <v>19085213</v>
      </c>
      <c r="H468" s="1">
        <v>0</v>
      </c>
      <c r="I468" s="1">
        <v>10875212</v>
      </c>
      <c r="J468" s="1">
        <v>0</v>
      </c>
      <c r="K468" s="1">
        <v>4620000</v>
      </c>
      <c r="L468" s="1">
        <v>0</v>
      </c>
      <c r="M468" s="1">
        <v>400000</v>
      </c>
      <c r="N468" s="1">
        <v>2350479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1270000</v>
      </c>
      <c r="U468" s="1">
        <v>0</v>
      </c>
      <c r="V468" s="1">
        <v>11680719</v>
      </c>
      <c r="W468" s="1">
        <v>1100000</v>
      </c>
      <c r="X468" s="1">
        <v>1812307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1678914</v>
      </c>
      <c r="AF468" s="1">
        <v>1111269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9803015</v>
      </c>
      <c r="AM468" s="1">
        <v>0</v>
      </c>
      <c r="AN468" s="1">
        <v>77869172</v>
      </c>
      <c r="AO468" s="1">
        <v>14824657</v>
      </c>
      <c r="AP468" s="1">
        <v>63044515</v>
      </c>
      <c r="AQ468" s="1">
        <v>15097581</v>
      </c>
      <c r="AR468" s="1">
        <v>2264637</v>
      </c>
      <c r="AS468" s="1">
        <v>0</v>
      </c>
      <c r="AT468" s="1">
        <f t="shared" si="47"/>
        <v>95231390</v>
      </c>
    </row>
    <row r="469" spans="1:46">
      <c r="A469" s="1" t="str">
        <f>"00533"</f>
        <v>00533</v>
      </c>
      <c r="B469" s="1" t="str">
        <f>"نيما"</f>
        <v>نيما</v>
      </c>
      <c r="C469" s="1" t="str">
        <f>"درست کار"</f>
        <v>درست کار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14931273</v>
      </c>
      <c r="G469" s="1">
        <v>8811786</v>
      </c>
      <c r="H469" s="1">
        <v>0</v>
      </c>
      <c r="I469" s="1">
        <v>11260342</v>
      </c>
      <c r="J469" s="1">
        <v>0</v>
      </c>
      <c r="K469" s="1">
        <v>5500000</v>
      </c>
      <c r="L469" s="1">
        <v>0</v>
      </c>
      <c r="M469" s="1">
        <v>400000</v>
      </c>
      <c r="N469" s="1">
        <v>2471145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1270000</v>
      </c>
      <c r="U469" s="1">
        <v>0</v>
      </c>
      <c r="V469" s="1">
        <v>11915610</v>
      </c>
      <c r="W469" s="1">
        <v>1100000</v>
      </c>
      <c r="X469" s="1">
        <v>2239691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1765103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8009588</v>
      </c>
      <c r="AM469" s="1">
        <v>0</v>
      </c>
      <c r="AN469" s="1">
        <v>69674538</v>
      </c>
      <c r="AO469" s="1">
        <v>14835203</v>
      </c>
      <c r="AP469" s="1">
        <v>54839335</v>
      </c>
      <c r="AQ469" s="1">
        <v>13680908</v>
      </c>
      <c r="AR469" s="1">
        <v>2052136</v>
      </c>
      <c r="AS469" s="1">
        <v>0</v>
      </c>
      <c r="AT469" s="1">
        <f t="shared" si="47"/>
        <v>85407582</v>
      </c>
    </row>
    <row r="470" spans="1:46">
      <c r="A470" s="1" t="str">
        <f>"00534"</f>
        <v>00534</v>
      </c>
      <c r="B470" s="1" t="str">
        <f>"اكرم"</f>
        <v>اكرم</v>
      </c>
      <c r="C470" s="1" t="str">
        <f>"درويشي"</f>
        <v>درويشي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10917235</v>
      </c>
      <c r="G470" s="1">
        <v>0</v>
      </c>
      <c r="H470" s="1">
        <v>0</v>
      </c>
      <c r="I470" s="1">
        <v>7689041</v>
      </c>
      <c r="J470" s="1">
        <v>0</v>
      </c>
      <c r="K470" s="1">
        <v>3465000</v>
      </c>
      <c r="L470" s="1">
        <v>0</v>
      </c>
      <c r="M470" s="1">
        <v>400000</v>
      </c>
      <c r="N470" s="1">
        <v>2070941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1270000</v>
      </c>
      <c r="U470" s="1">
        <v>0</v>
      </c>
      <c r="V470" s="1">
        <v>2437533</v>
      </c>
      <c r="W470" s="1">
        <v>1100000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1479244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2218866</v>
      </c>
      <c r="AM470" s="1">
        <v>0</v>
      </c>
      <c r="AN470" s="1">
        <v>33047860</v>
      </c>
      <c r="AO470" s="1">
        <v>12542036</v>
      </c>
      <c r="AP470" s="1">
        <v>20505824</v>
      </c>
      <c r="AQ470" s="1">
        <v>6355572</v>
      </c>
      <c r="AR470" s="1">
        <v>953336</v>
      </c>
      <c r="AS470" s="1">
        <v>0</v>
      </c>
      <c r="AT470" s="1">
        <f t="shared" si="47"/>
        <v>40356768</v>
      </c>
    </row>
    <row r="471" spans="1:46">
      <c r="A471" s="1" t="str">
        <f>"00535"</f>
        <v>00535</v>
      </c>
      <c r="B471" s="1" t="str">
        <f>"اسماء"</f>
        <v>اسماء</v>
      </c>
      <c r="C471" s="1" t="str">
        <f>"دولتي"</f>
        <v>دولتي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10677821</v>
      </c>
      <c r="G471" s="1">
        <v>184594</v>
      </c>
      <c r="H471" s="1">
        <v>0</v>
      </c>
      <c r="I471" s="1">
        <v>7059869</v>
      </c>
      <c r="J471" s="1">
        <v>0</v>
      </c>
      <c r="K471" s="1">
        <v>3465000</v>
      </c>
      <c r="L471" s="1">
        <v>0</v>
      </c>
      <c r="M471" s="1">
        <v>400000</v>
      </c>
      <c r="N471" s="1">
        <v>1758896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2301438</v>
      </c>
      <c r="W471" s="1">
        <v>1100000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1256354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2261437</v>
      </c>
      <c r="AM471" s="1">
        <v>0</v>
      </c>
      <c r="AN471" s="1">
        <v>30465409</v>
      </c>
      <c r="AO471" s="1">
        <v>8643752</v>
      </c>
      <c r="AP471" s="1">
        <v>21821657</v>
      </c>
      <c r="AQ471" s="1">
        <v>6093082</v>
      </c>
      <c r="AR471" s="1">
        <v>913962</v>
      </c>
      <c r="AS471" s="1">
        <v>0</v>
      </c>
      <c r="AT471" s="1">
        <f t="shared" si="47"/>
        <v>37472453</v>
      </c>
    </row>
    <row r="472" spans="1:46">
      <c r="A472" s="1" t="str">
        <f>"00536"</f>
        <v>00536</v>
      </c>
      <c r="B472" s="1" t="str">
        <f>"سجاد"</f>
        <v>سجاد</v>
      </c>
      <c r="C472" s="1" t="str">
        <f>"دهقاني فتح ابادي"</f>
        <v>دهقاني فتح ابادي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11737749</v>
      </c>
      <c r="G472" s="1">
        <v>5352050</v>
      </c>
      <c r="H472" s="1">
        <v>0</v>
      </c>
      <c r="I472" s="1">
        <v>9236658</v>
      </c>
      <c r="J472" s="1">
        <v>0</v>
      </c>
      <c r="K472" s="1">
        <v>4620000</v>
      </c>
      <c r="L472" s="1">
        <v>0</v>
      </c>
      <c r="M472" s="1">
        <v>400000</v>
      </c>
      <c r="N472" s="1">
        <v>2195547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1270000</v>
      </c>
      <c r="U472" s="1">
        <v>0</v>
      </c>
      <c r="V472" s="1">
        <v>7625066</v>
      </c>
      <c r="W472" s="1">
        <v>1100000</v>
      </c>
      <c r="X472" s="1">
        <v>1760662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1568248</v>
      </c>
      <c r="AF472" s="1">
        <v>2222538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8414258</v>
      </c>
      <c r="AM472" s="1">
        <v>0</v>
      </c>
      <c r="AN472" s="1">
        <v>57502776</v>
      </c>
      <c r="AO472" s="1">
        <v>9344871</v>
      </c>
      <c r="AP472" s="1">
        <v>48157905</v>
      </c>
      <c r="AQ472" s="1">
        <v>10802048</v>
      </c>
      <c r="AR472" s="1">
        <v>1620307</v>
      </c>
      <c r="AS472" s="1">
        <v>0</v>
      </c>
      <c r="AT472" s="1">
        <f t="shared" si="47"/>
        <v>69925131</v>
      </c>
    </row>
    <row r="473" spans="1:46">
      <c r="A473" s="1" t="str">
        <f>"00537"</f>
        <v>00537</v>
      </c>
      <c r="B473" s="1" t="str">
        <f>"حمزه"</f>
        <v>حمزه</v>
      </c>
      <c r="C473" s="1" t="str">
        <f>"ذبيحي"</f>
        <v>ذبيحي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15470373</v>
      </c>
      <c r="G473" s="1">
        <v>11586732</v>
      </c>
      <c r="H473" s="1">
        <v>0</v>
      </c>
      <c r="I473" s="1">
        <v>11962578</v>
      </c>
      <c r="J473" s="1">
        <v>0</v>
      </c>
      <c r="K473" s="1">
        <v>4125000</v>
      </c>
      <c r="L473" s="1">
        <v>0</v>
      </c>
      <c r="M473" s="1">
        <v>400000</v>
      </c>
      <c r="N473" s="1">
        <v>2659830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12534393</v>
      </c>
      <c r="W473" s="1">
        <v>1100000</v>
      </c>
      <c r="X473" s="1">
        <v>2320556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1899878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8440868</v>
      </c>
      <c r="AM473" s="1">
        <v>0</v>
      </c>
      <c r="AN473" s="1">
        <v>72500208</v>
      </c>
      <c r="AO473" s="1">
        <v>10784933</v>
      </c>
      <c r="AP473" s="1">
        <v>61715275</v>
      </c>
      <c r="AQ473" s="1">
        <v>14500042</v>
      </c>
      <c r="AR473" s="1">
        <v>2175006</v>
      </c>
      <c r="AS473" s="1">
        <v>0</v>
      </c>
      <c r="AT473" s="1">
        <f t="shared" si="47"/>
        <v>89175256</v>
      </c>
    </row>
    <row r="474" spans="1:46">
      <c r="A474" s="1" t="str">
        <f>"00538"</f>
        <v>00538</v>
      </c>
      <c r="B474" s="1" t="str">
        <f>"مهرزاد"</f>
        <v>مهرزاد</v>
      </c>
      <c r="C474" s="1" t="str">
        <f>"رزمجوئي"</f>
        <v>رزمجوئي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15743946</v>
      </c>
      <c r="G474" s="1">
        <v>3186710</v>
      </c>
      <c r="H474" s="1">
        <v>0</v>
      </c>
      <c r="I474" s="1">
        <v>8006980</v>
      </c>
      <c r="J474" s="1">
        <v>0</v>
      </c>
      <c r="K474" s="1">
        <v>0</v>
      </c>
      <c r="L474" s="1">
        <v>0</v>
      </c>
      <c r="M474" s="1">
        <v>400000</v>
      </c>
      <c r="N474" s="1">
        <v>2648694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3056185</v>
      </c>
      <c r="W474" s="1">
        <v>1100000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1891925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2270309</v>
      </c>
      <c r="AM474" s="1">
        <v>0</v>
      </c>
      <c r="AN474" s="1">
        <v>38304749</v>
      </c>
      <c r="AO474" s="1">
        <v>30118288</v>
      </c>
      <c r="AP474" s="1">
        <v>8186461</v>
      </c>
      <c r="AQ474" s="1">
        <v>7660950</v>
      </c>
      <c r="AR474" s="1">
        <v>1149142</v>
      </c>
      <c r="AS474" s="1">
        <v>0</v>
      </c>
      <c r="AT474" s="1">
        <f t="shared" si="47"/>
        <v>47114841</v>
      </c>
    </row>
    <row r="475" spans="1:46">
      <c r="A475" s="1" t="str">
        <f>"00539"</f>
        <v>00539</v>
      </c>
      <c r="B475" s="1" t="str">
        <f>"صابر"</f>
        <v>صابر</v>
      </c>
      <c r="C475" s="1" t="str">
        <f>"رفيعي"</f>
        <v>رفيعي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15094614</v>
      </c>
      <c r="G475" s="1">
        <v>7005239</v>
      </c>
      <c r="H475" s="1">
        <v>0</v>
      </c>
      <c r="I475" s="1">
        <v>11091198</v>
      </c>
      <c r="J475" s="1">
        <v>0</v>
      </c>
      <c r="K475" s="1">
        <v>5500000</v>
      </c>
      <c r="L475" s="1">
        <v>0</v>
      </c>
      <c r="M475" s="1">
        <v>400000</v>
      </c>
      <c r="N475" s="1">
        <v>2473493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7810720</v>
      </c>
      <c r="W475" s="1">
        <v>1100000</v>
      </c>
      <c r="X475" s="1">
        <v>1827454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1766781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3533562</v>
      </c>
      <c r="AM475" s="1">
        <v>0</v>
      </c>
      <c r="AN475" s="1">
        <v>57603061</v>
      </c>
      <c r="AO475" s="1">
        <v>10915478</v>
      </c>
      <c r="AP475" s="1">
        <v>46687583</v>
      </c>
      <c r="AQ475" s="1">
        <v>11520612</v>
      </c>
      <c r="AR475" s="1">
        <v>1728092</v>
      </c>
      <c r="AS475" s="1">
        <v>0</v>
      </c>
      <c r="AT475" s="1">
        <f t="shared" si="47"/>
        <v>70851765</v>
      </c>
    </row>
    <row r="476" spans="1:46">
      <c r="A476" s="1" t="str">
        <f>"00540"</f>
        <v>00540</v>
      </c>
      <c r="B476" s="1" t="str">
        <f>"قنبر"</f>
        <v>قنبر</v>
      </c>
      <c r="C476" s="1" t="str">
        <f>"رئيسي"</f>
        <v>رئيسي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10939186</v>
      </c>
      <c r="G476" s="1">
        <v>5896924</v>
      </c>
      <c r="H476" s="1">
        <v>0</v>
      </c>
      <c r="I476" s="1">
        <v>8132295</v>
      </c>
      <c r="J476" s="1">
        <v>0</v>
      </c>
      <c r="K476" s="1">
        <v>4620000</v>
      </c>
      <c r="L476" s="1">
        <v>0</v>
      </c>
      <c r="M476" s="1">
        <v>400000</v>
      </c>
      <c r="N476" s="1">
        <v>1898462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1270000</v>
      </c>
      <c r="U476" s="1">
        <v>0</v>
      </c>
      <c r="V476" s="1">
        <v>6812962</v>
      </c>
      <c r="W476" s="1">
        <v>1100000</v>
      </c>
      <c r="X476" s="1">
        <v>1640878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1356044</v>
      </c>
      <c r="AF476" s="1">
        <v>1111269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7621097</v>
      </c>
      <c r="AM476" s="1">
        <v>0</v>
      </c>
      <c r="AN476" s="1">
        <v>52799117</v>
      </c>
      <c r="AO476" s="1">
        <v>13065884</v>
      </c>
      <c r="AP476" s="1">
        <v>39733233</v>
      </c>
      <c r="AQ476" s="1">
        <v>10083570</v>
      </c>
      <c r="AR476" s="1">
        <v>1512535</v>
      </c>
      <c r="AS476" s="1">
        <v>0</v>
      </c>
      <c r="AT476" s="1">
        <f t="shared" si="47"/>
        <v>64395222</v>
      </c>
    </row>
    <row r="477" spans="1:46">
      <c r="A477" s="1" t="str">
        <f>"00541"</f>
        <v>00541</v>
      </c>
      <c r="B477" s="1" t="str">
        <f>"وحيد"</f>
        <v>وحيد</v>
      </c>
      <c r="C477" s="1" t="str">
        <f>"زارعي"</f>
        <v>زارعي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14943318</v>
      </c>
      <c r="G477" s="1">
        <v>6706304</v>
      </c>
      <c r="H477" s="1">
        <v>0</v>
      </c>
      <c r="I477" s="1">
        <v>10771454</v>
      </c>
      <c r="J477" s="1">
        <v>0</v>
      </c>
      <c r="K477" s="1">
        <v>5500000</v>
      </c>
      <c r="L477" s="1">
        <v>0</v>
      </c>
      <c r="M477" s="1">
        <v>400000</v>
      </c>
      <c r="N477" s="1">
        <v>2448363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1270000</v>
      </c>
      <c r="U477" s="1">
        <v>0</v>
      </c>
      <c r="V477" s="1">
        <v>12296646</v>
      </c>
      <c r="W477" s="1">
        <v>1100000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1748831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3777475</v>
      </c>
      <c r="AM477" s="1">
        <v>0</v>
      </c>
      <c r="AN477" s="1">
        <v>60962391</v>
      </c>
      <c r="AO477" s="1">
        <v>8169218</v>
      </c>
      <c r="AP477" s="1">
        <v>52793173</v>
      </c>
      <c r="AQ477" s="1">
        <v>11938478</v>
      </c>
      <c r="AR477" s="1">
        <v>1790772</v>
      </c>
      <c r="AS477" s="1">
        <v>0</v>
      </c>
      <c r="AT477" s="1">
        <f t="shared" si="47"/>
        <v>74691641</v>
      </c>
    </row>
    <row r="478" spans="1:46">
      <c r="A478" s="1" t="str">
        <f>"00542"</f>
        <v>00542</v>
      </c>
      <c r="B478" s="1" t="str">
        <f>"سجاد"</f>
        <v>سجاد</v>
      </c>
      <c r="C478" s="1" t="str">
        <f>"سالميان"</f>
        <v>سالميان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14940257</v>
      </c>
      <c r="G478" s="1">
        <v>10475856</v>
      </c>
      <c r="H478" s="1">
        <v>0</v>
      </c>
      <c r="I478" s="1">
        <v>11140198</v>
      </c>
      <c r="J478" s="1">
        <v>0</v>
      </c>
      <c r="K478" s="1">
        <v>5500000</v>
      </c>
      <c r="L478" s="1">
        <v>0</v>
      </c>
      <c r="M478" s="1">
        <v>400000</v>
      </c>
      <c r="N478" s="1">
        <v>2400460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1270000</v>
      </c>
      <c r="U478" s="1">
        <v>0</v>
      </c>
      <c r="V478" s="1">
        <v>6061979</v>
      </c>
      <c r="W478" s="1">
        <v>1100000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1714614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2571921</v>
      </c>
      <c r="AM478" s="1">
        <v>0</v>
      </c>
      <c r="AN478" s="1">
        <v>57575285</v>
      </c>
      <c r="AO478" s="1">
        <v>12610297</v>
      </c>
      <c r="AP478" s="1">
        <v>44964988</v>
      </c>
      <c r="AQ478" s="1">
        <v>11261057</v>
      </c>
      <c r="AR478" s="1">
        <v>1689159</v>
      </c>
      <c r="AS478" s="1">
        <v>0</v>
      </c>
      <c r="AT478" s="1">
        <f t="shared" si="47"/>
        <v>70525501</v>
      </c>
    </row>
    <row r="479" spans="1:46">
      <c r="A479" s="1" t="str">
        <f>"00545"</f>
        <v>00545</v>
      </c>
      <c r="B479" s="1" t="str">
        <f>"ميثم"</f>
        <v>ميثم</v>
      </c>
      <c r="C479" s="1" t="str">
        <f>"شاپورجاني"</f>
        <v>شاپورجاني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11860510</v>
      </c>
      <c r="G479" s="1">
        <v>4394889</v>
      </c>
      <c r="H479" s="1">
        <v>0</v>
      </c>
      <c r="I479" s="1">
        <v>9200285</v>
      </c>
      <c r="J479" s="1">
        <v>0</v>
      </c>
      <c r="K479" s="1">
        <v>4620000</v>
      </c>
      <c r="L479" s="1">
        <v>0</v>
      </c>
      <c r="M479" s="1">
        <v>400000</v>
      </c>
      <c r="N479" s="1">
        <v>2235893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1270000</v>
      </c>
      <c r="U479" s="1">
        <v>0</v>
      </c>
      <c r="V479" s="1">
        <v>7513678</v>
      </c>
      <c r="W479" s="1">
        <v>1100000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1597067</v>
      </c>
      <c r="AF479" s="1">
        <v>1111269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7774410</v>
      </c>
      <c r="AM479" s="1">
        <v>0</v>
      </c>
      <c r="AN479" s="1">
        <v>53078001</v>
      </c>
      <c r="AO479" s="1">
        <v>14192608</v>
      </c>
      <c r="AP479" s="1">
        <v>38885393</v>
      </c>
      <c r="AQ479" s="1">
        <v>10139346</v>
      </c>
      <c r="AR479" s="1">
        <v>1520902</v>
      </c>
      <c r="AS479" s="1">
        <v>0</v>
      </c>
      <c r="AT479" s="1">
        <f t="shared" si="47"/>
        <v>64738249</v>
      </c>
    </row>
    <row r="480" spans="1:46">
      <c r="A480" s="1" t="str">
        <f>"00546"</f>
        <v>00546</v>
      </c>
      <c r="B480" s="1" t="str">
        <f>"عليرضا"</f>
        <v>عليرضا</v>
      </c>
      <c r="C480" s="1" t="str">
        <f>"شفيعي"</f>
        <v>شفيعي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12088506</v>
      </c>
      <c r="G480" s="1">
        <v>6624863</v>
      </c>
      <c r="H480" s="1">
        <v>0</v>
      </c>
      <c r="I480" s="1">
        <v>9066460</v>
      </c>
      <c r="J480" s="1">
        <v>0</v>
      </c>
      <c r="K480" s="1">
        <v>4620000</v>
      </c>
      <c r="L480" s="1">
        <v>0</v>
      </c>
      <c r="M480" s="1">
        <v>400000</v>
      </c>
      <c r="N480" s="1">
        <v>2075858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1270000</v>
      </c>
      <c r="U480" s="1">
        <v>0</v>
      </c>
      <c r="V480" s="1">
        <v>5065770</v>
      </c>
      <c r="W480" s="1">
        <v>1100000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1482755</v>
      </c>
      <c r="AF480" s="1">
        <v>1111269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2668960</v>
      </c>
      <c r="AM480" s="1">
        <v>0</v>
      </c>
      <c r="AN480" s="1">
        <v>47574441</v>
      </c>
      <c r="AO480" s="1">
        <v>8368857</v>
      </c>
      <c r="AP480" s="1">
        <v>39205584</v>
      </c>
      <c r="AQ480" s="1">
        <v>9038634</v>
      </c>
      <c r="AR480" s="1">
        <v>1355795</v>
      </c>
      <c r="AS480" s="1">
        <v>0</v>
      </c>
      <c r="AT480" s="1">
        <f t="shared" si="47"/>
        <v>57968870</v>
      </c>
    </row>
    <row r="481" spans="1:46">
      <c r="A481" s="1" t="str">
        <f>"00547"</f>
        <v>00547</v>
      </c>
      <c r="B481" s="1" t="str">
        <f>"حبيب اله"</f>
        <v>حبيب اله</v>
      </c>
      <c r="C481" s="1" t="str">
        <f>"صالحي"</f>
        <v>صالحي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11018810</v>
      </c>
      <c r="G481" s="1">
        <v>10790159</v>
      </c>
      <c r="H481" s="1">
        <v>0</v>
      </c>
      <c r="I481" s="1">
        <v>8746413</v>
      </c>
      <c r="J481" s="1">
        <v>0</v>
      </c>
      <c r="K481" s="1">
        <v>4620000</v>
      </c>
      <c r="L481" s="1">
        <v>0</v>
      </c>
      <c r="M481" s="1">
        <v>400000</v>
      </c>
      <c r="N481" s="1">
        <v>1956081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1270000</v>
      </c>
      <c r="U481" s="1">
        <v>0</v>
      </c>
      <c r="V481" s="1">
        <v>13298795</v>
      </c>
      <c r="W481" s="1">
        <v>1100000</v>
      </c>
      <c r="X481" s="1">
        <v>1652822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1397201</v>
      </c>
      <c r="AF481" s="1">
        <v>1111269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7106029</v>
      </c>
      <c r="AM481" s="1">
        <v>0</v>
      </c>
      <c r="AN481" s="1">
        <v>64467579</v>
      </c>
      <c r="AO481" s="1">
        <v>16621274</v>
      </c>
      <c r="AP481" s="1">
        <v>47846305</v>
      </c>
      <c r="AQ481" s="1">
        <v>12417262</v>
      </c>
      <c r="AR481" s="1">
        <v>1862589</v>
      </c>
      <c r="AS481" s="1">
        <v>0</v>
      </c>
      <c r="AT481" s="1">
        <f t="shared" si="47"/>
        <v>78747430</v>
      </c>
    </row>
    <row r="482" spans="1:46">
      <c r="A482" s="1" t="str">
        <f>"00548"</f>
        <v>00548</v>
      </c>
      <c r="B482" s="1" t="str">
        <f>"خالد"</f>
        <v>خالد</v>
      </c>
      <c r="C482" s="1" t="str">
        <f>"طاهرپور"</f>
        <v>طاهرپور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15236158</v>
      </c>
      <c r="G482" s="1">
        <v>8415723</v>
      </c>
      <c r="H482" s="1">
        <v>0</v>
      </c>
      <c r="I482" s="1">
        <v>11229296</v>
      </c>
      <c r="J482" s="1">
        <v>0</v>
      </c>
      <c r="K482" s="1">
        <v>5500000</v>
      </c>
      <c r="L482" s="1">
        <v>0</v>
      </c>
      <c r="M482" s="1">
        <v>400000</v>
      </c>
      <c r="N482" s="1">
        <v>2564907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1270000</v>
      </c>
      <c r="U482" s="1">
        <v>0</v>
      </c>
      <c r="V482" s="1">
        <v>8992411</v>
      </c>
      <c r="W482" s="1">
        <v>1100000</v>
      </c>
      <c r="X482" s="1">
        <v>2285424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1832076</v>
      </c>
      <c r="AF482" s="1">
        <v>1111269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8235000</v>
      </c>
      <c r="AM482" s="1">
        <v>0</v>
      </c>
      <c r="AN482" s="1">
        <v>68172264</v>
      </c>
      <c r="AO482" s="1">
        <v>13726423</v>
      </c>
      <c r="AP482" s="1">
        <v>54445841</v>
      </c>
      <c r="AQ482" s="1">
        <v>13158199</v>
      </c>
      <c r="AR482" s="1">
        <v>1973730</v>
      </c>
      <c r="AS482" s="1">
        <v>0</v>
      </c>
      <c r="AT482" s="1">
        <f t="shared" si="47"/>
        <v>83304193</v>
      </c>
    </row>
    <row r="483" spans="1:46">
      <c r="A483" s="1" t="str">
        <f>"00549"</f>
        <v>00549</v>
      </c>
      <c r="B483" s="1" t="str">
        <f>"مسعود"</f>
        <v>مسعود</v>
      </c>
      <c r="C483" s="1" t="str">
        <f>"ظاهري حقيقي"</f>
        <v>ظاهري حقيقي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11014419</v>
      </c>
      <c r="G483" s="1">
        <v>3488951</v>
      </c>
      <c r="H483" s="1">
        <v>0</v>
      </c>
      <c r="I483" s="1">
        <v>8741265</v>
      </c>
      <c r="J483" s="1">
        <v>0</v>
      </c>
      <c r="K483" s="1">
        <v>3465000</v>
      </c>
      <c r="L483" s="1">
        <v>0</v>
      </c>
      <c r="M483" s="1">
        <v>400000</v>
      </c>
      <c r="N483" s="1">
        <v>1954357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13291243</v>
      </c>
      <c r="W483" s="1">
        <v>1100000</v>
      </c>
      <c r="X483" s="1">
        <v>1652163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1395969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7101361</v>
      </c>
      <c r="AM483" s="1">
        <v>0</v>
      </c>
      <c r="AN483" s="1">
        <v>53604728</v>
      </c>
      <c r="AO483" s="1">
        <v>8720492</v>
      </c>
      <c r="AP483" s="1">
        <v>44884236</v>
      </c>
      <c r="AQ483" s="1">
        <v>10720946</v>
      </c>
      <c r="AR483" s="1">
        <v>1608142</v>
      </c>
      <c r="AS483" s="1">
        <v>0</v>
      </c>
      <c r="AT483" s="1">
        <f t="shared" si="47"/>
        <v>65933816</v>
      </c>
    </row>
    <row r="484" spans="1:46">
      <c r="A484" s="1" t="str">
        <f>"00550"</f>
        <v>00550</v>
      </c>
      <c r="B484" s="1" t="str">
        <f>"جواد"</f>
        <v>جواد</v>
      </c>
      <c r="C484" s="1" t="str">
        <f>"عفيف"</f>
        <v>عفيف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11668783</v>
      </c>
      <c r="G484" s="1">
        <v>6868184</v>
      </c>
      <c r="H484" s="1">
        <v>0</v>
      </c>
      <c r="I484" s="1">
        <v>8890585</v>
      </c>
      <c r="J484" s="1">
        <v>0</v>
      </c>
      <c r="K484" s="1">
        <v>3465000</v>
      </c>
      <c r="L484" s="1">
        <v>0</v>
      </c>
      <c r="M484" s="1">
        <v>400000</v>
      </c>
      <c r="N484" s="1">
        <v>2130993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1270000</v>
      </c>
      <c r="U484" s="1">
        <v>0</v>
      </c>
      <c r="V484" s="1">
        <v>4901706</v>
      </c>
      <c r="W484" s="1">
        <v>1100000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1522138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2283206</v>
      </c>
      <c r="AM484" s="1">
        <v>0</v>
      </c>
      <c r="AN484" s="1">
        <v>44500595</v>
      </c>
      <c r="AO484" s="1">
        <v>8494162</v>
      </c>
      <c r="AP484" s="1">
        <v>36006433</v>
      </c>
      <c r="AQ484" s="1">
        <v>8646119</v>
      </c>
      <c r="AR484" s="1">
        <v>1296918</v>
      </c>
      <c r="AS484" s="1">
        <v>0</v>
      </c>
      <c r="AT484" s="1">
        <f t="shared" si="47"/>
        <v>54443632</v>
      </c>
    </row>
    <row r="485" spans="1:46">
      <c r="A485" s="1" t="str">
        <f>"00551"</f>
        <v>00551</v>
      </c>
      <c r="B485" s="1" t="str">
        <f>"سعيد"</f>
        <v>سعيد</v>
      </c>
      <c r="C485" s="1" t="str">
        <f>"فاتحي فر"</f>
        <v>فاتحي فر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11790818</v>
      </c>
      <c r="G485" s="1">
        <v>10950151</v>
      </c>
      <c r="H485" s="1">
        <v>0</v>
      </c>
      <c r="I485" s="1">
        <v>9501205</v>
      </c>
      <c r="J485" s="1">
        <v>0</v>
      </c>
      <c r="K485" s="1">
        <v>4620000</v>
      </c>
      <c r="L485" s="1">
        <v>0</v>
      </c>
      <c r="M485" s="1">
        <v>400000</v>
      </c>
      <c r="N485" s="1">
        <v>2235077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1270000</v>
      </c>
      <c r="U485" s="1">
        <v>0</v>
      </c>
      <c r="V485" s="1">
        <v>11609825</v>
      </c>
      <c r="W485" s="1">
        <v>1100000</v>
      </c>
      <c r="X485" s="1">
        <v>1768623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1596484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8773712</v>
      </c>
      <c r="AM485" s="1">
        <v>0</v>
      </c>
      <c r="AN485" s="1">
        <v>65615895</v>
      </c>
      <c r="AO485" s="1">
        <v>15535983</v>
      </c>
      <c r="AP485" s="1">
        <v>50079912</v>
      </c>
      <c r="AQ485" s="1">
        <v>12869179</v>
      </c>
      <c r="AR485" s="1">
        <v>1930377</v>
      </c>
      <c r="AS485" s="1">
        <v>0</v>
      </c>
      <c r="AT485" s="1">
        <f t="shared" si="47"/>
        <v>80415451</v>
      </c>
    </row>
    <row r="486" spans="1:46">
      <c r="A486" s="1" t="str">
        <f>"00552"</f>
        <v>00552</v>
      </c>
      <c r="B486" s="1" t="str">
        <f>"محمد"</f>
        <v>محمد</v>
      </c>
      <c r="C486" s="1" t="str">
        <f>"قاسمي"</f>
        <v>قاسمي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11683986</v>
      </c>
      <c r="G486" s="1">
        <v>1774407</v>
      </c>
      <c r="H486" s="1">
        <v>0</v>
      </c>
      <c r="I486" s="1">
        <v>9149423</v>
      </c>
      <c r="J486" s="1">
        <v>0</v>
      </c>
      <c r="K486" s="1">
        <v>4620000</v>
      </c>
      <c r="L486" s="1">
        <v>0</v>
      </c>
      <c r="M486" s="1">
        <v>400000</v>
      </c>
      <c r="N486" s="1">
        <v>2175607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1270000</v>
      </c>
      <c r="U486" s="1">
        <v>0</v>
      </c>
      <c r="V486" s="1">
        <v>7516834</v>
      </c>
      <c r="W486" s="1">
        <v>1100000</v>
      </c>
      <c r="X486" s="1">
        <v>1752598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1554005</v>
      </c>
      <c r="AF486" s="1">
        <v>1111269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8478012</v>
      </c>
      <c r="AM486" s="1">
        <v>0</v>
      </c>
      <c r="AN486" s="1">
        <v>52586141</v>
      </c>
      <c r="AO486" s="1">
        <v>11304566</v>
      </c>
      <c r="AP486" s="1">
        <v>41281575</v>
      </c>
      <c r="AQ486" s="1">
        <v>10040974</v>
      </c>
      <c r="AR486" s="1">
        <v>1506146</v>
      </c>
      <c r="AS486" s="1">
        <v>0</v>
      </c>
      <c r="AT486" s="1">
        <f t="shared" si="47"/>
        <v>64133261</v>
      </c>
    </row>
    <row r="487" spans="1:46">
      <c r="A487" s="1" t="str">
        <f>"00553"</f>
        <v>00553</v>
      </c>
      <c r="B487" s="1" t="str">
        <f>"پويا"</f>
        <v>پويا</v>
      </c>
      <c r="C487" s="1" t="str">
        <f>"قباديان"</f>
        <v>قباديان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15720216</v>
      </c>
      <c r="G487" s="1">
        <v>6423449</v>
      </c>
      <c r="H487" s="1">
        <v>0</v>
      </c>
      <c r="I487" s="1">
        <v>11654134</v>
      </c>
      <c r="J487" s="1">
        <v>0</v>
      </c>
      <c r="K487" s="1">
        <v>5500000</v>
      </c>
      <c r="L487" s="1">
        <v>0</v>
      </c>
      <c r="M487" s="1">
        <v>400000</v>
      </c>
      <c r="N487" s="1">
        <v>2707330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8163406</v>
      </c>
      <c r="W487" s="1">
        <v>1100000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1933807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3867615</v>
      </c>
      <c r="AM487" s="1">
        <v>0</v>
      </c>
      <c r="AN487" s="1">
        <v>57469957</v>
      </c>
      <c r="AO487" s="1">
        <v>10899850</v>
      </c>
      <c r="AP487" s="1">
        <v>46570107</v>
      </c>
      <c r="AQ487" s="1">
        <v>11493991</v>
      </c>
      <c r="AR487" s="1">
        <v>1724099</v>
      </c>
      <c r="AS487" s="1">
        <v>0</v>
      </c>
      <c r="AT487" s="1">
        <f t="shared" si="47"/>
        <v>70688047</v>
      </c>
    </row>
    <row r="488" spans="1:46">
      <c r="A488" s="1" t="str">
        <f>"00554"</f>
        <v>00554</v>
      </c>
      <c r="B488" s="1" t="str">
        <f>"امين"</f>
        <v>امين</v>
      </c>
      <c r="C488" s="1" t="str">
        <f>"قجري"</f>
        <v>قجري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11607612</v>
      </c>
      <c r="G488" s="1">
        <v>1981612</v>
      </c>
      <c r="H488" s="1">
        <v>0</v>
      </c>
      <c r="I488" s="1">
        <v>9844559</v>
      </c>
      <c r="J488" s="1">
        <v>0</v>
      </c>
      <c r="K488" s="1">
        <v>4620000</v>
      </c>
      <c r="L488" s="1">
        <v>0</v>
      </c>
      <c r="M488" s="1">
        <v>400000</v>
      </c>
      <c r="N488" s="1">
        <v>2170020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1270000</v>
      </c>
      <c r="U488" s="1">
        <v>0</v>
      </c>
      <c r="V488" s="1">
        <v>11555449</v>
      </c>
      <c r="W488" s="1">
        <v>1100000</v>
      </c>
      <c r="X488" s="1">
        <v>1741142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1550015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8566331</v>
      </c>
      <c r="AM488" s="1">
        <v>0</v>
      </c>
      <c r="AN488" s="1">
        <v>56406740</v>
      </c>
      <c r="AO488" s="1">
        <v>11622022</v>
      </c>
      <c r="AP488" s="1">
        <v>44784718</v>
      </c>
      <c r="AQ488" s="1">
        <v>11027348</v>
      </c>
      <c r="AR488" s="1">
        <v>1654102</v>
      </c>
      <c r="AS488" s="1">
        <v>0</v>
      </c>
      <c r="AT488" s="1">
        <f t="shared" si="47"/>
        <v>69088190</v>
      </c>
    </row>
    <row r="489" spans="1:46">
      <c r="A489" s="1" t="str">
        <f>"00555"</f>
        <v>00555</v>
      </c>
      <c r="B489" s="1" t="str">
        <f>"علي رضا"</f>
        <v>علي رضا</v>
      </c>
      <c r="C489" s="1" t="str">
        <f>"قناتي"</f>
        <v>قناتي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11587546</v>
      </c>
      <c r="G489" s="1">
        <v>8201159</v>
      </c>
      <c r="H489" s="1">
        <v>0</v>
      </c>
      <c r="I489" s="1">
        <v>9280450</v>
      </c>
      <c r="J489" s="1">
        <v>0</v>
      </c>
      <c r="K489" s="1">
        <v>4620000</v>
      </c>
      <c r="L489" s="1">
        <v>0</v>
      </c>
      <c r="M489" s="1">
        <v>400000</v>
      </c>
      <c r="N489" s="1">
        <v>2170107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1270000</v>
      </c>
      <c r="U489" s="1">
        <v>0</v>
      </c>
      <c r="V489" s="1">
        <v>14149096</v>
      </c>
      <c r="W489" s="1">
        <v>1100000</v>
      </c>
      <c r="X489" s="1">
        <v>1738132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1550076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8126493</v>
      </c>
      <c r="AM489" s="1">
        <v>0</v>
      </c>
      <c r="AN489" s="1">
        <v>64193059</v>
      </c>
      <c r="AO489" s="1">
        <v>11906803</v>
      </c>
      <c r="AP489" s="1">
        <v>52286256</v>
      </c>
      <c r="AQ489" s="1">
        <v>12584612</v>
      </c>
      <c r="AR489" s="1">
        <v>1887692</v>
      </c>
      <c r="AS489" s="1">
        <v>0</v>
      </c>
      <c r="AT489" s="1">
        <f t="shared" si="47"/>
        <v>78665363</v>
      </c>
    </row>
    <row r="490" spans="1:46">
      <c r="A490" s="1" t="str">
        <f>"00556"</f>
        <v>00556</v>
      </c>
      <c r="B490" s="1" t="str">
        <f>"سعيد"</f>
        <v>سعيد</v>
      </c>
      <c r="C490" s="1" t="str">
        <f>"ماندني"</f>
        <v>ماندني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11884438</v>
      </c>
      <c r="G490" s="1">
        <v>12948110</v>
      </c>
      <c r="H490" s="1">
        <v>0</v>
      </c>
      <c r="I490" s="1">
        <v>10145635</v>
      </c>
      <c r="J490" s="1">
        <v>0</v>
      </c>
      <c r="K490" s="1">
        <v>3465000</v>
      </c>
      <c r="L490" s="1">
        <v>0</v>
      </c>
      <c r="M490" s="1">
        <v>400000</v>
      </c>
      <c r="N490" s="1">
        <v>2273458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1270000</v>
      </c>
      <c r="U490" s="1">
        <v>0</v>
      </c>
      <c r="V490" s="1">
        <v>11261315</v>
      </c>
      <c r="W490" s="1">
        <v>1100000</v>
      </c>
      <c r="X490" s="1">
        <v>1782666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1623898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9541278</v>
      </c>
      <c r="AM490" s="1">
        <v>0</v>
      </c>
      <c r="AN490" s="1">
        <v>67695798</v>
      </c>
      <c r="AO490" s="1">
        <v>12783802</v>
      </c>
      <c r="AP490" s="1">
        <v>54911996</v>
      </c>
      <c r="AQ490" s="1">
        <v>13285160</v>
      </c>
      <c r="AR490" s="1">
        <v>1992774</v>
      </c>
      <c r="AS490" s="1">
        <v>0</v>
      </c>
      <c r="AT490" s="1">
        <f t="shared" si="47"/>
        <v>82973732</v>
      </c>
    </row>
    <row r="491" spans="1:46">
      <c r="A491" s="1" t="str">
        <f>"00557"</f>
        <v>00557</v>
      </c>
      <c r="B491" s="1" t="str">
        <f>"محمد جواد"</f>
        <v>محمد جواد</v>
      </c>
      <c r="C491" s="1" t="str">
        <f>"مرادي"</f>
        <v>مرادي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15310440</v>
      </c>
      <c r="G491" s="1">
        <v>9852121</v>
      </c>
      <c r="H491" s="1">
        <v>0</v>
      </c>
      <c r="I491" s="1">
        <v>11582531</v>
      </c>
      <c r="J491" s="1">
        <v>0</v>
      </c>
      <c r="K491" s="1">
        <v>0</v>
      </c>
      <c r="L491" s="1">
        <v>0</v>
      </c>
      <c r="M491" s="1">
        <v>400000</v>
      </c>
      <c r="N491" s="1">
        <v>2603853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1270000</v>
      </c>
      <c r="U491" s="1">
        <v>0</v>
      </c>
      <c r="V491" s="1">
        <v>12297589</v>
      </c>
      <c r="W491" s="1">
        <v>1100000</v>
      </c>
      <c r="X491" s="1">
        <v>2296566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1859895</v>
      </c>
      <c r="AF491" s="1">
        <v>1111269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8312922</v>
      </c>
      <c r="AM491" s="1">
        <v>0</v>
      </c>
      <c r="AN491" s="1">
        <v>67997186</v>
      </c>
      <c r="AO491" s="1">
        <v>24149402</v>
      </c>
      <c r="AP491" s="1">
        <v>43847784</v>
      </c>
      <c r="AQ491" s="1">
        <v>13123183</v>
      </c>
      <c r="AR491" s="1">
        <v>1968478</v>
      </c>
      <c r="AS491" s="1">
        <v>0</v>
      </c>
      <c r="AT491" s="1">
        <f t="shared" si="47"/>
        <v>83088847</v>
      </c>
    </row>
    <row r="492" spans="1:46">
      <c r="A492" s="1" t="str">
        <f>"00559"</f>
        <v>00559</v>
      </c>
      <c r="B492" s="1" t="str">
        <f>"رضا"</f>
        <v>رضا</v>
      </c>
      <c r="C492" s="1" t="str">
        <f>"مشکور"</f>
        <v>مشکور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10483817</v>
      </c>
      <c r="G492" s="1">
        <v>9374615</v>
      </c>
      <c r="H492" s="1">
        <v>0</v>
      </c>
      <c r="I492" s="1">
        <v>7857547</v>
      </c>
      <c r="J492" s="1">
        <v>0</v>
      </c>
      <c r="K492" s="1">
        <v>3465000</v>
      </c>
      <c r="L492" s="1">
        <v>0</v>
      </c>
      <c r="M492" s="1">
        <v>400000</v>
      </c>
      <c r="N492" s="1">
        <v>1753864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1270000</v>
      </c>
      <c r="U492" s="1">
        <v>0</v>
      </c>
      <c r="V492" s="1">
        <v>12276282</v>
      </c>
      <c r="W492" s="1">
        <v>1100000</v>
      </c>
      <c r="X492" s="1">
        <v>1572573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1252760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6552652</v>
      </c>
      <c r="AM492" s="1">
        <v>0</v>
      </c>
      <c r="AN492" s="1">
        <v>57359110</v>
      </c>
      <c r="AO492" s="1">
        <v>8841873</v>
      </c>
      <c r="AP492" s="1">
        <v>48517237</v>
      </c>
      <c r="AQ492" s="1">
        <v>11217822</v>
      </c>
      <c r="AR492" s="1">
        <v>1682673</v>
      </c>
      <c r="AS492" s="1">
        <v>0</v>
      </c>
      <c r="AT492" s="1">
        <f t="shared" si="47"/>
        <v>70259605</v>
      </c>
    </row>
    <row r="493" spans="1:46">
      <c r="A493" s="1" t="str">
        <f>"00560"</f>
        <v>00560</v>
      </c>
      <c r="B493" s="1" t="str">
        <f>"وحيد"</f>
        <v>وحيد</v>
      </c>
      <c r="C493" s="1" t="str">
        <f>"منصوري"</f>
        <v>منصوري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11032660</v>
      </c>
      <c r="G493" s="1">
        <v>2682631</v>
      </c>
      <c r="H493" s="1">
        <v>0</v>
      </c>
      <c r="I493" s="1">
        <v>8183260</v>
      </c>
      <c r="J493" s="1">
        <v>0</v>
      </c>
      <c r="K493" s="1">
        <v>3465000</v>
      </c>
      <c r="L493" s="1">
        <v>0</v>
      </c>
      <c r="M493" s="1">
        <v>400000</v>
      </c>
      <c r="N493" s="1">
        <v>1931364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1270000</v>
      </c>
      <c r="U493" s="1">
        <v>0</v>
      </c>
      <c r="V493" s="1">
        <v>9738627</v>
      </c>
      <c r="W493" s="1">
        <v>1100000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1379546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4524911</v>
      </c>
      <c r="AM493" s="1">
        <v>0</v>
      </c>
      <c r="AN493" s="1">
        <v>45707999</v>
      </c>
      <c r="AO493" s="1">
        <v>8311711</v>
      </c>
      <c r="AP493" s="1">
        <v>37396288</v>
      </c>
      <c r="AQ493" s="1">
        <v>8887600</v>
      </c>
      <c r="AR493" s="1">
        <v>1333140</v>
      </c>
      <c r="AS493" s="1">
        <v>0</v>
      </c>
      <c r="AT493" s="1">
        <f t="shared" si="47"/>
        <v>55928739</v>
      </c>
    </row>
    <row r="494" spans="1:46">
      <c r="A494" s="1" t="str">
        <f>"00561"</f>
        <v>00561</v>
      </c>
      <c r="B494" s="1" t="str">
        <f>"حسن"</f>
        <v>حسن</v>
      </c>
      <c r="C494" s="1" t="str">
        <f>"منصوري"</f>
        <v>منصوري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11998555</v>
      </c>
      <c r="G494" s="1">
        <v>14694463</v>
      </c>
      <c r="H494" s="1">
        <v>0</v>
      </c>
      <c r="I494" s="1">
        <v>9748375</v>
      </c>
      <c r="J494" s="1">
        <v>0</v>
      </c>
      <c r="K494" s="1">
        <v>4620000</v>
      </c>
      <c r="L494" s="1">
        <v>0</v>
      </c>
      <c r="M494" s="1">
        <v>400000</v>
      </c>
      <c r="N494" s="1">
        <v>2324439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1270000</v>
      </c>
      <c r="U494" s="1">
        <v>0</v>
      </c>
      <c r="V494" s="1">
        <v>14840022</v>
      </c>
      <c r="W494" s="1">
        <v>1100000</v>
      </c>
      <c r="X494" s="1">
        <v>1799783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1660313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8580506</v>
      </c>
      <c r="AM494" s="1">
        <v>0</v>
      </c>
      <c r="AN494" s="1">
        <v>73036456</v>
      </c>
      <c r="AO494" s="1">
        <v>11488694</v>
      </c>
      <c r="AP494" s="1">
        <v>61547762</v>
      </c>
      <c r="AQ494" s="1">
        <v>14353291</v>
      </c>
      <c r="AR494" s="1">
        <v>2152994</v>
      </c>
      <c r="AS494" s="1">
        <v>0</v>
      </c>
      <c r="AT494" s="1">
        <f t="shared" si="47"/>
        <v>89542741</v>
      </c>
    </row>
    <row r="495" spans="1:46">
      <c r="A495" s="1" t="str">
        <f>"00562"</f>
        <v>00562</v>
      </c>
      <c r="B495" s="1" t="str">
        <f>"محمد امين"</f>
        <v>محمد امين</v>
      </c>
      <c r="C495" s="1" t="str">
        <f>"ميرزائي فراشبندي"</f>
        <v>ميرزائي فراشبندي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14633862</v>
      </c>
      <c r="G495" s="1">
        <v>9033225</v>
      </c>
      <c r="H495" s="1">
        <v>0</v>
      </c>
      <c r="I495" s="1">
        <v>11304355</v>
      </c>
      <c r="J495" s="1">
        <v>0</v>
      </c>
      <c r="K495" s="1">
        <v>5500000</v>
      </c>
      <c r="L495" s="1">
        <v>0</v>
      </c>
      <c r="M495" s="1">
        <v>400000</v>
      </c>
      <c r="N495" s="1">
        <v>2309200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6446858</v>
      </c>
      <c r="W495" s="1">
        <v>1100000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2476895</v>
      </c>
      <c r="AD495" s="1">
        <v>0</v>
      </c>
      <c r="AE495" s="1">
        <v>1649429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2474142</v>
      </c>
      <c r="AM495" s="1">
        <v>0</v>
      </c>
      <c r="AN495" s="1">
        <v>57327966</v>
      </c>
      <c r="AO495" s="1">
        <v>15372709</v>
      </c>
      <c r="AP495" s="1">
        <v>41955257</v>
      </c>
      <c r="AQ495" s="1">
        <v>11465593</v>
      </c>
      <c r="AR495" s="1">
        <v>1719839</v>
      </c>
      <c r="AS495" s="1">
        <v>0</v>
      </c>
      <c r="AT495" s="1">
        <f t="shared" si="47"/>
        <v>70513398</v>
      </c>
    </row>
    <row r="496" spans="1:46">
      <c r="A496" s="1" t="str">
        <f>"00563"</f>
        <v>00563</v>
      </c>
      <c r="B496" s="1" t="str">
        <f>"احمدرضا"</f>
        <v>احمدرضا</v>
      </c>
      <c r="C496" s="1" t="str">
        <f>"وطن خواه"</f>
        <v>وطن خواه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11172546</v>
      </c>
      <c r="G496" s="1">
        <v>1854589</v>
      </c>
      <c r="H496" s="1">
        <v>0</v>
      </c>
      <c r="I496" s="1">
        <v>8917650</v>
      </c>
      <c r="J496" s="1">
        <v>0</v>
      </c>
      <c r="K496" s="1">
        <v>4620000</v>
      </c>
      <c r="L496" s="1">
        <v>0</v>
      </c>
      <c r="M496" s="1">
        <v>400000</v>
      </c>
      <c r="N496" s="1">
        <v>2004836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10814734</v>
      </c>
      <c r="W496" s="1">
        <v>1100000</v>
      </c>
      <c r="X496" s="1">
        <v>1675882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1432025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8048808</v>
      </c>
      <c r="AM496" s="1">
        <v>0</v>
      </c>
      <c r="AN496" s="1">
        <v>52041070</v>
      </c>
      <c r="AO496" s="1">
        <v>9987797</v>
      </c>
      <c r="AP496" s="1">
        <v>42053273</v>
      </c>
      <c r="AQ496" s="1">
        <v>10408214</v>
      </c>
      <c r="AR496" s="1">
        <v>1561232</v>
      </c>
      <c r="AS496" s="1">
        <v>0</v>
      </c>
      <c r="AT496" s="1">
        <f t="shared" si="47"/>
        <v>64010516</v>
      </c>
    </row>
    <row r="497" spans="1:46">
      <c r="A497" s="1" t="str">
        <f>"00564"</f>
        <v>00564</v>
      </c>
      <c r="B497" s="1" t="str">
        <f>"سعيد"</f>
        <v>سعيد</v>
      </c>
      <c r="C497" s="1" t="str">
        <f>"هاشمي"</f>
        <v>هاشمي</v>
      </c>
      <c r="D497" s="1" t="str">
        <f t="shared" si="51"/>
        <v>قراردادي بهره بردار</v>
      </c>
      <c r="E497" s="1" t="str">
        <f t="shared" si="52"/>
        <v>پروژه بهره برداري نيروگاه بوشهر</v>
      </c>
      <c r="F497" s="1">
        <v>11448437</v>
      </c>
      <c r="G497" s="1">
        <v>2592883</v>
      </c>
      <c r="H497" s="1">
        <v>0</v>
      </c>
      <c r="I497" s="1">
        <v>8627858</v>
      </c>
      <c r="J497" s="1">
        <v>0</v>
      </c>
      <c r="K497" s="1">
        <v>4620000</v>
      </c>
      <c r="L497" s="1">
        <v>0</v>
      </c>
      <c r="M497" s="1">
        <v>400000</v>
      </c>
      <c r="N497" s="1">
        <v>2110566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1270000</v>
      </c>
      <c r="U497" s="1">
        <v>0</v>
      </c>
      <c r="V497" s="1">
        <v>13581770</v>
      </c>
      <c r="W497" s="1">
        <v>1100000</v>
      </c>
      <c r="X497" s="1">
        <v>1717266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1507548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7173250</v>
      </c>
      <c r="AM497" s="1">
        <v>0</v>
      </c>
      <c r="AN497" s="1">
        <v>56149578</v>
      </c>
      <c r="AO497" s="1">
        <v>16224358</v>
      </c>
      <c r="AP497" s="1">
        <v>39925220</v>
      </c>
      <c r="AQ497" s="1">
        <v>10975916</v>
      </c>
      <c r="AR497" s="1">
        <v>1646387</v>
      </c>
      <c r="AS497" s="1">
        <v>0</v>
      </c>
      <c r="AT497" s="1">
        <f t="shared" si="47"/>
        <v>68771881</v>
      </c>
    </row>
    <row r="498" spans="1:46">
      <c r="A498" s="1" t="str">
        <f>"00565"</f>
        <v>00565</v>
      </c>
      <c r="B498" s="1" t="str">
        <f>"عباس"</f>
        <v>عباس</v>
      </c>
      <c r="C498" s="1" t="str">
        <f>"يزداني"</f>
        <v>يزداني</v>
      </c>
      <c r="D498" s="1" t="str">
        <f t="shared" si="51"/>
        <v>قراردادي بهره بردار</v>
      </c>
      <c r="E498" s="1" t="str">
        <f t="shared" ref="E498:E525" si="53">"پروژه تعميرات نيروگاه بوشهر"</f>
        <v>پروژه تعميرات نيروگاه بوشهر</v>
      </c>
      <c r="F498" s="1">
        <v>11259811</v>
      </c>
      <c r="G498" s="1">
        <v>0</v>
      </c>
      <c r="H498" s="1">
        <v>0</v>
      </c>
      <c r="I498" s="1">
        <v>10101624</v>
      </c>
      <c r="J498" s="1">
        <v>0</v>
      </c>
      <c r="K498" s="1">
        <v>4620000</v>
      </c>
      <c r="L498" s="1">
        <v>0</v>
      </c>
      <c r="M498" s="1">
        <v>400000</v>
      </c>
      <c r="N498" s="1">
        <v>2059329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1270000</v>
      </c>
      <c r="U498" s="1">
        <v>0</v>
      </c>
      <c r="V498" s="1">
        <v>14644259</v>
      </c>
      <c r="W498" s="1">
        <v>1100000</v>
      </c>
      <c r="X498" s="1">
        <v>1688972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1470949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8202657</v>
      </c>
      <c r="AM498" s="1">
        <v>0</v>
      </c>
      <c r="AN498" s="1">
        <v>56817601</v>
      </c>
      <c r="AO498" s="1">
        <v>9139560</v>
      </c>
      <c r="AP498" s="1">
        <v>47678041</v>
      </c>
      <c r="AQ498" s="1">
        <v>11109520</v>
      </c>
      <c r="AR498" s="1">
        <v>1666428</v>
      </c>
      <c r="AS498" s="1">
        <v>0</v>
      </c>
      <c r="AT498" s="1">
        <f t="shared" si="47"/>
        <v>69593549</v>
      </c>
    </row>
    <row r="499" spans="1:46">
      <c r="A499" s="1" t="str">
        <f>"00566"</f>
        <v>00566</v>
      </c>
      <c r="B499" s="1" t="str">
        <f>"عابد"</f>
        <v>عابد</v>
      </c>
      <c r="C499" s="1" t="str">
        <f>"خنده جام"</f>
        <v>خنده جام</v>
      </c>
      <c r="D499" s="1" t="str">
        <f t="shared" ref="D499:D524" si="54">"قراردادي کارگري"</f>
        <v>قراردادي کارگري</v>
      </c>
      <c r="E499" s="1" t="str">
        <f t="shared" si="53"/>
        <v>پروژه تعميرات نيروگاه بوشهر</v>
      </c>
      <c r="F499" s="1">
        <v>5528690</v>
      </c>
      <c r="G499" s="1">
        <v>2850443</v>
      </c>
      <c r="H499" s="1">
        <v>0</v>
      </c>
      <c r="I499" s="1">
        <v>3870083</v>
      </c>
      <c r="J499" s="1">
        <v>0</v>
      </c>
      <c r="K499" s="1">
        <v>0</v>
      </c>
      <c r="L499" s="1">
        <v>3620700</v>
      </c>
      <c r="M499" s="1">
        <v>400000</v>
      </c>
      <c r="N499" s="1">
        <v>2909837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3616582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2389397</v>
      </c>
      <c r="AE499" s="1">
        <v>0</v>
      </c>
      <c r="AF499" s="1">
        <v>1111269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27397001</v>
      </c>
      <c r="AO499" s="1">
        <v>6266957</v>
      </c>
      <c r="AP499" s="1">
        <v>21130044</v>
      </c>
      <c r="AQ499" s="1">
        <v>5257146</v>
      </c>
      <c r="AR499" s="1">
        <v>788572</v>
      </c>
      <c r="AS499" s="1">
        <v>795000</v>
      </c>
      <c r="AT499" s="1">
        <f t="shared" si="47"/>
        <v>34237719</v>
      </c>
    </row>
    <row r="500" spans="1:46">
      <c r="A500" s="1" t="str">
        <f>"00567"</f>
        <v>00567</v>
      </c>
      <c r="B500" s="1" t="str">
        <f>"مهدي"</f>
        <v>مهدي</v>
      </c>
      <c r="C500" s="1" t="str">
        <f>"شاكري"</f>
        <v>شاكري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7338281</v>
      </c>
      <c r="G500" s="1">
        <v>4088820</v>
      </c>
      <c r="H500" s="1">
        <v>0</v>
      </c>
      <c r="I500" s="1">
        <v>6164156</v>
      </c>
      <c r="J500" s="1">
        <v>0</v>
      </c>
      <c r="K500" s="1">
        <v>0</v>
      </c>
      <c r="L500" s="1">
        <v>3460800</v>
      </c>
      <c r="M500" s="1">
        <v>400000</v>
      </c>
      <c r="N500" s="1">
        <v>3913750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7160635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33626442</v>
      </c>
      <c r="AO500" s="1">
        <v>7780804</v>
      </c>
      <c r="AP500" s="1">
        <v>25845638</v>
      </c>
      <c r="AQ500" s="1">
        <v>6725288</v>
      </c>
      <c r="AR500" s="1">
        <v>1008793</v>
      </c>
      <c r="AS500" s="1">
        <v>600000</v>
      </c>
      <c r="AT500" s="1">
        <f t="shared" si="47"/>
        <v>41960523</v>
      </c>
    </row>
    <row r="501" spans="1:46">
      <c r="A501" s="1" t="str">
        <f>"00568"</f>
        <v>00568</v>
      </c>
      <c r="B501" s="1" t="str">
        <f>"علي"</f>
        <v>علي</v>
      </c>
      <c r="C501" s="1" t="str">
        <f>"فرهادي"</f>
        <v>فرهادي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8494271</v>
      </c>
      <c r="G501" s="1">
        <v>4008876</v>
      </c>
      <c r="H501" s="1">
        <v>0</v>
      </c>
      <c r="I501" s="1">
        <v>6285760</v>
      </c>
      <c r="J501" s="1">
        <v>0</v>
      </c>
      <c r="K501" s="1">
        <v>0</v>
      </c>
      <c r="L501" s="1">
        <v>3710227</v>
      </c>
      <c r="M501" s="1">
        <v>400000</v>
      </c>
      <c r="N501" s="1">
        <v>4470669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7582887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36052690</v>
      </c>
      <c r="AO501" s="1">
        <v>9408415</v>
      </c>
      <c r="AP501" s="1">
        <v>26644275</v>
      </c>
      <c r="AQ501" s="1">
        <v>7210538</v>
      </c>
      <c r="AR501" s="1">
        <v>1081581</v>
      </c>
      <c r="AS501" s="1">
        <v>600000</v>
      </c>
      <c r="AT501" s="1">
        <f t="shared" si="47"/>
        <v>44944809</v>
      </c>
    </row>
    <row r="502" spans="1:46">
      <c r="A502" s="1" t="str">
        <f>"00569"</f>
        <v>00569</v>
      </c>
      <c r="B502" s="1" t="str">
        <f>"مجاهد"</f>
        <v>مجاهد</v>
      </c>
      <c r="C502" s="1" t="str">
        <f>"مسيح گل"</f>
        <v>مسيح گل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5644080</v>
      </c>
      <c r="G502" s="1">
        <v>17163100</v>
      </c>
      <c r="H502" s="1">
        <v>0</v>
      </c>
      <c r="I502" s="1">
        <v>3555770</v>
      </c>
      <c r="J502" s="1">
        <v>0</v>
      </c>
      <c r="K502" s="1">
        <v>0</v>
      </c>
      <c r="L502" s="1">
        <v>4547310</v>
      </c>
      <c r="M502" s="1">
        <v>400000</v>
      </c>
      <c r="N502" s="1">
        <v>3010176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5659774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41080210</v>
      </c>
      <c r="AO502" s="1">
        <v>6782565</v>
      </c>
      <c r="AP502" s="1">
        <v>34297645</v>
      </c>
      <c r="AQ502" s="1">
        <v>8216042</v>
      </c>
      <c r="AR502" s="1">
        <v>1232406</v>
      </c>
      <c r="AS502" s="1">
        <v>195000</v>
      </c>
      <c r="AT502" s="1">
        <f t="shared" si="47"/>
        <v>50723658</v>
      </c>
    </row>
    <row r="503" spans="1:46">
      <c r="A503" s="1" t="str">
        <f>"00570"</f>
        <v>00570</v>
      </c>
      <c r="B503" s="1" t="str">
        <f>"احمد رضا"</f>
        <v>احمد رضا</v>
      </c>
      <c r="C503" s="1" t="str">
        <f>"رستم بروجردي"</f>
        <v>رستم بروجردي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5915275</v>
      </c>
      <c r="G503" s="1">
        <v>6695233</v>
      </c>
      <c r="H503" s="1">
        <v>0</v>
      </c>
      <c r="I503" s="1">
        <v>4377303</v>
      </c>
      <c r="J503" s="1">
        <v>0</v>
      </c>
      <c r="K503" s="1">
        <v>0</v>
      </c>
      <c r="L503" s="1">
        <v>3620700</v>
      </c>
      <c r="M503" s="1">
        <v>400000</v>
      </c>
      <c r="N503" s="1">
        <v>3113302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5928506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31150319</v>
      </c>
      <c r="AO503" s="1">
        <v>6038816</v>
      </c>
      <c r="AP503" s="1">
        <v>25111503</v>
      </c>
      <c r="AQ503" s="1">
        <v>6230064</v>
      </c>
      <c r="AR503" s="1">
        <v>934510</v>
      </c>
      <c r="AS503" s="1">
        <v>530000</v>
      </c>
      <c r="AT503" s="1">
        <f t="shared" si="47"/>
        <v>38844893</v>
      </c>
    </row>
    <row r="504" spans="1:46">
      <c r="A504" s="1" t="str">
        <f>"00571"</f>
        <v>00571</v>
      </c>
      <c r="B504" s="1" t="str">
        <f>"هادي"</f>
        <v>هادي</v>
      </c>
      <c r="C504" s="1" t="str">
        <f>"منفرد"</f>
        <v>منفرد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7682220</v>
      </c>
      <c r="G504" s="1">
        <v>13007664</v>
      </c>
      <c r="H504" s="1">
        <v>0</v>
      </c>
      <c r="I504" s="1">
        <v>6760354</v>
      </c>
      <c r="J504" s="1">
        <v>0</v>
      </c>
      <c r="K504" s="1">
        <v>0</v>
      </c>
      <c r="L504" s="1">
        <v>3620700</v>
      </c>
      <c r="M504" s="1">
        <v>400000</v>
      </c>
      <c r="N504" s="1">
        <v>4097184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7571346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2222538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46462006</v>
      </c>
      <c r="AO504" s="1">
        <v>5839381</v>
      </c>
      <c r="AP504" s="1">
        <v>40622625</v>
      </c>
      <c r="AQ504" s="1">
        <v>8847894</v>
      </c>
      <c r="AR504" s="1">
        <v>1327184</v>
      </c>
      <c r="AS504" s="1">
        <v>0</v>
      </c>
      <c r="AT504" s="1">
        <f t="shared" si="47"/>
        <v>56637084</v>
      </c>
    </row>
    <row r="505" spans="1:46">
      <c r="A505" s="1" t="str">
        <f>"00572"</f>
        <v>00572</v>
      </c>
      <c r="B505" s="1" t="str">
        <f>"رمضان"</f>
        <v>رمضان</v>
      </c>
      <c r="C505" s="1" t="str">
        <f>"مجيدي"</f>
        <v>مجيدي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8454170</v>
      </c>
      <c r="G505" s="1">
        <v>7971073</v>
      </c>
      <c r="H505" s="1">
        <v>0</v>
      </c>
      <c r="I505" s="1">
        <v>6087002</v>
      </c>
      <c r="J505" s="1">
        <v>0</v>
      </c>
      <c r="K505" s="1">
        <v>0</v>
      </c>
      <c r="L505" s="1">
        <v>3620700</v>
      </c>
      <c r="M505" s="1">
        <v>400000</v>
      </c>
      <c r="N505" s="1">
        <v>4479030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7725089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3396135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4251239</v>
      </c>
      <c r="AK505" s="1">
        <v>0</v>
      </c>
      <c r="AL505" s="1">
        <v>0</v>
      </c>
      <c r="AM505" s="1">
        <v>0</v>
      </c>
      <c r="AN505" s="1">
        <v>47484438</v>
      </c>
      <c r="AO505" s="1">
        <v>9808950</v>
      </c>
      <c r="AP505" s="1">
        <v>37675488</v>
      </c>
      <c r="AQ505" s="1">
        <v>9496888</v>
      </c>
      <c r="AR505" s="1">
        <v>1424533</v>
      </c>
      <c r="AS505" s="1">
        <v>600000</v>
      </c>
      <c r="AT505" s="1">
        <f t="shared" si="47"/>
        <v>59005859</v>
      </c>
    </row>
    <row r="506" spans="1:46">
      <c r="A506" s="1" t="str">
        <f>"00573"</f>
        <v>00573</v>
      </c>
      <c r="B506" s="1" t="str">
        <f>"غلامحسين"</f>
        <v>غلامحسين</v>
      </c>
      <c r="C506" s="1" t="str">
        <f>"خاقاني"</f>
        <v>خاقاني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5195062</v>
      </c>
      <c r="G506" s="1">
        <v>3073932</v>
      </c>
      <c r="H506" s="1">
        <v>0</v>
      </c>
      <c r="I506" s="1">
        <v>3896297</v>
      </c>
      <c r="J506" s="1">
        <v>0</v>
      </c>
      <c r="K506" s="1">
        <v>0</v>
      </c>
      <c r="L506" s="1">
        <v>3909810</v>
      </c>
      <c r="M506" s="1">
        <v>400000</v>
      </c>
      <c r="N506" s="1">
        <v>2734243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5342978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2222538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27874860</v>
      </c>
      <c r="AO506" s="1">
        <v>7878309</v>
      </c>
      <c r="AP506" s="1">
        <v>19996551</v>
      </c>
      <c r="AQ506" s="1">
        <v>5130464</v>
      </c>
      <c r="AR506" s="1">
        <v>769570</v>
      </c>
      <c r="AS506" s="1">
        <v>1060000</v>
      </c>
      <c r="AT506" s="1">
        <f t="shared" si="47"/>
        <v>34834894</v>
      </c>
    </row>
    <row r="507" spans="1:46">
      <c r="A507" s="1" t="str">
        <f>"00574"</f>
        <v>00574</v>
      </c>
      <c r="B507" s="1" t="str">
        <f>"بهزاد"</f>
        <v>بهزاد</v>
      </c>
      <c r="C507" s="1" t="str">
        <f>"رضائي"</f>
        <v>رضائي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5491620</v>
      </c>
      <c r="G507" s="1">
        <v>4712798</v>
      </c>
      <c r="H507" s="1">
        <v>0</v>
      </c>
      <c r="I507" s="1">
        <v>3953967</v>
      </c>
      <c r="J507" s="1">
        <v>0</v>
      </c>
      <c r="K507" s="1">
        <v>0</v>
      </c>
      <c r="L507" s="1">
        <v>3621830</v>
      </c>
      <c r="M507" s="1">
        <v>400000</v>
      </c>
      <c r="N507" s="1">
        <v>2890326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5586478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2222538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29979557</v>
      </c>
      <c r="AO507" s="1">
        <v>5290901</v>
      </c>
      <c r="AP507" s="1">
        <v>24688656</v>
      </c>
      <c r="AQ507" s="1">
        <v>5551404</v>
      </c>
      <c r="AR507" s="1">
        <v>832711</v>
      </c>
      <c r="AS507" s="1">
        <v>0</v>
      </c>
      <c r="AT507" s="1">
        <f t="shared" si="47"/>
        <v>36363672</v>
      </c>
    </row>
    <row r="508" spans="1:46">
      <c r="A508" s="1" t="str">
        <f>"00575"</f>
        <v>00575</v>
      </c>
      <c r="B508" s="1" t="str">
        <f>"داريوش"</f>
        <v>داريوش</v>
      </c>
      <c r="C508" s="1" t="str">
        <f>"اميربندي"</f>
        <v>اميربندي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8732646</v>
      </c>
      <c r="G508" s="1">
        <v>26190158</v>
      </c>
      <c r="H508" s="1">
        <v>0</v>
      </c>
      <c r="I508" s="1">
        <v>7335423</v>
      </c>
      <c r="J508" s="1">
        <v>0</v>
      </c>
      <c r="K508" s="1">
        <v>0</v>
      </c>
      <c r="L508" s="1">
        <v>3620700</v>
      </c>
      <c r="M508" s="1">
        <v>400000</v>
      </c>
      <c r="N508" s="1">
        <v>4657411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8012316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3333807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63382461</v>
      </c>
      <c r="AO508" s="1">
        <v>11457700</v>
      </c>
      <c r="AP508" s="1">
        <v>51924761</v>
      </c>
      <c r="AQ508" s="1">
        <v>12009731</v>
      </c>
      <c r="AR508" s="1">
        <v>1801460</v>
      </c>
      <c r="AS508" s="1">
        <v>530000</v>
      </c>
      <c r="AT508" s="1">
        <f t="shared" si="47"/>
        <v>77723652</v>
      </c>
    </row>
    <row r="509" spans="1:46">
      <c r="A509" s="1" t="str">
        <f>"00576"</f>
        <v>00576</v>
      </c>
      <c r="B509" s="1" t="str">
        <f>"اصغر"</f>
        <v>اصغر</v>
      </c>
      <c r="C509" s="1" t="str">
        <f>"عليپور"</f>
        <v>عليپور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7533523</v>
      </c>
      <c r="G509" s="1">
        <v>6850411</v>
      </c>
      <c r="H509" s="1">
        <v>0</v>
      </c>
      <c r="I509" s="1">
        <v>5424136</v>
      </c>
      <c r="J509" s="1">
        <v>0</v>
      </c>
      <c r="K509" s="1">
        <v>0</v>
      </c>
      <c r="L509" s="1">
        <v>3620700</v>
      </c>
      <c r="M509" s="1">
        <v>400000</v>
      </c>
      <c r="N509" s="1">
        <v>3991270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7062282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3085444</v>
      </c>
      <c r="AE509" s="1">
        <v>0</v>
      </c>
      <c r="AF509" s="1">
        <v>4445076</v>
      </c>
      <c r="AG509" s="1">
        <v>0</v>
      </c>
      <c r="AH509" s="1">
        <v>0</v>
      </c>
      <c r="AI509" s="1">
        <v>0</v>
      </c>
      <c r="AJ509" s="1">
        <v>5157957</v>
      </c>
      <c r="AK509" s="1">
        <v>0</v>
      </c>
      <c r="AL509" s="1">
        <v>0</v>
      </c>
      <c r="AM509" s="1">
        <v>0</v>
      </c>
      <c r="AN509" s="1">
        <v>48670799</v>
      </c>
      <c r="AO509" s="1">
        <v>9156992</v>
      </c>
      <c r="AP509" s="1">
        <v>39513807</v>
      </c>
      <c r="AQ509" s="1">
        <v>8845145</v>
      </c>
      <c r="AR509" s="1">
        <v>1326772</v>
      </c>
      <c r="AS509" s="1">
        <v>795000</v>
      </c>
      <c r="AT509" s="1">
        <f t="shared" si="47"/>
        <v>59637716</v>
      </c>
    </row>
    <row r="510" spans="1:46">
      <c r="A510" s="1" t="str">
        <f>"00577"</f>
        <v>00577</v>
      </c>
      <c r="B510" s="1" t="str">
        <f>"عبدالمحمد"</f>
        <v>عبدالمحمد</v>
      </c>
      <c r="C510" s="1" t="str">
        <f>"گرامي"</f>
        <v>گرامي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7091612</v>
      </c>
      <c r="G510" s="1">
        <v>5918706</v>
      </c>
      <c r="H510" s="1">
        <v>0</v>
      </c>
      <c r="I510" s="1">
        <v>5247793</v>
      </c>
      <c r="J510" s="1">
        <v>0</v>
      </c>
      <c r="K510" s="1">
        <v>0</v>
      </c>
      <c r="L510" s="1">
        <v>3620700</v>
      </c>
      <c r="M510" s="1">
        <v>400000</v>
      </c>
      <c r="N510" s="1">
        <v>3757146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4879968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2957588</v>
      </c>
      <c r="AE510" s="1">
        <v>0</v>
      </c>
      <c r="AF510" s="1">
        <v>3333807</v>
      </c>
      <c r="AG510" s="1">
        <v>0</v>
      </c>
      <c r="AH510" s="1">
        <v>0</v>
      </c>
      <c r="AI510" s="1">
        <v>0</v>
      </c>
      <c r="AJ510" s="1">
        <v>4591481</v>
      </c>
      <c r="AK510" s="1">
        <v>0</v>
      </c>
      <c r="AL510" s="1">
        <v>0</v>
      </c>
      <c r="AM510" s="1">
        <v>0</v>
      </c>
      <c r="AN510" s="1">
        <v>42898801</v>
      </c>
      <c r="AO510" s="1">
        <v>9729498</v>
      </c>
      <c r="AP510" s="1">
        <v>33169303</v>
      </c>
      <c r="AQ510" s="1">
        <v>7912999</v>
      </c>
      <c r="AR510" s="1">
        <v>1186950</v>
      </c>
      <c r="AS510" s="1">
        <v>795000</v>
      </c>
      <c r="AT510" s="1">
        <f t="shared" si="47"/>
        <v>52793750</v>
      </c>
    </row>
    <row r="511" spans="1:46">
      <c r="A511" s="1" t="str">
        <f>"00578"</f>
        <v>00578</v>
      </c>
      <c r="B511" s="1" t="str">
        <f>"علي اكبر"</f>
        <v>علي اكبر</v>
      </c>
      <c r="C511" s="1" t="str">
        <f>"هلال بحر"</f>
        <v>هلال بحر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8257721</v>
      </c>
      <c r="G511" s="1">
        <v>10920361</v>
      </c>
      <c r="H511" s="1">
        <v>0</v>
      </c>
      <c r="I511" s="1">
        <v>6853908</v>
      </c>
      <c r="J511" s="1">
        <v>0</v>
      </c>
      <c r="K511" s="1">
        <v>0</v>
      </c>
      <c r="L511" s="1">
        <v>3460800</v>
      </c>
      <c r="M511" s="1">
        <v>400000</v>
      </c>
      <c r="N511" s="1">
        <v>4404118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7587729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42984637</v>
      </c>
      <c r="AO511" s="1">
        <v>7486317</v>
      </c>
      <c r="AP511" s="1">
        <v>35498320</v>
      </c>
      <c r="AQ511" s="1">
        <v>8596927</v>
      </c>
      <c r="AR511" s="1">
        <v>1289539</v>
      </c>
      <c r="AS511" s="1">
        <v>600000</v>
      </c>
      <c r="AT511" s="1">
        <f t="shared" si="47"/>
        <v>53471103</v>
      </c>
    </row>
    <row r="512" spans="1:46">
      <c r="A512" s="1" t="str">
        <f>"00579"</f>
        <v>00579</v>
      </c>
      <c r="B512" s="1" t="str">
        <f>"امير"</f>
        <v>امير</v>
      </c>
      <c r="C512" s="1" t="str">
        <f>"شاه نجات بوشهري"</f>
        <v>شاه نجات بوشهري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7556935</v>
      </c>
      <c r="G512" s="1">
        <v>8442369</v>
      </c>
      <c r="H512" s="1">
        <v>0</v>
      </c>
      <c r="I512" s="1">
        <v>5365424</v>
      </c>
      <c r="J512" s="1">
        <v>0</v>
      </c>
      <c r="K512" s="1">
        <v>0</v>
      </c>
      <c r="L512" s="1">
        <v>3620700</v>
      </c>
      <c r="M512" s="1">
        <v>400000</v>
      </c>
      <c r="N512" s="1">
        <v>3977334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7046526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3078059</v>
      </c>
      <c r="AE512" s="1">
        <v>0</v>
      </c>
      <c r="AF512" s="1">
        <v>1111269</v>
      </c>
      <c r="AG512" s="1">
        <v>0</v>
      </c>
      <c r="AH512" s="1">
        <v>0</v>
      </c>
      <c r="AI512" s="1">
        <v>0</v>
      </c>
      <c r="AJ512" s="1">
        <v>5145825</v>
      </c>
      <c r="AK512" s="1">
        <v>0</v>
      </c>
      <c r="AL512" s="1">
        <v>0</v>
      </c>
      <c r="AM512" s="1">
        <v>0</v>
      </c>
      <c r="AN512" s="1">
        <v>46844441</v>
      </c>
      <c r="AO512" s="1">
        <v>9807035</v>
      </c>
      <c r="AP512" s="1">
        <v>37037406</v>
      </c>
      <c r="AQ512" s="1">
        <v>9146634</v>
      </c>
      <c r="AR512" s="1">
        <v>1371995</v>
      </c>
      <c r="AS512" s="1">
        <v>795000</v>
      </c>
      <c r="AT512" s="1">
        <f t="shared" si="47"/>
        <v>58158070</v>
      </c>
    </row>
    <row r="513" spans="1:46">
      <c r="A513" s="1" t="str">
        <f>"00580"</f>
        <v>00580</v>
      </c>
      <c r="B513" s="1" t="str">
        <f>"عبدالرضا"</f>
        <v>عبدالرضا</v>
      </c>
      <c r="C513" s="1" t="str">
        <f>"عطشاني"</f>
        <v>عطشاني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6007879</v>
      </c>
      <c r="G513" s="1">
        <v>11794314</v>
      </c>
      <c r="H513" s="1">
        <v>0</v>
      </c>
      <c r="I513" s="1">
        <v>5046619</v>
      </c>
      <c r="J513" s="1">
        <v>0</v>
      </c>
      <c r="K513" s="1">
        <v>0</v>
      </c>
      <c r="L513" s="1">
        <v>4115700</v>
      </c>
      <c r="M513" s="1">
        <v>400000</v>
      </c>
      <c r="N513" s="1">
        <v>3182982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6154486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2222538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40024518</v>
      </c>
      <c r="AO513" s="1">
        <v>7274001</v>
      </c>
      <c r="AP513" s="1">
        <v>32750517</v>
      </c>
      <c r="AQ513" s="1">
        <v>7560396</v>
      </c>
      <c r="AR513" s="1">
        <v>1134059</v>
      </c>
      <c r="AS513" s="1">
        <v>1060000</v>
      </c>
      <c r="AT513" s="1">
        <f t="shared" si="47"/>
        <v>49778973</v>
      </c>
    </row>
    <row r="514" spans="1:46">
      <c r="A514" s="1" t="str">
        <f>"00581"</f>
        <v>00581</v>
      </c>
      <c r="B514" s="1" t="str">
        <f>"رضا"</f>
        <v>رضا</v>
      </c>
      <c r="C514" s="1" t="str">
        <f>"بنشاخته"</f>
        <v>بنشاخته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8401561</v>
      </c>
      <c r="G514" s="1">
        <v>17390497</v>
      </c>
      <c r="H514" s="1">
        <v>0</v>
      </c>
      <c r="I514" s="1">
        <v>6217155</v>
      </c>
      <c r="J514" s="1">
        <v>0</v>
      </c>
      <c r="K514" s="1">
        <v>0</v>
      </c>
      <c r="L514" s="1">
        <v>3620700</v>
      </c>
      <c r="M514" s="1">
        <v>400000</v>
      </c>
      <c r="N514" s="1">
        <v>4451158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7499078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3333807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52413956</v>
      </c>
      <c r="AO514" s="1">
        <v>10815407</v>
      </c>
      <c r="AP514" s="1">
        <v>41598549</v>
      </c>
      <c r="AQ514" s="1">
        <v>9816030</v>
      </c>
      <c r="AR514" s="1">
        <v>1472404</v>
      </c>
      <c r="AS514" s="1">
        <v>1325000</v>
      </c>
      <c r="AT514" s="1">
        <f t="shared" si="47"/>
        <v>65027390</v>
      </c>
    </row>
    <row r="515" spans="1:46">
      <c r="A515" s="1" t="str">
        <f>"00582"</f>
        <v>00582</v>
      </c>
      <c r="B515" s="1" t="str">
        <f>"مصطفي"</f>
        <v>مصطفي</v>
      </c>
      <c r="C515" s="1" t="str">
        <f>"روانستان"</f>
        <v>روانستان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5830544</v>
      </c>
      <c r="G515" s="1">
        <v>11387776</v>
      </c>
      <c r="H515" s="1">
        <v>0</v>
      </c>
      <c r="I515" s="1">
        <v>4372908</v>
      </c>
      <c r="J515" s="1">
        <v>0</v>
      </c>
      <c r="K515" s="1">
        <v>0</v>
      </c>
      <c r="L515" s="1">
        <v>3650810</v>
      </c>
      <c r="M515" s="1">
        <v>400000</v>
      </c>
      <c r="N515" s="1">
        <v>3068707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5711120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2222538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37744403</v>
      </c>
      <c r="AO515" s="1">
        <v>8526574</v>
      </c>
      <c r="AP515" s="1">
        <v>29217829</v>
      </c>
      <c r="AQ515" s="1">
        <v>7104373</v>
      </c>
      <c r="AR515" s="1">
        <v>1065656</v>
      </c>
      <c r="AS515" s="1">
        <v>1060000</v>
      </c>
      <c r="AT515" s="1">
        <f t="shared" ref="AT515:AT578" si="55">AS515+AR515+AQ515+AN515</f>
        <v>46974432</v>
      </c>
    </row>
    <row r="516" spans="1:46">
      <c r="A516" s="1" t="str">
        <f>"00583"</f>
        <v>00583</v>
      </c>
      <c r="B516" s="1" t="str">
        <f>"علي حسين"</f>
        <v>علي حسين</v>
      </c>
      <c r="C516" s="1" t="str">
        <f>"طاهري كلاني"</f>
        <v>طاهري كلاني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9395527</v>
      </c>
      <c r="G516" s="1">
        <v>0</v>
      </c>
      <c r="H516" s="1">
        <v>0</v>
      </c>
      <c r="I516" s="1">
        <v>7704333</v>
      </c>
      <c r="J516" s="1">
        <v>0</v>
      </c>
      <c r="K516" s="1">
        <v>0</v>
      </c>
      <c r="L516" s="1">
        <v>3460800</v>
      </c>
      <c r="M516" s="1">
        <v>400000</v>
      </c>
      <c r="N516" s="1">
        <v>5010947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5617359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3835741</v>
      </c>
      <c r="AE516" s="1">
        <v>0</v>
      </c>
      <c r="AF516" s="1">
        <v>1111269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37635976</v>
      </c>
      <c r="AO516" s="1">
        <v>8280484</v>
      </c>
      <c r="AP516" s="1">
        <v>29355492</v>
      </c>
      <c r="AQ516" s="1">
        <v>7304941</v>
      </c>
      <c r="AR516" s="1">
        <v>1095741</v>
      </c>
      <c r="AS516" s="1">
        <v>795000</v>
      </c>
      <c r="AT516" s="1">
        <f t="shared" si="55"/>
        <v>46831658</v>
      </c>
    </row>
    <row r="517" spans="1:46">
      <c r="A517" s="1" t="str">
        <f>"00584"</f>
        <v>00584</v>
      </c>
      <c r="B517" s="1" t="str">
        <f>"علي"</f>
        <v>علي</v>
      </c>
      <c r="C517" s="1" t="str">
        <f>"علوي راد"</f>
        <v>علوي راد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6127102</v>
      </c>
      <c r="G517" s="1">
        <v>6638924</v>
      </c>
      <c r="H517" s="1">
        <v>0</v>
      </c>
      <c r="I517" s="1">
        <v>4472784</v>
      </c>
      <c r="J517" s="1">
        <v>0</v>
      </c>
      <c r="K517" s="1">
        <v>0</v>
      </c>
      <c r="L517" s="1">
        <v>4110460</v>
      </c>
      <c r="M517" s="1">
        <v>400000</v>
      </c>
      <c r="N517" s="1">
        <v>3224790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6024892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2222538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34321490</v>
      </c>
      <c r="AO517" s="1">
        <v>7374441</v>
      </c>
      <c r="AP517" s="1">
        <v>26947049</v>
      </c>
      <c r="AQ517" s="1">
        <v>6419790</v>
      </c>
      <c r="AR517" s="1">
        <v>962969</v>
      </c>
      <c r="AS517" s="1">
        <v>1060000</v>
      </c>
      <c r="AT517" s="1">
        <f t="shared" si="55"/>
        <v>42764249</v>
      </c>
    </row>
    <row r="518" spans="1:46">
      <c r="A518" s="1" t="str">
        <f>"00585"</f>
        <v>00585</v>
      </c>
      <c r="B518" s="1" t="str">
        <f>"سيد حسن"</f>
        <v>سيد حسن</v>
      </c>
      <c r="C518" s="1" t="str">
        <f>"افسرده فرد"</f>
        <v>افسرده فرد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9855247</v>
      </c>
      <c r="G518" s="1">
        <v>1047748</v>
      </c>
      <c r="H518" s="1">
        <v>0</v>
      </c>
      <c r="I518" s="1">
        <v>8278408</v>
      </c>
      <c r="J518" s="1">
        <v>0</v>
      </c>
      <c r="K518" s="1">
        <v>0</v>
      </c>
      <c r="L518" s="1">
        <v>3460800</v>
      </c>
      <c r="M518" s="1">
        <v>400000</v>
      </c>
      <c r="N518" s="1">
        <v>5256131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9072188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2222538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40693060</v>
      </c>
      <c r="AO518" s="1">
        <v>6778199</v>
      </c>
      <c r="AP518" s="1">
        <v>33914861</v>
      </c>
      <c r="AQ518" s="1">
        <v>7694104</v>
      </c>
      <c r="AR518" s="1">
        <v>1154116</v>
      </c>
      <c r="AS518" s="1">
        <v>1060000</v>
      </c>
      <c r="AT518" s="1">
        <f t="shared" si="55"/>
        <v>50601280</v>
      </c>
    </row>
    <row r="519" spans="1:46">
      <c r="A519" s="1" t="str">
        <f>"00586"</f>
        <v>00586</v>
      </c>
      <c r="B519" s="1" t="str">
        <f>"رضا"</f>
        <v>رضا</v>
      </c>
      <c r="C519" s="1" t="str">
        <f>"بازدار"</f>
        <v>بازدار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7870217</v>
      </c>
      <c r="G519" s="1">
        <v>13619520</v>
      </c>
      <c r="H519" s="1">
        <v>0</v>
      </c>
      <c r="I519" s="1">
        <v>5745258</v>
      </c>
      <c r="J519" s="1">
        <v>0</v>
      </c>
      <c r="K519" s="1">
        <v>0</v>
      </c>
      <c r="L519" s="1">
        <v>3620700</v>
      </c>
      <c r="M519" s="1">
        <v>400000</v>
      </c>
      <c r="N519" s="1">
        <v>4169651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7329864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2222538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46077748</v>
      </c>
      <c r="AO519" s="1">
        <v>10411492</v>
      </c>
      <c r="AP519" s="1">
        <v>35666256</v>
      </c>
      <c r="AQ519" s="1">
        <v>8771042</v>
      </c>
      <c r="AR519" s="1">
        <v>1315656</v>
      </c>
      <c r="AS519" s="1">
        <v>900000</v>
      </c>
      <c r="AT519" s="1">
        <f t="shared" si="55"/>
        <v>57064446</v>
      </c>
    </row>
    <row r="520" spans="1:46">
      <c r="A520" s="1" t="str">
        <f>"00587"</f>
        <v>00587</v>
      </c>
      <c r="B520" s="1" t="str">
        <f>"محمود"</f>
        <v>محمود</v>
      </c>
      <c r="C520" s="1" t="str">
        <f>"كرم زاده"</f>
        <v>كرم زاده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6534869</v>
      </c>
      <c r="G520" s="1">
        <v>17002347</v>
      </c>
      <c r="H520" s="1">
        <v>0</v>
      </c>
      <c r="I520" s="1">
        <v>5554639</v>
      </c>
      <c r="J520" s="1">
        <v>0</v>
      </c>
      <c r="K520" s="1">
        <v>0</v>
      </c>
      <c r="L520" s="1">
        <v>4115700</v>
      </c>
      <c r="M520" s="1">
        <v>400000</v>
      </c>
      <c r="N520" s="1">
        <v>3439405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6554830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2222538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46924328</v>
      </c>
      <c r="AO520" s="1">
        <v>7897050</v>
      </c>
      <c r="AP520" s="1">
        <v>39027278</v>
      </c>
      <c r="AQ520" s="1">
        <v>8940358</v>
      </c>
      <c r="AR520" s="1">
        <v>1341054</v>
      </c>
      <c r="AS520" s="1">
        <v>600000</v>
      </c>
      <c r="AT520" s="1">
        <f t="shared" si="55"/>
        <v>57805740</v>
      </c>
    </row>
    <row r="521" spans="1:46">
      <c r="A521" s="1" t="str">
        <f>"00588"</f>
        <v>00588</v>
      </c>
      <c r="B521" s="1" t="str">
        <f>"عليرضا"</f>
        <v>عليرضا</v>
      </c>
      <c r="C521" s="1" t="str">
        <f>"جماله"</f>
        <v>جماله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8965586</v>
      </c>
      <c r="G521" s="1">
        <v>8753315</v>
      </c>
      <c r="H521" s="1">
        <v>0</v>
      </c>
      <c r="I521" s="1">
        <v>6455222</v>
      </c>
      <c r="J521" s="1">
        <v>0</v>
      </c>
      <c r="K521" s="1">
        <v>0</v>
      </c>
      <c r="L521" s="1">
        <v>3620700</v>
      </c>
      <c r="M521" s="1">
        <v>400000</v>
      </c>
      <c r="N521" s="1">
        <v>4718730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7830674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2222538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44066765</v>
      </c>
      <c r="AO521" s="1">
        <v>14473460</v>
      </c>
      <c r="AP521" s="1">
        <v>29593305</v>
      </c>
      <c r="AQ521" s="1">
        <v>8368845</v>
      </c>
      <c r="AR521" s="1">
        <v>1255327</v>
      </c>
      <c r="AS521" s="1">
        <v>1200000</v>
      </c>
      <c r="AT521" s="1">
        <f t="shared" si="55"/>
        <v>54890937</v>
      </c>
    </row>
    <row r="522" spans="1:46">
      <c r="A522" s="1" t="str">
        <f>"00589"</f>
        <v>00589</v>
      </c>
      <c r="B522" s="1" t="str">
        <f>"محمد"</f>
        <v>محمد</v>
      </c>
      <c r="C522" s="1" t="str">
        <f>"تمدن آرا"</f>
        <v>تمدن آرا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5444969</v>
      </c>
      <c r="G522" s="1">
        <v>18212040</v>
      </c>
      <c r="H522" s="1">
        <v>0</v>
      </c>
      <c r="I522" s="1">
        <v>4301526</v>
      </c>
      <c r="J522" s="1">
        <v>0</v>
      </c>
      <c r="K522" s="1">
        <v>0</v>
      </c>
      <c r="L522" s="1">
        <v>5346522</v>
      </c>
      <c r="M522" s="1">
        <v>400000</v>
      </c>
      <c r="N522" s="1">
        <v>2884752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6038108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2222538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45950455</v>
      </c>
      <c r="AO522" s="1">
        <v>9902260</v>
      </c>
      <c r="AP522" s="1">
        <v>36048195</v>
      </c>
      <c r="AQ522" s="1">
        <v>8745583</v>
      </c>
      <c r="AR522" s="1">
        <v>1311838</v>
      </c>
      <c r="AS522" s="1">
        <v>1060000</v>
      </c>
      <c r="AT522" s="1">
        <f t="shared" si="55"/>
        <v>57067876</v>
      </c>
    </row>
    <row r="523" spans="1:46">
      <c r="A523" s="1" t="str">
        <f>"00590"</f>
        <v>00590</v>
      </c>
      <c r="B523" s="1" t="str">
        <f>"شكراله"</f>
        <v>شكراله</v>
      </c>
      <c r="C523" s="1" t="str">
        <f>"حقيقي"</f>
        <v>حقيقي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4499586</v>
      </c>
      <c r="G523" s="1">
        <v>3811234</v>
      </c>
      <c r="H523" s="1">
        <v>0</v>
      </c>
      <c r="I523" s="1">
        <v>3149710</v>
      </c>
      <c r="J523" s="1">
        <v>0</v>
      </c>
      <c r="K523" s="1">
        <v>0</v>
      </c>
      <c r="L523" s="1">
        <v>4966981</v>
      </c>
      <c r="M523" s="1">
        <v>400000</v>
      </c>
      <c r="N523" s="1">
        <v>2249792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5237142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2229910</v>
      </c>
      <c r="AE523" s="1">
        <v>0</v>
      </c>
      <c r="AF523" s="1">
        <v>1111269</v>
      </c>
      <c r="AG523" s="1">
        <v>0</v>
      </c>
      <c r="AH523" s="1">
        <v>0</v>
      </c>
      <c r="AI523" s="1">
        <v>0</v>
      </c>
      <c r="AJ523" s="1">
        <v>2814450</v>
      </c>
      <c r="AK523" s="1">
        <v>0</v>
      </c>
      <c r="AL523" s="1">
        <v>0</v>
      </c>
      <c r="AM523" s="1">
        <v>0</v>
      </c>
      <c r="AN523" s="1">
        <v>31570074</v>
      </c>
      <c r="AO523" s="1">
        <v>3413103</v>
      </c>
      <c r="AP523" s="1">
        <v>28156971</v>
      </c>
      <c r="AQ523" s="1">
        <v>6091761</v>
      </c>
      <c r="AR523" s="1">
        <v>913764</v>
      </c>
      <c r="AS523" s="1">
        <v>0</v>
      </c>
      <c r="AT523" s="1">
        <f t="shared" si="55"/>
        <v>38575599</v>
      </c>
    </row>
    <row r="524" spans="1:46">
      <c r="A524" s="1" t="str">
        <f>"00591"</f>
        <v>00591</v>
      </c>
      <c r="B524" s="1" t="str">
        <f>"سيد مهدي"</f>
        <v>سيد مهدي</v>
      </c>
      <c r="C524" s="1" t="str">
        <f>"موسوي"</f>
        <v>موسوي</v>
      </c>
      <c r="D524" s="1" t="str">
        <f t="shared" si="54"/>
        <v>قراردادي کارگري</v>
      </c>
      <c r="E524" s="1" t="str">
        <f t="shared" si="53"/>
        <v>پروژه تعميرات نيروگاه بوشهر</v>
      </c>
      <c r="F524" s="1">
        <v>5309616</v>
      </c>
      <c r="G524" s="1">
        <v>6733505</v>
      </c>
      <c r="H524" s="1">
        <v>0</v>
      </c>
      <c r="I524" s="1">
        <v>3291962</v>
      </c>
      <c r="J524" s="1">
        <v>0</v>
      </c>
      <c r="K524" s="1">
        <v>0</v>
      </c>
      <c r="L524" s="1">
        <v>5036762</v>
      </c>
      <c r="M524" s="1">
        <v>400000</v>
      </c>
      <c r="N524" s="1">
        <v>2654807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5693807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2443972</v>
      </c>
      <c r="AE524" s="1">
        <v>0</v>
      </c>
      <c r="AF524" s="1">
        <v>3333807</v>
      </c>
      <c r="AG524" s="1">
        <v>0</v>
      </c>
      <c r="AH524" s="1">
        <v>0</v>
      </c>
      <c r="AI524" s="1">
        <v>0</v>
      </c>
      <c r="AJ524" s="1">
        <v>4104231</v>
      </c>
      <c r="AK524" s="1">
        <v>0</v>
      </c>
      <c r="AL524" s="1">
        <v>0</v>
      </c>
      <c r="AM524" s="1">
        <v>0</v>
      </c>
      <c r="AN524" s="1">
        <v>40102469</v>
      </c>
      <c r="AO524" s="1">
        <v>8820250</v>
      </c>
      <c r="AP524" s="1">
        <v>31282219</v>
      </c>
      <c r="AQ524" s="1">
        <v>7353732</v>
      </c>
      <c r="AR524" s="1">
        <v>1103060</v>
      </c>
      <c r="AS524" s="1">
        <v>1060000</v>
      </c>
      <c r="AT524" s="1">
        <f t="shared" si="55"/>
        <v>49619261</v>
      </c>
    </row>
    <row r="525" spans="1:46">
      <c r="A525" s="1" t="str">
        <f>"00594"</f>
        <v>00594</v>
      </c>
      <c r="B525" s="1" t="str">
        <f>"مهدي"</f>
        <v>مهدي</v>
      </c>
      <c r="C525" s="1" t="str">
        <f>"احمديان مفرد"</f>
        <v>احمديان مفرد</v>
      </c>
      <c r="D525" s="1" t="str">
        <f t="shared" ref="D525:D568" si="56">"قراردادي بهره بردار"</f>
        <v>قراردادي بهره بردار</v>
      </c>
      <c r="E525" s="1" t="str">
        <f t="shared" si="53"/>
        <v>پروژه تعميرات نيروگاه بوشهر</v>
      </c>
      <c r="F525" s="1">
        <v>22672749</v>
      </c>
      <c r="G525" s="1">
        <v>0</v>
      </c>
      <c r="H525" s="1">
        <v>0</v>
      </c>
      <c r="I525" s="1">
        <v>18987619</v>
      </c>
      <c r="J525" s="1">
        <v>0</v>
      </c>
      <c r="K525" s="1">
        <v>5500000</v>
      </c>
      <c r="L525" s="1">
        <v>0</v>
      </c>
      <c r="M525" s="1">
        <v>400000</v>
      </c>
      <c r="N525" s="1">
        <v>3525265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12454472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2518046</v>
      </c>
      <c r="AF525" s="1">
        <v>1111269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6446198</v>
      </c>
      <c r="AM525" s="1">
        <v>0</v>
      </c>
      <c r="AN525" s="1">
        <v>74715618</v>
      </c>
      <c r="AO525" s="1">
        <v>15279915</v>
      </c>
      <c r="AP525" s="1">
        <v>59435703</v>
      </c>
      <c r="AQ525" s="1">
        <v>14720870</v>
      </c>
      <c r="AR525" s="1">
        <v>2208130</v>
      </c>
      <c r="AS525" s="1">
        <v>0</v>
      </c>
      <c r="AT525" s="1">
        <f t="shared" si="55"/>
        <v>91644618</v>
      </c>
    </row>
    <row r="526" spans="1:46">
      <c r="A526" s="1" t="str">
        <f>"00595"</f>
        <v>00595</v>
      </c>
      <c r="B526" s="1" t="str">
        <f>"امين"</f>
        <v>امين</v>
      </c>
      <c r="C526" s="1" t="str">
        <f>"ارجمندي"</f>
        <v>ارجمندي</v>
      </c>
      <c r="D526" s="1" t="str">
        <f t="shared" si="56"/>
        <v>قراردادي بهره بردار</v>
      </c>
      <c r="E526" s="1" t="str">
        <f t="shared" ref="E526:E531" si="57">"پروژه بهره برداري نيروگاه بوشهر"</f>
        <v>پروژه بهره برداري نيروگاه بوشهر</v>
      </c>
      <c r="F526" s="1">
        <v>19132659</v>
      </c>
      <c r="G526" s="1">
        <v>25190352</v>
      </c>
      <c r="H526" s="1">
        <v>3773700</v>
      </c>
      <c r="I526" s="1">
        <v>18575013</v>
      </c>
      <c r="J526" s="1">
        <v>0</v>
      </c>
      <c r="K526" s="1">
        <v>5500000</v>
      </c>
      <c r="L526" s="1">
        <v>0</v>
      </c>
      <c r="M526" s="1">
        <v>400000</v>
      </c>
      <c r="N526" s="1">
        <v>2864238</v>
      </c>
      <c r="O526" s="1">
        <v>0</v>
      </c>
      <c r="P526" s="1">
        <v>0</v>
      </c>
      <c r="Q526" s="1">
        <v>0</v>
      </c>
      <c r="R526" s="1">
        <v>0</v>
      </c>
      <c r="S526" s="1">
        <v>1525500</v>
      </c>
      <c r="T526" s="1">
        <v>0</v>
      </c>
      <c r="U526" s="1">
        <v>0</v>
      </c>
      <c r="V526" s="1">
        <v>4831716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2425950</v>
      </c>
      <c r="AD526" s="1">
        <v>0</v>
      </c>
      <c r="AE526" s="1">
        <v>2045884</v>
      </c>
      <c r="AF526" s="1">
        <v>1111269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3273415</v>
      </c>
      <c r="AM526" s="1">
        <v>0</v>
      </c>
      <c r="AN526" s="1">
        <v>91749696</v>
      </c>
      <c r="AO526" s="1">
        <v>14981587</v>
      </c>
      <c r="AP526" s="1">
        <v>76768109</v>
      </c>
      <c r="AQ526" s="1">
        <v>15557766</v>
      </c>
      <c r="AR526" s="1">
        <v>2333665</v>
      </c>
      <c r="AS526" s="1">
        <v>0</v>
      </c>
      <c r="AT526" s="1">
        <f t="shared" si="55"/>
        <v>109641127</v>
      </c>
    </row>
    <row r="527" spans="1:46">
      <c r="A527" s="1" t="str">
        <f>"00600"</f>
        <v>00600</v>
      </c>
      <c r="B527" s="1" t="str">
        <f>"اسماعيل"</f>
        <v>اسماعيل</v>
      </c>
      <c r="C527" s="1" t="str">
        <f>"هويداپور"</f>
        <v>هويداپور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17542449</v>
      </c>
      <c r="G527" s="1">
        <v>14524702</v>
      </c>
      <c r="H527" s="1">
        <v>0</v>
      </c>
      <c r="I527" s="1">
        <v>15405262</v>
      </c>
      <c r="J527" s="1">
        <v>0</v>
      </c>
      <c r="K527" s="1">
        <v>5500000</v>
      </c>
      <c r="L527" s="1">
        <v>0</v>
      </c>
      <c r="M527" s="1">
        <v>400000</v>
      </c>
      <c r="N527" s="1">
        <v>2474981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4211330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2447784</v>
      </c>
      <c r="AD527" s="1">
        <v>0</v>
      </c>
      <c r="AE527" s="1">
        <v>1767844</v>
      </c>
      <c r="AF527" s="1">
        <v>1111269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2474981</v>
      </c>
      <c r="AM527" s="1">
        <v>0</v>
      </c>
      <c r="AN527" s="1">
        <v>68960602</v>
      </c>
      <c r="AO527" s="1">
        <v>15010789</v>
      </c>
      <c r="AP527" s="1">
        <v>53949813</v>
      </c>
      <c r="AQ527" s="1">
        <v>13569867</v>
      </c>
      <c r="AR527" s="1">
        <v>2035480</v>
      </c>
      <c r="AS527" s="1">
        <v>0</v>
      </c>
      <c r="AT527" s="1">
        <f t="shared" si="55"/>
        <v>84565949</v>
      </c>
    </row>
    <row r="528" spans="1:46">
      <c r="A528" s="1" t="str">
        <f>"00601"</f>
        <v>00601</v>
      </c>
      <c r="B528" s="1" t="str">
        <f>"وحيد"</f>
        <v>وحيد</v>
      </c>
      <c r="C528" s="1" t="str">
        <f>"پاکروان"</f>
        <v>پاکروان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13394505</v>
      </c>
      <c r="G528" s="1">
        <v>8191868</v>
      </c>
      <c r="H528" s="1">
        <v>0</v>
      </c>
      <c r="I528" s="1">
        <v>10594259</v>
      </c>
      <c r="J528" s="1">
        <v>0</v>
      </c>
      <c r="K528" s="1">
        <v>4125000</v>
      </c>
      <c r="L528" s="1">
        <v>0</v>
      </c>
      <c r="M528" s="1">
        <v>400000</v>
      </c>
      <c r="N528" s="1">
        <v>1964508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2918068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1403220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1824187</v>
      </c>
      <c r="AM528" s="1">
        <v>0</v>
      </c>
      <c r="AN528" s="1">
        <v>45915615</v>
      </c>
      <c r="AO528" s="1">
        <v>14958649</v>
      </c>
      <c r="AP528" s="1">
        <v>30956966</v>
      </c>
      <c r="AQ528" s="1">
        <v>9183123</v>
      </c>
      <c r="AR528" s="1">
        <v>1377468</v>
      </c>
      <c r="AS528" s="1">
        <v>0</v>
      </c>
      <c r="AT528" s="1">
        <f t="shared" si="55"/>
        <v>56476206</v>
      </c>
    </row>
    <row r="529" spans="1:46">
      <c r="A529" s="1" t="str">
        <f>"00602"</f>
        <v>00602</v>
      </c>
      <c r="B529" s="1" t="str">
        <f>"زينب"</f>
        <v>زينب</v>
      </c>
      <c r="C529" s="1" t="str">
        <f>"صمديان مطلق"</f>
        <v>صمديان مطلق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12690213</v>
      </c>
      <c r="G529" s="1">
        <v>782891</v>
      </c>
      <c r="H529" s="1">
        <v>0</v>
      </c>
      <c r="I529" s="1">
        <v>11391058</v>
      </c>
      <c r="J529" s="1">
        <v>950000</v>
      </c>
      <c r="K529" s="1">
        <v>3465000</v>
      </c>
      <c r="L529" s="1">
        <v>0</v>
      </c>
      <c r="M529" s="1">
        <v>400000</v>
      </c>
      <c r="N529" s="1">
        <v>2237368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3253574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2381621</v>
      </c>
      <c r="AD529" s="1">
        <v>0</v>
      </c>
      <c r="AE529" s="1">
        <v>1598119</v>
      </c>
      <c r="AF529" s="1">
        <v>2222538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2237368</v>
      </c>
      <c r="AM529" s="1">
        <v>0</v>
      </c>
      <c r="AN529" s="1">
        <v>44709750</v>
      </c>
      <c r="AO529" s="1">
        <v>8055673</v>
      </c>
      <c r="AP529" s="1">
        <v>36654077</v>
      </c>
      <c r="AQ529" s="1">
        <v>8307442</v>
      </c>
      <c r="AR529" s="1">
        <v>1246116</v>
      </c>
      <c r="AS529" s="1">
        <v>0</v>
      </c>
      <c r="AT529" s="1">
        <f t="shared" si="55"/>
        <v>54263308</v>
      </c>
    </row>
    <row r="530" spans="1:46">
      <c r="A530" s="1" t="str">
        <f>"00603"</f>
        <v>00603</v>
      </c>
      <c r="B530" s="1" t="str">
        <f>"اسماعيل"</f>
        <v>اسماعيل</v>
      </c>
      <c r="C530" s="1" t="str">
        <f>"قاسمي خواه"</f>
        <v>قاسمي خواه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15653095</v>
      </c>
      <c r="G530" s="1">
        <v>12082447</v>
      </c>
      <c r="H530" s="1">
        <v>0</v>
      </c>
      <c r="I530" s="1">
        <v>13753857</v>
      </c>
      <c r="J530" s="1">
        <v>0</v>
      </c>
      <c r="K530" s="1">
        <v>5500000</v>
      </c>
      <c r="L530" s="1">
        <v>0</v>
      </c>
      <c r="M530" s="1">
        <v>400000</v>
      </c>
      <c r="N530" s="1">
        <v>2697061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8144938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1926472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3852945</v>
      </c>
      <c r="AM530" s="1">
        <v>0</v>
      </c>
      <c r="AN530" s="1">
        <v>65110815</v>
      </c>
      <c r="AO530" s="1">
        <v>14391554</v>
      </c>
      <c r="AP530" s="1">
        <v>50719261</v>
      </c>
      <c r="AQ530" s="1">
        <v>13022163</v>
      </c>
      <c r="AR530" s="1">
        <v>1953324</v>
      </c>
      <c r="AS530" s="1">
        <v>0</v>
      </c>
      <c r="AT530" s="1">
        <f t="shared" si="55"/>
        <v>80086302</v>
      </c>
    </row>
    <row r="531" spans="1:46">
      <c r="A531" s="1" t="str">
        <f>"00604"</f>
        <v>00604</v>
      </c>
      <c r="B531" s="1" t="str">
        <f>"مهدي"</f>
        <v>مهدي</v>
      </c>
      <c r="C531" s="1" t="str">
        <f>"اسدي"</f>
        <v>اسدي</v>
      </c>
      <c r="D531" s="1" t="str">
        <f t="shared" si="56"/>
        <v>قراردادي بهره بردار</v>
      </c>
      <c r="E531" s="1" t="str">
        <f t="shared" si="57"/>
        <v>پروژه بهره برداري نيروگاه بوشهر</v>
      </c>
      <c r="F531" s="1">
        <v>15927809</v>
      </c>
      <c r="G531" s="1">
        <v>14674706</v>
      </c>
      <c r="H531" s="1">
        <v>0</v>
      </c>
      <c r="I531" s="1">
        <v>14431344</v>
      </c>
      <c r="J531" s="1">
        <v>0</v>
      </c>
      <c r="K531" s="1">
        <v>5500000</v>
      </c>
      <c r="L531" s="1">
        <v>0</v>
      </c>
      <c r="M531" s="1">
        <v>400000</v>
      </c>
      <c r="N531" s="1">
        <v>2442680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1270000</v>
      </c>
      <c r="U531" s="1">
        <v>0</v>
      </c>
      <c r="V531" s="1">
        <v>3733824</v>
      </c>
      <c r="W531" s="1">
        <v>1100000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1744771</v>
      </c>
      <c r="AF531" s="1">
        <v>1111269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2791635</v>
      </c>
      <c r="AM531" s="1">
        <v>0</v>
      </c>
      <c r="AN531" s="1">
        <v>65128038</v>
      </c>
      <c r="AO531" s="1">
        <v>15283481</v>
      </c>
      <c r="AP531" s="1">
        <v>49844557</v>
      </c>
      <c r="AQ531" s="1">
        <v>12549354</v>
      </c>
      <c r="AR531" s="1">
        <v>1882403</v>
      </c>
      <c r="AS531" s="1">
        <v>0</v>
      </c>
      <c r="AT531" s="1">
        <f t="shared" si="55"/>
        <v>79559795</v>
      </c>
    </row>
    <row r="532" spans="1:46">
      <c r="A532" s="1" t="str">
        <f>"00606"</f>
        <v>00606</v>
      </c>
      <c r="B532" s="1" t="str">
        <f>"محمدابراهيم"</f>
        <v>محمدابراهيم</v>
      </c>
      <c r="C532" s="1" t="str">
        <f>"اسمعيل پور"</f>
        <v>اسمعيل پور</v>
      </c>
      <c r="D532" s="1" t="str">
        <f t="shared" si="56"/>
        <v>قراردادي بهره بردار</v>
      </c>
      <c r="E532" s="1" t="str">
        <f>"پروژه تعميرات نيروگاه بوشهر"</f>
        <v>پروژه تعميرات نيروگاه بوشهر</v>
      </c>
      <c r="F532" s="1">
        <v>10620304</v>
      </c>
      <c r="G532" s="1">
        <v>0</v>
      </c>
      <c r="H532" s="1">
        <v>3473497</v>
      </c>
      <c r="I532" s="1">
        <v>8425551</v>
      </c>
      <c r="J532" s="1">
        <v>0</v>
      </c>
      <c r="K532" s="1">
        <v>4620000</v>
      </c>
      <c r="L532" s="1">
        <v>0</v>
      </c>
      <c r="M532" s="1">
        <v>400000</v>
      </c>
      <c r="N532" s="1">
        <v>1778059</v>
      </c>
      <c r="O532" s="1">
        <v>0</v>
      </c>
      <c r="P532" s="1">
        <v>0</v>
      </c>
      <c r="Q532" s="1">
        <v>0</v>
      </c>
      <c r="R532" s="1">
        <v>0</v>
      </c>
      <c r="S532" s="1">
        <v>1525500</v>
      </c>
      <c r="T532" s="1">
        <v>0</v>
      </c>
      <c r="U532" s="1">
        <v>0</v>
      </c>
      <c r="V532" s="1">
        <v>9288106</v>
      </c>
      <c r="W532" s="1">
        <v>1100000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1270042</v>
      </c>
      <c r="AF532" s="1">
        <v>1111269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3352910</v>
      </c>
      <c r="AM532" s="1">
        <v>0</v>
      </c>
      <c r="AN532" s="1">
        <v>46965238</v>
      </c>
      <c r="AO532" s="1">
        <v>10836321</v>
      </c>
      <c r="AP532" s="1">
        <v>36128917</v>
      </c>
      <c r="AQ532" s="1">
        <v>8170994</v>
      </c>
      <c r="AR532" s="1">
        <v>1225649</v>
      </c>
      <c r="AS532" s="1">
        <v>0</v>
      </c>
      <c r="AT532" s="1">
        <f t="shared" si="55"/>
        <v>56361881</v>
      </c>
    </row>
    <row r="533" spans="1:46">
      <c r="A533" s="1" t="str">
        <f>"00607"</f>
        <v>00607</v>
      </c>
      <c r="B533" s="1" t="str">
        <f>"امين"</f>
        <v>امين</v>
      </c>
      <c r="C533" s="1" t="str">
        <f>"افخمي نسب"</f>
        <v>افخمي نسب</v>
      </c>
      <c r="D533" s="1" t="str">
        <f t="shared" si="56"/>
        <v>قراردادي بهره بردار</v>
      </c>
      <c r="E533" s="1" t="str">
        <f t="shared" ref="E533:E553" si="58">"پروژه بهره برداري نيروگاه بوشهر"</f>
        <v>پروژه بهره برداري نيروگاه بوشهر</v>
      </c>
      <c r="F533" s="1">
        <v>11279496</v>
      </c>
      <c r="G533" s="1">
        <v>2533519</v>
      </c>
      <c r="H533" s="1">
        <v>0</v>
      </c>
      <c r="I533" s="1">
        <v>8691055</v>
      </c>
      <c r="J533" s="1">
        <v>0</v>
      </c>
      <c r="K533" s="1">
        <v>4620000</v>
      </c>
      <c r="L533" s="1">
        <v>0</v>
      </c>
      <c r="M533" s="1">
        <v>400000</v>
      </c>
      <c r="N533" s="1">
        <v>2046759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1270000</v>
      </c>
      <c r="U533" s="1">
        <v>0</v>
      </c>
      <c r="V533" s="1">
        <v>13059901</v>
      </c>
      <c r="W533" s="1">
        <v>1100000</v>
      </c>
      <c r="X533" s="1">
        <v>1691924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1461971</v>
      </c>
      <c r="AF533" s="1">
        <v>1111269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6892580</v>
      </c>
      <c r="AM533" s="1">
        <v>0</v>
      </c>
      <c r="AN533" s="1">
        <v>56158474</v>
      </c>
      <c r="AO533" s="1">
        <v>15697730</v>
      </c>
      <c r="AP533" s="1">
        <v>40460744</v>
      </c>
      <c r="AQ533" s="1">
        <v>10755441</v>
      </c>
      <c r="AR533" s="1">
        <v>1613316</v>
      </c>
      <c r="AS533" s="1">
        <v>0</v>
      </c>
      <c r="AT533" s="1">
        <f t="shared" si="55"/>
        <v>68527231</v>
      </c>
    </row>
    <row r="534" spans="1:46">
      <c r="A534" s="1" t="str">
        <f>"00608"</f>
        <v>00608</v>
      </c>
      <c r="B534" s="1" t="str">
        <f>"مجتبي"</f>
        <v>مجتبي</v>
      </c>
      <c r="C534" s="1" t="str">
        <f>"بازدار"</f>
        <v>بازدار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14963921</v>
      </c>
      <c r="G534" s="1">
        <v>5824607</v>
      </c>
      <c r="H534" s="1">
        <v>0</v>
      </c>
      <c r="I534" s="1">
        <v>11010578</v>
      </c>
      <c r="J534" s="1">
        <v>0</v>
      </c>
      <c r="K534" s="1">
        <v>5500000</v>
      </c>
      <c r="L534" s="1">
        <v>0</v>
      </c>
      <c r="M534" s="1">
        <v>400000</v>
      </c>
      <c r="N534" s="1">
        <v>2462186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1270000</v>
      </c>
      <c r="U534" s="1">
        <v>0</v>
      </c>
      <c r="V534" s="1">
        <v>8786454</v>
      </c>
      <c r="W534" s="1">
        <v>1100000</v>
      </c>
      <c r="X534" s="1">
        <v>2244588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1758705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8006586</v>
      </c>
      <c r="AM534" s="1">
        <v>0</v>
      </c>
      <c r="AN534" s="1">
        <v>63327625</v>
      </c>
      <c r="AO534" s="1">
        <v>11074578</v>
      </c>
      <c r="AP534" s="1">
        <v>52253047</v>
      </c>
      <c r="AQ534" s="1">
        <v>12411525</v>
      </c>
      <c r="AR534" s="1">
        <v>1861729</v>
      </c>
      <c r="AS534" s="1">
        <v>0</v>
      </c>
      <c r="AT534" s="1">
        <f t="shared" si="55"/>
        <v>77600879</v>
      </c>
    </row>
    <row r="535" spans="1:46">
      <c r="A535" s="1" t="str">
        <f>"00609"</f>
        <v>00609</v>
      </c>
      <c r="B535" s="1" t="str">
        <f>"ناصر"</f>
        <v>ناصر</v>
      </c>
      <c r="C535" s="1" t="str">
        <f>"بحراني"</f>
        <v>بحراني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15519218</v>
      </c>
      <c r="G535" s="1">
        <v>6881745</v>
      </c>
      <c r="H535" s="1">
        <v>0</v>
      </c>
      <c r="I535" s="1">
        <v>11876653</v>
      </c>
      <c r="J535" s="1">
        <v>0</v>
      </c>
      <c r="K535" s="1">
        <v>5500000</v>
      </c>
      <c r="L535" s="1">
        <v>0</v>
      </c>
      <c r="M535" s="1">
        <v>400000</v>
      </c>
      <c r="N535" s="1">
        <v>2657917</v>
      </c>
      <c r="O535" s="1">
        <v>0</v>
      </c>
      <c r="P535" s="1">
        <v>0</v>
      </c>
      <c r="Q535" s="1">
        <v>0</v>
      </c>
      <c r="R535" s="1">
        <v>0</v>
      </c>
      <c r="S535" s="1">
        <v>1017000</v>
      </c>
      <c r="T535" s="1">
        <v>1270000</v>
      </c>
      <c r="U535" s="1">
        <v>0</v>
      </c>
      <c r="V535" s="1">
        <v>11439784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1898512</v>
      </c>
      <c r="AF535" s="1">
        <v>1111269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3797024</v>
      </c>
      <c r="AM535" s="1">
        <v>0</v>
      </c>
      <c r="AN535" s="1">
        <v>64469122</v>
      </c>
      <c r="AO535" s="1">
        <v>14021877</v>
      </c>
      <c r="AP535" s="1">
        <v>50447245</v>
      </c>
      <c r="AQ535" s="1">
        <v>12214171</v>
      </c>
      <c r="AR535" s="1">
        <v>1832126</v>
      </c>
      <c r="AS535" s="1">
        <v>0</v>
      </c>
      <c r="AT535" s="1">
        <f t="shared" si="55"/>
        <v>78515419</v>
      </c>
    </row>
    <row r="536" spans="1:46">
      <c r="A536" s="1" t="str">
        <f>"00612"</f>
        <v>00612</v>
      </c>
      <c r="B536" s="1" t="str">
        <f>"سمانه"</f>
        <v>سمانه</v>
      </c>
      <c r="C536" s="1" t="str">
        <f>"جلالي رودبارکي"</f>
        <v>جلالي رودبارکي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15439016</v>
      </c>
      <c r="G536" s="1">
        <v>4910465</v>
      </c>
      <c r="H536" s="1">
        <v>0</v>
      </c>
      <c r="I536" s="1">
        <v>11193123</v>
      </c>
      <c r="J536" s="1">
        <v>950000</v>
      </c>
      <c r="K536" s="1">
        <v>4125000</v>
      </c>
      <c r="L536" s="1">
        <v>0</v>
      </c>
      <c r="M536" s="1">
        <v>400000</v>
      </c>
      <c r="N536" s="1">
        <v>2579984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1270000</v>
      </c>
      <c r="U536" s="1">
        <v>0</v>
      </c>
      <c r="V536" s="1">
        <v>5241743</v>
      </c>
      <c r="W536" s="1">
        <v>1100000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1842845</v>
      </c>
      <c r="AF536" s="1">
        <v>1111269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3317122</v>
      </c>
      <c r="AM536" s="1">
        <v>0</v>
      </c>
      <c r="AN536" s="1">
        <v>53480567</v>
      </c>
      <c r="AO536" s="1">
        <v>10515310</v>
      </c>
      <c r="AP536" s="1">
        <v>42965257</v>
      </c>
      <c r="AQ536" s="1">
        <v>10029860</v>
      </c>
      <c r="AR536" s="1">
        <v>1504479</v>
      </c>
      <c r="AS536" s="1">
        <v>0</v>
      </c>
      <c r="AT536" s="1">
        <f t="shared" si="55"/>
        <v>65014906</v>
      </c>
    </row>
    <row r="537" spans="1:46">
      <c r="A537" s="1" t="str">
        <f>"00613"</f>
        <v>00613</v>
      </c>
      <c r="B537" s="1" t="str">
        <f>"سعيد"</f>
        <v>سعيد</v>
      </c>
      <c r="C537" s="1" t="str">
        <f>"جوکار"</f>
        <v>جوکار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11594018</v>
      </c>
      <c r="G537" s="1">
        <v>2632233</v>
      </c>
      <c r="H537" s="1">
        <v>0</v>
      </c>
      <c r="I537" s="1">
        <v>9757951</v>
      </c>
      <c r="J537" s="1">
        <v>0</v>
      </c>
      <c r="K537" s="1">
        <v>4620000</v>
      </c>
      <c r="L537" s="1">
        <v>0</v>
      </c>
      <c r="M537" s="1">
        <v>400000</v>
      </c>
      <c r="N537" s="1">
        <v>2164514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1270000</v>
      </c>
      <c r="U537" s="1">
        <v>0</v>
      </c>
      <c r="V537" s="1">
        <v>11512082</v>
      </c>
      <c r="W537" s="1">
        <v>1100000</v>
      </c>
      <c r="X537" s="1">
        <v>1739103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1546081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8549353</v>
      </c>
      <c r="AM537" s="1">
        <v>0</v>
      </c>
      <c r="AN537" s="1">
        <v>56885335</v>
      </c>
      <c r="AO537" s="1">
        <v>13001661</v>
      </c>
      <c r="AP537" s="1">
        <v>43883674</v>
      </c>
      <c r="AQ537" s="1">
        <v>11123067</v>
      </c>
      <c r="AR537" s="1">
        <v>1668460</v>
      </c>
      <c r="AS537" s="1">
        <v>0</v>
      </c>
      <c r="AT537" s="1">
        <f t="shared" si="55"/>
        <v>69676862</v>
      </c>
    </row>
    <row r="538" spans="1:46">
      <c r="A538" s="1" t="str">
        <f>"00614"</f>
        <v>00614</v>
      </c>
      <c r="B538" s="1" t="str">
        <f>"مجتبي"</f>
        <v>مجتبي</v>
      </c>
      <c r="C538" s="1" t="str">
        <f>"حسني"</f>
        <v>حسني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11881230</v>
      </c>
      <c r="G538" s="1">
        <v>8165145</v>
      </c>
      <c r="H538" s="1">
        <v>0</v>
      </c>
      <c r="I538" s="1">
        <v>9193230</v>
      </c>
      <c r="J538" s="1">
        <v>0</v>
      </c>
      <c r="K538" s="1">
        <v>3465000</v>
      </c>
      <c r="L538" s="1">
        <v>0</v>
      </c>
      <c r="M538" s="1">
        <v>400000</v>
      </c>
      <c r="N538" s="1">
        <v>2236223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9360846</v>
      </c>
      <c r="W538" s="1">
        <v>1100000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1597302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4344661</v>
      </c>
      <c r="AM538" s="1">
        <v>0</v>
      </c>
      <c r="AN538" s="1">
        <v>51743637</v>
      </c>
      <c r="AO538" s="1">
        <v>10308598</v>
      </c>
      <c r="AP538" s="1">
        <v>41435039</v>
      </c>
      <c r="AQ538" s="1">
        <v>10348727</v>
      </c>
      <c r="AR538" s="1">
        <v>1552309</v>
      </c>
      <c r="AS538" s="1">
        <v>0</v>
      </c>
      <c r="AT538" s="1">
        <f t="shared" si="55"/>
        <v>63644673</v>
      </c>
    </row>
    <row r="539" spans="1:46">
      <c r="A539" s="1" t="str">
        <f>"00616"</f>
        <v>00616</v>
      </c>
      <c r="B539" s="1" t="str">
        <f>"حامد"</f>
        <v>حامد</v>
      </c>
      <c r="C539" s="1" t="str">
        <f>"حسين زاده"</f>
        <v>حسين زاده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15365721</v>
      </c>
      <c r="G539" s="1">
        <v>7393934</v>
      </c>
      <c r="H539" s="1">
        <v>0</v>
      </c>
      <c r="I539" s="1">
        <v>12689590</v>
      </c>
      <c r="J539" s="1">
        <v>0</v>
      </c>
      <c r="K539" s="1">
        <v>5500000</v>
      </c>
      <c r="L539" s="1">
        <v>0</v>
      </c>
      <c r="M539" s="1">
        <v>400000</v>
      </c>
      <c r="N539" s="1">
        <v>2611631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1270000</v>
      </c>
      <c r="U539" s="1">
        <v>0</v>
      </c>
      <c r="V539" s="1">
        <v>11426674</v>
      </c>
      <c r="W539" s="1">
        <v>1100000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1865451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4327846</v>
      </c>
      <c r="AM539" s="1">
        <v>0</v>
      </c>
      <c r="AN539" s="1">
        <v>63950847</v>
      </c>
      <c r="AO539" s="1">
        <v>8671279</v>
      </c>
      <c r="AP539" s="1">
        <v>55279568</v>
      </c>
      <c r="AQ539" s="1">
        <v>12536169</v>
      </c>
      <c r="AR539" s="1">
        <v>1880425</v>
      </c>
      <c r="AS539" s="1">
        <v>0</v>
      </c>
      <c r="AT539" s="1">
        <f t="shared" si="55"/>
        <v>78367441</v>
      </c>
    </row>
    <row r="540" spans="1:46">
      <c r="A540" s="1" t="str">
        <f>"00617"</f>
        <v>00617</v>
      </c>
      <c r="B540" s="1" t="str">
        <f>"صادق"</f>
        <v>صادق</v>
      </c>
      <c r="C540" s="1" t="str">
        <f>"دارابي"</f>
        <v>دارابي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11981231</v>
      </c>
      <c r="G540" s="1">
        <v>5925730</v>
      </c>
      <c r="H540" s="1">
        <v>0</v>
      </c>
      <c r="I540" s="1">
        <v>9448605</v>
      </c>
      <c r="J540" s="1">
        <v>0</v>
      </c>
      <c r="K540" s="1">
        <v>3465000</v>
      </c>
      <c r="L540" s="1">
        <v>0</v>
      </c>
      <c r="M540" s="1">
        <v>400000</v>
      </c>
      <c r="N540" s="1">
        <v>2280018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10865388</v>
      </c>
      <c r="W540" s="1">
        <v>1100000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1628584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4429748</v>
      </c>
      <c r="AM540" s="1">
        <v>0</v>
      </c>
      <c r="AN540" s="1">
        <v>51524304</v>
      </c>
      <c r="AO540" s="1">
        <v>8507646</v>
      </c>
      <c r="AP540" s="1">
        <v>43016658</v>
      </c>
      <c r="AQ540" s="1">
        <v>10304861</v>
      </c>
      <c r="AR540" s="1">
        <v>1545729</v>
      </c>
      <c r="AS540" s="1">
        <v>0</v>
      </c>
      <c r="AT540" s="1">
        <f t="shared" si="55"/>
        <v>63374894</v>
      </c>
    </row>
    <row r="541" spans="1:46">
      <c r="A541" s="1" t="str">
        <f>"00618"</f>
        <v>00618</v>
      </c>
      <c r="B541" s="1" t="str">
        <f>"صادق"</f>
        <v>صادق</v>
      </c>
      <c r="C541" s="1" t="str">
        <f>"داودي"</f>
        <v>داودي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14980401</v>
      </c>
      <c r="G541" s="1">
        <v>7389680</v>
      </c>
      <c r="H541" s="1">
        <v>0</v>
      </c>
      <c r="I541" s="1">
        <v>10959418</v>
      </c>
      <c r="J541" s="1">
        <v>0</v>
      </c>
      <c r="K541" s="1">
        <v>5500000</v>
      </c>
      <c r="L541" s="1">
        <v>0</v>
      </c>
      <c r="M541" s="1">
        <v>400000</v>
      </c>
      <c r="N541" s="1">
        <v>2448670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10427049</v>
      </c>
      <c r="W541" s="1">
        <v>1100000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1749051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3498101</v>
      </c>
      <c r="AM541" s="1">
        <v>0</v>
      </c>
      <c r="AN541" s="1">
        <v>58452370</v>
      </c>
      <c r="AO541" s="1">
        <v>9912895</v>
      </c>
      <c r="AP541" s="1">
        <v>48539475</v>
      </c>
      <c r="AQ541" s="1">
        <v>11690474</v>
      </c>
      <c r="AR541" s="1">
        <v>1753571</v>
      </c>
      <c r="AS541" s="1">
        <v>0</v>
      </c>
      <c r="AT541" s="1">
        <f t="shared" si="55"/>
        <v>71896415</v>
      </c>
    </row>
    <row r="542" spans="1:46">
      <c r="A542" s="1" t="str">
        <f>"00619"</f>
        <v>00619</v>
      </c>
      <c r="B542" s="1" t="str">
        <f>"وحيد"</f>
        <v>وحيد</v>
      </c>
      <c r="C542" s="1" t="str">
        <f>"دردي"</f>
        <v>دردي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11642835</v>
      </c>
      <c r="G542" s="1">
        <v>2274398</v>
      </c>
      <c r="H542" s="1">
        <v>0</v>
      </c>
      <c r="I542" s="1">
        <v>9215422</v>
      </c>
      <c r="J542" s="1">
        <v>0</v>
      </c>
      <c r="K542" s="1">
        <v>3465000</v>
      </c>
      <c r="L542" s="1">
        <v>0</v>
      </c>
      <c r="M542" s="1">
        <v>400000</v>
      </c>
      <c r="N542" s="1">
        <v>2178980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1270000</v>
      </c>
      <c r="U542" s="1">
        <v>0</v>
      </c>
      <c r="V542" s="1">
        <v>11368103</v>
      </c>
      <c r="W542" s="1">
        <v>1100000</v>
      </c>
      <c r="X542" s="1">
        <v>1746425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1556415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8597889</v>
      </c>
      <c r="AM542" s="1">
        <v>0</v>
      </c>
      <c r="AN542" s="1">
        <v>54815467</v>
      </c>
      <c r="AO542" s="1">
        <v>8666536</v>
      </c>
      <c r="AP542" s="1">
        <v>46148931</v>
      </c>
      <c r="AQ542" s="1">
        <v>10709093</v>
      </c>
      <c r="AR542" s="1">
        <v>1606364</v>
      </c>
      <c r="AS542" s="1">
        <v>0</v>
      </c>
      <c r="AT542" s="1">
        <f t="shared" si="55"/>
        <v>67130924</v>
      </c>
    </row>
    <row r="543" spans="1:46">
      <c r="A543" s="1" t="str">
        <f>"00620"</f>
        <v>00620</v>
      </c>
      <c r="B543" s="1" t="str">
        <f>"سروش"</f>
        <v>سروش</v>
      </c>
      <c r="C543" s="1" t="str">
        <f>"دهقان"</f>
        <v>دهقان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11576388</v>
      </c>
      <c r="G543" s="1">
        <v>2911148</v>
      </c>
      <c r="H543" s="1">
        <v>0</v>
      </c>
      <c r="I543" s="1">
        <v>9312395</v>
      </c>
      <c r="J543" s="1">
        <v>0</v>
      </c>
      <c r="K543" s="1">
        <v>4620000</v>
      </c>
      <c r="L543" s="1">
        <v>0</v>
      </c>
      <c r="M543" s="1">
        <v>400000</v>
      </c>
      <c r="N543" s="1">
        <v>2154975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1270000</v>
      </c>
      <c r="U543" s="1">
        <v>0</v>
      </c>
      <c r="V543" s="1">
        <v>11255612</v>
      </c>
      <c r="W543" s="1">
        <v>1100000</v>
      </c>
      <c r="X543" s="1">
        <v>1736458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1539268</v>
      </c>
      <c r="AF543" s="1">
        <v>2222538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8521715</v>
      </c>
      <c r="AM543" s="1">
        <v>0</v>
      </c>
      <c r="AN543" s="1">
        <v>58620497</v>
      </c>
      <c r="AO543" s="1">
        <v>12060648</v>
      </c>
      <c r="AP543" s="1">
        <v>46559849</v>
      </c>
      <c r="AQ543" s="1">
        <v>11025592</v>
      </c>
      <c r="AR543" s="1">
        <v>1653839</v>
      </c>
      <c r="AS543" s="1">
        <v>0</v>
      </c>
      <c r="AT543" s="1">
        <f t="shared" si="55"/>
        <v>71299928</v>
      </c>
    </row>
    <row r="544" spans="1:46">
      <c r="A544" s="1" t="str">
        <f>"00621"</f>
        <v>00621</v>
      </c>
      <c r="B544" s="1" t="str">
        <f>"سيده فاطمه"</f>
        <v>سيده فاطمه</v>
      </c>
      <c r="C544" s="1" t="str">
        <f>"رباني زاده"</f>
        <v>رباني زاده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11473747</v>
      </c>
      <c r="G544" s="1">
        <v>2384095</v>
      </c>
      <c r="H544" s="1">
        <v>0</v>
      </c>
      <c r="I544" s="1">
        <v>7598365</v>
      </c>
      <c r="J544" s="1">
        <v>0</v>
      </c>
      <c r="K544" s="1">
        <v>3465000</v>
      </c>
      <c r="L544" s="1">
        <v>0</v>
      </c>
      <c r="M544" s="1">
        <v>400000</v>
      </c>
      <c r="N544" s="1">
        <v>2045329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2476982</v>
      </c>
      <c r="W544" s="1">
        <v>1100000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1460949</v>
      </c>
      <c r="AF544" s="1">
        <v>1111269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2191423</v>
      </c>
      <c r="AM544" s="1">
        <v>0</v>
      </c>
      <c r="AN544" s="1">
        <v>35707159</v>
      </c>
      <c r="AO544" s="1">
        <v>9334798</v>
      </c>
      <c r="AP544" s="1">
        <v>26372361</v>
      </c>
      <c r="AQ544" s="1">
        <v>6919178</v>
      </c>
      <c r="AR544" s="1">
        <v>1037877</v>
      </c>
      <c r="AS544" s="1">
        <v>0</v>
      </c>
      <c r="AT544" s="1">
        <f t="shared" si="55"/>
        <v>43664214</v>
      </c>
    </row>
    <row r="545" spans="1:46">
      <c r="A545" s="1" t="str">
        <f>"00622"</f>
        <v>00622</v>
      </c>
      <c r="B545" s="1" t="str">
        <f>"حسين"</f>
        <v>حسين</v>
      </c>
      <c r="C545" s="1" t="str">
        <f>"رشيدي بد"</f>
        <v>رشيدي بد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11291481</v>
      </c>
      <c r="G545" s="1">
        <v>2541815</v>
      </c>
      <c r="H545" s="1">
        <v>0</v>
      </c>
      <c r="I545" s="1">
        <v>8704797</v>
      </c>
      <c r="J545" s="1">
        <v>0</v>
      </c>
      <c r="K545" s="1">
        <v>3465000</v>
      </c>
      <c r="L545" s="1">
        <v>0</v>
      </c>
      <c r="M545" s="1">
        <v>400000</v>
      </c>
      <c r="N545" s="1">
        <v>2051702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13155841</v>
      </c>
      <c r="W545" s="1">
        <v>1100000</v>
      </c>
      <c r="X545" s="1">
        <v>1693722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1465502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6904648</v>
      </c>
      <c r="AM545" s="1">
        <v>0</v>
      </c>
      <c r="AN545" s="1">
        <v>52774508</v>
      </c>
      <c r="AO545" s="1">
        <v>10281015</v>
      </c>
      <c r="AP545" s="1">
        <v>42493493</v>
      </c>
      <c r="AQ545" s="1">
        <v>10554902</v>
      </c>
      <c r="AR545" s="1">
        <v>1583235</v>
      </c>
      <c r="AS545" s="1">
        <v>0</v>
      </c>
      <c r="AT545" s="1">
        <f t="shared" si="55"/>
        <v>64912645</v>
      </c>
    </row>
    <row r="546" spans="1:46">
      <c r="A546" s="1" t="str">
        <f>"00623"</f>
        <v>00623</v>
      </c>
      <c r="B546" s="1" t="str">
        <f>"فضل اله"</f>
        <v>فضل اله</v>
      </c>
      <c r="C546" s="1" t="str">
        <f>"رضواني نيا"</f>
        <v>رضواني نيا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11787582</v>
      </c>
      <c r="G546" s="1">
        <v>1672063</v>
      </c>
      <c r="H546" s="1">
        <v>0</v>
      </c>
      <c r="I546" s="1">
        <v>9767731</v>
      </c>
      <c r="J546" s="1">
        <v>0</v>
      </c>
      <c r="K546" s="1">
        <v>4620000</v>
      </c>
      <c r="L546" s="1">
        <v>0</v>
      </c>
      <c r="M546" s="1">
        <v>400000</v>
      </c>
      <c r="N546" s="1">
        <v>2235629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1270000</v>
      </c>
      <c r="U546" s="1">
        <v>0</v>
      </c>
      <c r="V546" s="1">
        <v>11700435</v>
      </c>
      <c r="W546" s="1">
        <v>1100000</v>
      </c>
      <c r="X546" s="1">
        <v>668825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1596878</v>
      </c>
      <c r="AF546" s="1">
        <v>1111269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8774033</v>
      </c>
      <c r="AM546" s="1">
        <v>0</v>
      </c>
      <c r="AN546" s="1">
        <v>56704445</v>
      </c>
      <c r="AO546" s="1">
        <v>11320318</v>
      </c>
      <c r="AP546" s="1">
        <v>45384127</v>
      </c>
      <c r="AQ546" s="1">
        <v>10864635</v>
      </c>
      <c r="AR546" s="1">
        <v>1629695</v>
      </c>
      <c r="AS546" s="1">
        <v>0</v>
      </c>
      <c r="AT546" s="1">
        <f t="shared" si="55"/>
        <v>69198775</v>
      </c>
    </row>
    <row r="547" spans="1:46">
      <c r="A547" s="1" t="str">
        <f>"00624"</f>
        <v>00624</v>
      </c>
      <c r="B547" s="1" t="str">
        <f>"مينا"</f>
        <v>مينا</v>
      </c>
      <c r="C547" s="1" t="str">
        <f>"زائري"</f>
        <v>زائري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15672946</v>
      </c>
      <c r="G547" s="1">
        <v>1260830</v>
      </c>
      <c r="H547" s="1">
        <v>0</v>
      </c>
      <c r="I547" s="1">
        <v>11993629</v>
      </c>
      <c r="J547" s="1">
        <v>0</v>
      </c>
      <c r="K547" s="1">
        <v>4125000</v>
      </c>
      <c r="L547" s="1">
        <v>0</v>
      </c>
      <c r="M547" s="1">
        <v>400000</v>
      </c>
      <c r="N547" s="1">
        <v>2685551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7428492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1918251</v>
      </c>
      <c r="AF547" s="1">
        <v>1111269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3529582</v>
      </c>
      <c r="AM547" s="1">
        <v>0</v>
      </c>
      <c r="AN547" s="1">
        <v>51225550</v>
      </c>
      <c r="AO547" s="1">
        <v>10474461</v>
      </c>
      <c r="AP547" s="1">
        <v>40751089</v>
      </c>
      <c r="AQ547" s="1">
        <v>10022856</v>
      </c>
      <c r="AR547" s="1">
        <v>1503428</v>
      </c>
      <c r="AS547" s="1">
        <v>0</v>
      </c>
      <c r="AT547" s="1">
        <f t="shared" si="55"/>
        <v>62751834</v>
      </c>
    </row>
    <row r="548" spans="1:46">
      <c r="A548" s="1" t="str">
        <f>"00625"</f>
        <v>00625</v>
      </c>
      <c r="B548" s="1" t="str">
        <f>"رضا"</f>
        <v>رضا</v>
      </c>
      <c r="C548" s="1" t="str">
        <f>"زنده بودي"</f>
        <v>زنده بودي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13934595</v>
      </c>
      <c r="G548" s="1">
        <v>12249697</v>
      </c>
      <c r="H548" s="1">
        <v>0</v>
      </c>
      <c r="I548" s="1">
        <v>10782831</v>
      </c>
      <c r="J548" s="1">
        <v>0</v>
      </c>
      <c r="K548" s="1">
        <v>5500000</v>
      </c>
      <c r="L548" s="1">
        <v>0</v>
      </c>
      <c r="M548" s="1">
        <v>400000</v>
      </c>
      <c r="N548" s="1">
        <v>2467072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7935675</v>
      </c>
      <c r="W548" s="1">
        <v>1100000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1826278</v>
      </c>
      <c r="AF548" s="1">
        <v>0</v>
      </c>
      <c r="AG548" s="1">
        <v>130515</v>
      </c>
      <c r="AH548" s="1">
        <v>0</v>
      </c>
      <c r="AI548" s="1">
        <v>0</v>
      </c>
      <c r="AJ548" s="1">
        <v>0</v>
      </c>
      <c r="AK548" s="1">
        <v>0</v>
      </c>
      <c r="AL548" s="1">
        <v>2922044</v>
      </c>
      <c r="AM548" s="1">
        <v>0</v>
      </c>
      <c r="AN548" s="1">
        <v>59248707</v>
      </c>
      <c r="AO548" s="1">
        <v>16471041</v>
      </c>
      <c r="AP548" s="1">
        <v>42777666</v>
      </c>
      <c r="AQ548" s="1">
        <v>11849741</v>
      </c>
      <c r="AR548" s="1">
        <v>1777461</v>
      </c>
      <c r="AS548" s="1">
        <v>0</v>
      </c>
      <c r="AT548" s="1">
        <f t="shared" si="55"/>
        <v>72875909</v>
      </c>
    </row>
    <row r="549" spans="1:46">
      <c r="A549" s="1" t="str">
        <f>"00626"</f>
        <v>00626</v>
      </c>
      <c r="B549" s="1" t="str">
        <f>"عباد الله"</f>
        <v>عباد الله</v>
      </c>
      <c r="C549" s="1" t="str">
        <f>"سلطاني"</f>
        <v>سلطاني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11915879</v>
      </c>
      <c r="G549" s="1">
        <v>5880879</v>
      </c>
      <c r="H549" s="1">
        <v>2515800</v>
      </c>
      <c r="I549" s="1">
        <v>9377090</v>
      </c>
      <c r="J549" s="1">
        <v>0</v>
      </c>
      <c r="K549" s="1">
        <v>4620000</v>
      </c>
      <c r="L549" s="1">
        <v>0</v>
      </c>
      <c r="M549" s="1">
        <v>400000</v>
      </c>
      <c r="N549" s="1">
        <v>2255834</v>
      </c>
      <c r="O549" s="1">
        <v>0</v>
      </c>
      <c r="P549" s="1">
        <v>0</v>
      </c>
      <c r="Q549" s="1">
        <v>0</v>
      </c>
      <c r="R549" s="1">
        <v>0</v>
      </c>
      <c r="S549" s="1">
        <v>1017000</v>
      </c>
      <c r="T549" s="1">
        <v>1270000</v>
      </c>
      <c r="U549" s="1">
        <v>0</v>
      </c>
      <c r="V549" s="1">
        <v>10783150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1611310</v>
      </c>
      <c r="AF549" s="1">
        <v>1111269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4382763</v>
      </c>
      <c r="AM549" s="1">
        <v>0</v>
      </c>
      <c r="AN549" s="1">
        <v>58240974</v>
      </c>
      <c r="AO549" s="1">
        <v>14556726</v>
      </c>
      <c r="AP549" s="1">
        <v>43684248</v>
      </c>
      <c r="AQ549" s="1">
        <v>10465381</v>
      </c>
      <c r="AR549" s="1">
        <v>1569807</v>
      </c>
      <c r="AS549" s="1">
        <v>0</v>
      </c>
      <c r="AT549" s="1">
        <f t="shared" si="55"/>
        <v>70276162</v>
      </c>
    </row>
    <row r="550" spans="1:46">
      <c r="A550" s="1" t="str">
        <f>"00627"</f>
        <v>00627</v>
      </c>
      <c r="B550" s="1" t="str">
        <f>"مريم"</f>
        <v>مريم</v>
      </c>
      <c r="C550" s="1" t="str">
        <f>"صفاريان"</f>
        <v>صفاريان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16444299</v>
      </c>
      <c r="G550" s="1">
        <v>1803114</v>
      </c>
      <c r="H550" s="1">
        <v>0</v>
      </c>
      <c r="I550" s="1">
        <v>11133264</v>
      </c>
      <c r="J550" s="1">
        <v>0</v>
      </c>
      <c r="K550" s="1">
        <v>4125000</v>
      </c>
      <c r="L550" s="1">
        <v>0</v>
      </c>
      <c r="M550" s="1">
        <v>400000</v>
      </c>
      <c r="N550" s="1">
        <v>2624372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6138260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1874551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2999282</v>
      </c>
      <c r="AM550" s="1">
        <v>0</v>
      </c>
      <c r="AN550" s="1">
        <v>48642142</v>
      </c>
      <c r="AO550" s="1">
        <v>9553444</v>
      </c>
      <c r="AP550" s="1">
        <v>39088698</v>
      </c>
      <c r="AQ550" s="1">
        <v>9728428</v>
      </c>
      <c r="AR550" s="1">
        <v>1459264</v>
      </c>
      <c r="AS550" s="1">
        <v>0</v>
      </c>
      <c r="AT550" s="1">
        <f t="shared" si="55"/>
        <v>59829834</v>
      </c>
    </row>
    <row r="551" spans="1:46">
      <c r="A551" s="1" t="str">
        <f>"00628"</f>
        <v>00628</v>
      </c>
      <c r="B551" s="1" t="str">
        <f>"رضا"</f>
        <v>رضا</v>
      </c>
      <c r="C551" s="1" t="str">
        <f>"صفري"</f>
        <v>صفري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13519884</v>
      </c>
      <c r="G551" s="1">
        <v>824413</v>
      </c>
      <c r="H551" s="1">
        <v>0</v>
      </c>
      <c r="I551" s="1">
        <v>9872821</v>
      </c>
      <c r="J551" s="1">
        <v>0</v>
      </c>
      <c r="K551" s="1">
        <v>4620000</v>
      </c>
      <c r="L551" s="1">
        <v>0</v>
      </c>
      <c r="M551" s="1">
        <v>400000</v>
      </c>
      <c r="N551" s="1">
        <v>2601671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1270000</v>
      </c>
      <c r="U551" s="1">
        <v>0</v>
      </c>
      <c r="V551" s="1">
        <v>7047250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1858336</v>
      </c>
      <c r="AF551" s="1">
        <v>1111269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2787505</v>
      </c>
      <c r="AM551" s="1">
        <v>0</v>
      </c>
      <c r="AN551" s="1">
        <v>47013149</v>
      </c>
      <c r="AO551" s="1">
        <v>7154180</v>
      </c>
      <c r="AP551" s="1">
        <v>39858969</v>
      </c>
      <c r="AQ551" s="1">
        <v>8926376</v>
      </c>
      <c r="AR551" s="1">
        <v>1338956</v>
      </c>
      <c r="AS551" s="1">
        <v>0</v>
      </c>
      <c r="AT551" s="1">
        <f t="shared" si="55"/>
        <v>57278481</v>
      </c>
    </row>
    <row r="552" spans="1:46">
      <c r="A552" s="1" t="str">
        <f>"00629"</f>
        <v>00629</v>
      </c>
      <c r="B552" s="1" t="str">
        <f>"علي اکبر"</f>
        <v>علي اکبر</v>
      </c>
      <c r="C552" s="1" t="str">
        <f>"غلامي چنگلوايي"</f>
        <v>غلامي چنگلوايي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14998868</v>
      </c>
      <c r="G552" s="1">
        <v>8081935</v>
      </c>
      <c r="H552" s="1">
        <v>0</v>
      </c>
      <c r="I552" s="1">
        <v>10867069</v>
      </c>
      <c r="J552" s="1">
        <v>0</v>
      </c>
      <c r="K552" s="1">
        <v>5500000</v>
      </c>
      <c r="L552" s="1">
        <v>0</v>
      </c>
      <c r="M552" s="1">
        <v>400000</v>
      </c>
      <c r="N552" s="1">
        <v>2456786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10747924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1754847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3509694</v>
      </c>
      <c r="AM552" s="1">
        <v>0</v>
      </c>
      <c r="AN552" s="1">
        <v>59417123</v>
      </c>
      <c r="AO552" s="1">
        <v>9120974</v>
      </c>
      <c r="AP552" s="1">
        <v>50296149</v>
      </c>
      <c r="AQ552" s="1">
        <v>11883425</v>
      </c>
      <c r="AR552" s="1">
        <v>1782514</v>
      </c>
      <c r="AS552" s="1">
        <v>0</v>
      </c>
      <c r="AT552" s="1">
        <f t="shared" si="55"/>
        <v>73083062</v>
      </c>
    </row>
    <row r="553" spans="1:46">
      <c r="A553" s="1" t="str">
        <f>"00630"</f>
        <v>00630</v>
      </c>
      <c r="B553" s="1" t="str">
        <f>"عباس"</f>
        <v>عباس</v>
      </c>
      <c r="C553" s="1" t="str">
        <f>"قادري"</f>
        <v>قادري</v>
      </c>
      <c r="D553" s="1" t="str">
        <f t="shared" si="56"/>
        <v>قراردادي بهره بردار</v>
      </c>
      <c r="E553" s="1" t="str">
        <f t="shared" si="58"/>
        <v>پروژه بهره برداري نيروگاه بوشهر</v>
      </c>
      <c r="F553" s="1">
        <v>16889568</v>
      </c>
      <c r="G553" s="1">
        <v>10902502</v>
      </c>
      <c r="H553" s="1">
        <v>0</v>
      </c>
      <c r="I553" s="1">
        <v>12496155</v>
      </c>
      <c r="J553" s="1">
        <v>0</v>
      </c>
      <c r="K553" s="1">
        <v>5500000</v>
      </c>
      <c r="L553" s="1">
        <v>0</v>
      </c>
      <c r="M553" s="1">
        <v>400000</v>
      </c>
      <c r="N553" s="1">
        <v>2843991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11353517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2031422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4225358</v>
      </c>
      <c r="AM553" s="1">
        <v>0</v>
      </c>
      <c r="AN553" s="1">
        <v>67742513</v>
      </c>
      <c r="AO553" s="1">
        <v>17437793</v>
      </c>
      <c r="AP553" s="1">
        <v>50304720</v>
      </c>
      <c r="AQ553" s="1">
        <v>13548503</v>
      </c>
      <c r="AR553" s="1">
        <v>2032275</v>
      </c>
      <c r="AS553" s="1">
        <v>0</v>
      </c>
      <c r="AT553" s="1">
        <f t="shared" si="55"/>
        <v>83323291</v>
      </c>
    </row>
    <row r="554" spans="1:46">
      <c r="A554" s="1" t="str">
        <f>"00631"</f>
        <v>00631</v>
      </c>
      <c r="B554" s="1" t="str">
        <f>"احمد"</f>
        <v>احمد</v>
      </c>
      <c r="C554" s="1" t="str">
        <f>"كشت ريز"</f>
        <v>كشت ريز</v>
      </c>
      <c r="D554" s="1" t="str">
        <f t="shared" si="56"/>
        <v>قراردادي بهره بردار</v>
      </c>
      <c r="E554" s="1" t="str">
        <f>"پروژه تعميرات نيروگاه بوشهر"</f>
        <v>پروژه تعميرات نيروگاه بوشهر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2844128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2222538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5066666</v>
      </c>
      <c r="AO554" s="1">
        <v>5066666</v>
      </c>
      <c r="AP554" s="1">
        <v>0</v>
      </c>
      <c r="AQ554" s="1">
        <v>0</v>
      </c>
      <c r="AR554" s="1">
        <v>0</v>
      </c>
      <c r="AS554" s="1">
        <v>0</v>
      </c>
      <c r="AT554" s="1">
        <f t="shared" si="55"/>
        <v>5066666</v>
      </c>
    </row>
    <row r="555" spans="1:46">
      <c r="A555" s="1" t="str">
        <f>"00632"</f>
        <v>00632</v>
      </c>
      <c r="B555" s="1" t="str">
        <f>"احمدرضا"</f>
        <v>احمدرضا</v>
      </c>
      <c r="C555" s="1" t="str">
        <f>"گل بهار حقيقي"</f>
        <v>گل بهار حقيقي</v>
      </c>
      <c r="D555" s="1" t="str">
        <f t="shared" si="56"/>
        <v>قراردادي بهره بردار</v>
      </c>
      <c r="E555" s="1" t="str">
        <f>"پروژه تعميرات نيروگاه بوشهر"</f>
        <v>پروژه تعميرات نيروگاه بوشهر</v>
      </c>
      <c r="F555" s="1">
        <v>15661028</v>
      </c>
      <c r="G555" s="1">
        <v>12682311</v>
      </c>
      <c r="H555" s="1">
        <v>0</v>
      </c>
      <c r="I555" s="1">
        <v>14126480</v>
      </c>
      <c r="J555" s="1">
        <v>0</v>
      </c>
      <c r="K555" s="1">
        <v>5500000</v>
      </c>
      <c r="L555" s="1">
        <v>0</v>
      </c>
      <c r="M555" s="1">
        <v>400000</v>
      </c>
      <c r="N555" s="1">
        <v>2724631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1270000</v>
      </c>
      <c r="U555" s="1">
        <v>0</v>
      </c>
      <c r="V555" s="1">
        <v>10564856</v>
      </c>
      <c r="W555" s="1">
        <v>1100000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1946164</v>
      </c>
      <c r="AF555" s="1">
        <v>1111269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4670795</v>
      </c>
      <c r="AM555" s="1">
        <v>0</v>
      </c>
      <c r="AN555" s="1">
        <v>71757534</v>
      </c>
      <c r="AO555" s="1">
        <v>14936531</v>
      </c>
      <c r="AP555" s="1">
        <v>56821003</v>
      </c>
      <c r="AQ555" s="1">
        <v>13875253</v>
      </c>
      <c r="AR555" s="1">
        <v>2081288</v>
      </c>
      <c r="AS555" s="1">
        <v>0</v>
      </c>
      <c r="AT555" s="1">
        <f t="shared" si="55"/>
        <v>87714075</v>
      </c>
    </row>
    <row r="556" spans="1:46">
      <c r="A556" s="1" t="str">
        <f>"00634"</f>
        <v>00634</v>
      </c>
      <c r="B556" s="1" t="str">
        <f>"امير"</f>
        <v>امير</v>
      </c>
      <c r="C556" s="1" t="str">
        <f>"ماهوتي"</f>
        <v>ماهوتي</v>
      </c>
      <c r="D556" s="1" t="str">
        <f t="shared" si="56"/>
        <v>قراردادي بهره بردار</v>
      </c>
      <c r="E556" s="1" t="str">
        <f>"پروژه بهره برداري نيروگاه بوشهر"</f>
        <v>پروژه بهره برداري نيروگاه بوشهر</v>
      </c>
      <c r="F556" s="1">
        <v>11585080</v>
      </c>
      <c r="G556" s="1">
        <v>6064488</v>
      </c>
      <c r="H556" s="1">
        <v>0</v>
      </c>
      <c r="I556" s="1">
        <v>8800786</v>
      </c>
      <c r="J556" s="1">
        <v>0</v>
      </c>
      <c r="K556" s="1">
        <v>4620000</v>
      </c>
      <c r="L556" s="1">
        <v>0</v>
      </c>
      <c r="M556" s="1">
        <v>400000</v>
      </c>
      <c r="N556" s="1">
        <v>2155397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1270000</v>
      </c>
      <c r="U556" s="1">
        <v>0</v>
      </c>
      <c r="V556" s="1">
        <v>11167604</v>
      </c>
      <c r="W556" s="1">
        <v>1100000</v>
      </c>
      <c r="X556" s="1">
        <v>1737762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1539570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8525313</v>
      </c>
      <c r="AM556" s="1">
        <v>0</v>
      </c>
      <c r="AN556" s="1">
        <v>58966000</v>
      </c>
      <c r="AO556" s="1">
        <v>12864792</v>
      </c>
      <c r="AP556" s="1">
        <v>46101208</v>
      </c>
      <c r="AQ556" s="1">
        <v>11539200</v>
      </c>
      <c r="AR556" s="1">
        <v>1730880</v>
      </c>
      <c r="AS556" s="1">
        <v>0</v>
      </c>
      <c r="AT556" s="1">
        <f t="shared" si="55"/>
        <v>72236080</v>
      </c>
    </row>
    <row r="557" spans="1:46">
      <c r="A557" s="1" t="str">
        <f>"00635"</f>
        <v>00635</v>
      </c>
      <c r="B557" s="1" t="str">
        <f>"احسان"</f>
        <v>احسان</v>
      </c>
      <c r="C557" s="1" t="str">
        <f>"محبي"</f>
        <v>محبي</v>
      </c>
      <c r="D557" s="1" t="str">
        <f t="shared" si="56"/>
        <v>قراردادي بهره بردار</v>
      </c>
      <c r="E557" s="1" t="str">
        <f>"پروژه بهره برداري نيروگاه بوشهر"</f>
        <v>پروژه بهره برداري نيروگاه بوشهر</v>
      </c>
      <c r="F557" s="1">
        <v>14725818</v>
      </c>
      <c r="G557" s="1">
        <v>5715200</v>
      </c>
      <c r="H557" s="1">
        <v>0</v>
      </c>
      <c r="I557" s="1">
        <v>10521254</v>
      </c>
      <c r="J557" s="1">
        <v>0</v>
      </c>
      <c r="K557" s="1">
        <v>5500000</v>
      </c>
      <c r="L557" s="1">
        <v>0</v>
      </c>
      <c r="M557" s="1">
        <v>400000</v>
      </c>
      <c r="N557" s="1">
        <v>2355985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10556213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1682846</v>
      </c>
      <c r="AF557" s="1">
        <v>1111269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3702262</v>
      </c>
      <c r="AM557" s="1">
        <v>0</v>
      </c>
      <c r="AN557" s="1">
        <v>57370847</v>
      </c>
      <c r="AO557" s="1">
        <v>12829632</v>
      </c>
      <c r="AP557" s="1">
        <v>44541215</v>
      </c>
      <c r="AQ557" s="1">
        <v>11251916</v>
      </c>
      <c r="AR557" s="1">
        <v>1687787</v>
      </c>
      <c r="AS557" s="1">
        <v>0</v>
      </c>
      <c r="AT557" s="1">
        <f t="shared" si="55"/>
        <v>70310550</v>
      </c>
    </row>
    <row r="558" spans="1:46">
      <c r="A558" s="1" t="str">
        <f>"00636"</f>
        <v>00636</v>
      </c>
      <c r="B558" s="1" t="str">
        <f>"حميد"</f>
        <v>حميد</v>
      </c>
      <c r="C558" s="1" t="str">
        <f>"محمدي"</f>
        <v>محمدي</v>
      </c>
      <c r="D558" s="1" t="str">
        <f t="shared" si="56"/>
        <v>قراردادي بهره بردار</v>
      </c>
      <c r="E558" s="1" t="str">
        <f>"پروژه بهره برداري نيروگاه بوشهر"</f>
        <v>پروژه بهره برداري نيروگاه بوشهر</v>
      </c>
      <c r="F558" s="1">
        <v>14598200</v>
      </c>
      <c r="G558" s="1">
        <v>13403584</v>
      </c>
      <c r="H558" s="1">
        <v>0</v>
      </c>
      <c r="I558" s="1">
        <v>11527619</v>
      </c>
      <c r="J558" s="1">
        <v>0</v>
      </c>
      <c r="K558" s="1">
        <v>5500000</v>
      </c>
      <c r="L558" s="1">
        <v>0</v>
      </c>
      <c r="M558" s="1">
        <v>400000</v>
      </c>
      <c r="N558" s="1">
        <v>2293688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1270000</v>
      </c>
      <c r="U558" s="1">
        <v>0</v>
      </c>
      <c r="V558" s="1">
        <v>8169804</v>
      </c>
      <c r="W558" s="1">
        <v>1100000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1638349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2621357</v>
      </c>
      <c r="AM558" s="1">
        <v>0</v>
      </c>
      <c r="AN558" s="1">
        <v>62522601</v>
      </c>
      <c r="AO558" s="1">
        <v>12953476</v>
      </c>
      <c r="AP558" s="1">
        <v>49569125</v>
      </c>
      <c r="AQ558" s="1">
        <v>12250520</v>
      </c>
      <c r="AR558" s="1">
        <v>1837578</v>
      </c>
      <c r="AS558" s="1">
        <v>0</v>
      </c>
      <c r="AT558" s="1">
        <f t="shared" si="55"/>
        <v>76610699</v>
      </c>
    </row>
    <row r="559" spans="1:46">
      <c r="A559" s="1" t="str">
        <f>"00637"</f>
        <v>00637</v>
      </c>
      <c r="B559" s="1" t="str">
        <f>"مصطفي"</f>
        <v>مصطفي</v>
      </c>
      <c r="C559" s="1" t="str">
        <f>"مرادپور"</f>
        <v>مرادپور</v>
      </c>
      <c r="D559" s="1" t="str">
        <f t="shared" si="56"/>
        <v>قراردادي بهره بردار</v>
      </c>
      <c r="E559" s="1" t="str">
        <f>"پروژه تعميرات نيروگاه بوشهر"</f>
        <v>پروژه تعميرات نيروگاه بوشهر</v>
      </c>
      <c r="F559" s="1">
        <v>15301745</v>
      </c>
      <c r="G559" s="1">
        <v>9392517</v>
      </c>
      <c r="H559" s="1">
        <v>0</v>
      </c>
      <c r="I559" s="1">
        <v>10895418</v>
      </c>
      <c r="J559" s="1">
        <v>0</v>
      </c>
      <c r="K559" s="1">
        <v>5500000</v>
      </c>
      <c r="L559" s="1">
        <v>0</v>
      </c>
      <c r="M559" s="1">
        <v>400000</v>
      </c>
      <c r="N559" s="1">
        <v>2553702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8860062</v>
      </c>
      <c r="W559" s="1">
        <v>1100000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1824073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3502221</v>
      </c>
      <c r="AM559" s="1">
        <v>0</v>
      </c>
      <c r="AN559" s="1">
        <v>59329738</v>
      </c>
      <c r="AO559" s="1">
        <v>10482384</v>
      </c>
      <c r="AP559" s="1">
        <v>48847354</v>
      </c>
      <c r="AQ559" s="1">
        <v>11865948</v>
      </c>
      <c r="AR559" s="1">
        <v>1779892</v>
      </c>
      <c r="AS559" s="1">
        <v>0</v>
      </c>
      <c r="AT559" s="1">
        <f t="shared" si="55"/>
        <v>72975578</v>
      </c>
    </row>
    <row r="560" spans="1:46">
      <c r="A560" s="1" t="str">
        <f>"00638"</f>
        <v>00638</v>
      </c>
      <c r="B560" s="1" t="str">
        <f>"عبدالرسول"</f>
        <v>عبدالرسول</v>
      </c>
      <c r="C560" s="1" t="str">
        <f>"مهدي پور"</f>
        <v>مهدي پور</v>
      </c>
      <c r="D560" s="1" t="str">
        <f t="shared" si="56"/>
        <v>قراردادي بهره بردار</v>
      </c>
      <c r="E560" s="1" t="str">
        <f>"پروژه تعميرات نيروگاه بوشهر"</f>
        <v>پروژه تعميرات نيروگاه بوشهر</v>
      </c>
      <c r="F560" s="1">
        <v>13255114</v>
      </c>
      <c r="G560" s="1">
        <v>3921513</v>
      </c>
      <c r="H560" s="1">
        <v>0</v>
      </c>
      <c r="I560" s="1">
        <v>6343163</v>
      </c>
      <c r="J560" s="1">
        <v>0</v>
      </c>
      <c r="K560" s="1">
        <v>5500000</v>
      </c>
      <c r="L560" s="1">
        <v>0</v>
      </c>
      <c r="M560" s="1">
        <v>400000</v>
      </c>
      <c r="N560" s="1">
        <v>1885147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2444580</v>
      </c>
      <c r="W560" s="1">
        <v>1100000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1346533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1615839</v>
      </c>
      <c r="AM560" s="1">
        <v>0</v>
      </c>
      <c r="AN560" s="1">
        <v>37811889</v>
      </c>
      <c r="AO560" s="1">
        <v>10150279</v>
      </c>
      <c r="AP560" s="1">
        <v>27661610</v>
      </c>
      <c r="AQ560" s="1">
        <v>7562378</v>
      </c>
      <c r="AR560" s="1">
        <v>1134357</v>
      </c>
      <c r="AS560" s="1">
        <v>0</v>
      </c>
      <c r="AT560" s="1">
        <f t="shared" si="55"/>
        <v>46508624</v>
      </c>
    </row>
    <row r="561" spans="1:46">
      <c r="A561" s="1" t="str">
        <f>"00639"</f>
        <v>00639</v>
      </c>
      <c r="B561" s="1" t="str">
        <f>"امين"</f>
        <v>امين</v>
      </c>
      <c r="C561" s="1" t="str">
        <f>"ناصرپور"</f>
        <v>ناصرپور</v>
      </c>
      <c r="D561" s="1" t="str">
        <f t="shared" si="56"/>
        <v>قراردادي بهره بردار</v>
      </c>
      <c r="E561" s="1" t="str">
        <f t="shared" ref="E561:E568" si="59">"پروژه بهره برداري نيروگاه بوشهر"</f>
        <v>پروژه بهره برداري نيروگاه بوشهر</v>
      </c>
      <c r="F561" s="1">
        <v>11618003</v>
      </c>
      <c r="G561" s="1">
        <v>5716386</v>
      </c>
      <c r="H561" s="1">
        <v>0</v>
      </c>
      <c r="I561" s="1">
        <v>9247699</v>
      </c>
      <c r="J561" s="1">
        <v>0</v>
      </c>
      <c r="K561" s="1">
        <v>4620000</v>
      </c>
      <c r="L561" s="1">
        <v>0</v>
      </c>
      <c r="M561" s="1">
        <v>400000</v>
      </c>
      <c r="N561" s="1">
        <v>2146713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1270000</v>
      </c>
      <c r="U561" s="1">
        <v>0</v>
      </c>
      <c r="V561" s="1">
        <v>10481536</v>
      </c>
      <c r="W561" s="1">
        <v>1100000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1533367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4170756</v>
      </c>
      <c r="AM561" s="1">
        <v>0</v>
      </c>
      <c r="AN561" s="1">
        <v>52304460</v>
      </c>
      <c r="AO561" s="1">
        <v>7668686</v>
      </c>
      <c r="AP561" s="1">
        <v>44635774</v>
      </c>
      <c r="AQ561" s="1">
        <v>10206892</v>
      </c>
      <c r="AR561" s="1">
        <v>1531034</v>
      </c>
      <c r="AS561" s="1">
        <v>0</v>
      </c>
      <c r="AT561" s="1">
        <f t="shared" si="55"/>
        <v>64042386</v>
      </c>
    </row>
    <row r="562" spans="1:46">
      <c r="A562" s="1" t="str">
        <f>"00640"</f>
        <v>00640</v>
      </c>
      <c r="B562" s="1" t="str">
        <f>"فرزاد"</f>
        <v>فرزاد</v>
      </c>
      <c r="C562" s="1" t="str">
        <f>"نجمي جعفرلو"</f>
        <v>نجمي جعفرلو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11293306</v>
      </c>
      <c r="G562" s="1">
        <v>2860150</v>
      </c>
      <c r="H562" s="1">
        <v>0</v>
      </c>
      <c r="I562" s="1">
        <v>8706704</v>
      </c>
      <c r="J562" s="1">
        <v>0</v>
      </c>
      <c r="K562" s="1">
        <v>4620000</v>
      </c>
      <c r="L562" s="1">
        <v>0</v>
      </c>
      <c r="M562" s="1">
        <v>400000</v>
      </c>
      <c r="N562" s="1">
        <v>2052341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13158640</v>
      </c>
      <c r="W562" s="1">
        <v>1100000</v>
      </c>
      <c r="X562" s="1">
        <v>1693996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1465958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6906291</v>
      </c>
      <c r="AM562" s="1">
        <v>0</v>
      </c>
      <c r="AN562" s="1">
        <v>54257386</v>
      </c>
      <c r="AO562" s="1">
        <v>14286845</v>
      </c>
      <c r="AP562" s="1">
        <v>39970541</v>
      </c>
      <c r="AQ562" s="1">
        <v>10851477</v>
      </c>
      <c r="AR562" s="1">
        <v>1627722</v>
      </c>
      <c r="AS562" s="1">
        <v>0</v>
      </c>
      <c r="AT562" s="1">
        <f t="shared" si="55"/>
        <v>66736585</v>
      </c>
    </row>
    <row r="563" spans="1:46">
      <c r="A563" s="1" t="str">
        <f>"00641"</f>
        <v>00641</v>
      </c>
      <c r="B563" s="1" t="str">
        <f>"سيدمحمد"</f>
        <v>سيدمحمد</v>
      </c>
      <c r="C563" s="1" t="str">
        <f>"نصيري سلوشي"</f>
        <v>نصيري سلوشي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14753901</v>
      </c>
      <c r="G563" s="1">
        <v>7847948</v>
      </c>
      <c r="H563" s="1">
        <v>0</v>
      </c>
      <c r="I563" s="1">
        <v>9959797</v>
      </c>
      <c r="J563" s="1">
        <v>0</v>
      </c>
      <c r="K563" s="1">
        <v>4125000</v>
      </c>
      <c r="L563" s="1">
        <v>0</v>
      </c>
      <c r="M563" s="1">
        <v>400000</v>
      </c>
      <c r="N563" s="1">
        <v>2332757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7060211</v>
      </c>
      <c r="W563" s="1">
        <v>1100000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1666254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2666007</v>
      </c>
      <c r="AM563" s="1">
        <v>0</v>
      </c>
      <c r="AN563" s="1">
        <v>51911875</v>
      </c>
      <c r="AO563" s="1">
        <v>9222758</v>
      </c>
      <c r="AP563" s="1">
        <v>42689117</v>
      </c>
      <c r="AQ563" s="1">
        <v>10382375</v>
      </c>
      <c r="AR563" s="1">
        <v>1557356</v>
      </c>
      <c r="AS563" s="1">
        <v>0</v>
      </c>
      <c r="AT563" s="1">
        <f t="shared" si="55"/>
        <v>63851606</v>
      </c>
    </row>
    <row r="564" spans="1:46">
      <c r="A564" s="1" t="str">
        <f>"00642"</f>
        <v>00642</v>
      </c>
      <c r="B564" s="1" t="str">
        <f>"رضا"</f>
        <v>رضا</v>
      </c>
      <c r="C564" s="1" t="str">
        <f>"همتي"</f>
        <v>همتي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11195390</v>
      </c>
      <c r="G564" s="1">
        <v>3853475</v>
      </c>
      <c r="H564" s="1">
        <v>0</v>
      </c>
      <c r="I564" s="1">
        <v>8641230</v>
      </c>
      <c r="J564" s="1">
        <v>0</v>
      </c>
      <c r="K564" s="1">
        <v>4620000</v>
      </c>
      <c r="L564" s="1">
        <v>0</v>
      </c>
      <c r="M564" s="1">
        <v>400000</v>
      </c>
      <c r="N564" s="1">
        <v>2020129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1270000</v>
      </c>
      <c r="U564" s="1">
        <v>0</v>
      </c>
      <c r="V564" s="1">
        <v>13456581</v>
      </c>
      <c r="W564" s="1">
        <v>1100000</v>
      </c>
      <c r="X564" s="1">
        <v>1679309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1442950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7283439</v>
      </c>
      <c r="AM564" s="1">
        <v>0</v>
      </c>
      <c r="AN564" s="1">
        <v>56962503</v>
      </c>
      <c r="AO564" s="1">
        <v>10977237</v>
      </c>
      <c r="AP564" s="1">
        <v>45985266</v>
      </c>
      <c r="AQ564" s="1">
        <v>11138501</v>
      </c>
      <c r="AR564" s="1">
        <v>1670775</v>
      </c>
      <c r="AS564" s="1">
        <v>0</v>
      </c>
      <c r="AT564" s="1">
        <f t="shared" si="55"/>
        <v>69771779</v>
      </c>
    </row>
    <row r="565" spans="1:46">
      <c r="A565" s="1" t="str">
        <f>"00643"</f>
        <v>00643</v>
      </c>
      <c r="B565" s="1" t="str">
        <f>"طيبه"</f>
        <v>طيبه</v>
      </c>
      <c r="C565" s="1" t="str">
        <f>"هنري فر"</f>
        <v>هنري فر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11566178</v>
      </c>
      <c r="G565" s="1">
        <v>1291197</v>
      </c>
      <c r="H565" s="1">
        <v>0</v>
      </c>
      <c r="I565" s="1">
        <v>9002779</v>
      </c>
      <c r="J565" s="1">
        <v>0</v>
      </c>
      <c r="K565" s="1">
        <v>3465000</v>
      </c>
      <c r="L565" s="1">
        <v>0</v>
      </c>
      <c r="M565" s="1">
        <v>400000</v>
      </c>
      <c r="N565" s="1">
        <v>2087035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2683006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1490740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2683331</v>
      </c>
      <c r="AM565" s="1">
        <v>0</v>
      </c>
      <c r="AN565" s="1">
        <v>35769266</v>
      </c>
      <c r="AO565" s="1">
        <v>11130309</v>
      </c>
      <c r="AP565" s="1">
        <v>24638957</v>
      </c>
      <c r="AQ565" s="1">
        <v>7153853</v>
      </c>
      <c r="AR565" s="1">
        <v>1073078</v>
      </c>
      <c r="AS565" s="1">
        <v>0</v>
      </c>
      <c r="AT565" s="1">
        <f t="shared" si="55"/>
        <v>43996197</v>
      </c>
    </row>
    <row r="566" spans="1:46">
      <c r="A566" s="1" t="str">
        <f>"00644"</f>
        <v>00644</v>
      </c>
      <c r="B566" s="1" t="str">
        <f>"امير"</f>
        <v>امير</v>
      </c>
      <c r="C566" s="1" t="str">
        <f>"ابراهيمي کلهرودي"</f>
        <v>ابراهيمي کلهرودي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21084201</v>
      </c>
      <c r="G566" s="1">
        <v>10316139</v>
      </c>
      <c r="H566" s="1">
        <v>0</v>
      </c>
      <c r="I566" s="1">
        <v>18171918</v>
      </c>
      <c r="J566" s="1">
        <v>0</v>
      </c>
      <c r="K566" s="1">
        <v>0</v>
      </c>
      <c r="L566" s="1">
        <v>0</v>
      </c>
      <c r="M566" s="1">
        <v>400000</v>
      </c>
      <c r="N566" s="1">
        <v>3547278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1270000</v>
      </c>
      <c r="U566" s="1">
        <v>0</v>
      </c>
      <c r="V566" s="1">
        <v>18915621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2533770</v>
      </c>
      <c r="AF566" s="1">
        <v>1111269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6486451</v>
      </c>
      <c r="AM566" s="1">
        <v>0</v>
      </c>
      <c r="AN566" s="1">
        <v>84936647</v>
      </c>
      <c r="AO566" s="1">
        <v>19461755</v>
      </c>
      <c r="AP566" s="1">
        <v>65474892</v>
      </c>
      <c r="AQ566" s="1">
        <v>15557766</v>
      </c>
      <c r="AR566" s="1">
        <v>2333665</v>
      </c>
      <c r="AS566" s="1">
        <v>0</v>
      </c>
      <c r="AT566" s="1">
        <f t="shared" si="55"/>
        <v>102828078</v>
      </c>
    </row>
    <row r="567" spans="1:46">
      <c r="A567" s="1" t="str">
        <f>"00645"</f>
        <v>00645</v>
      </c>
      <c r="B567" s="1" t="str">
        <f>"جليل"</f>
        <v>جليل</v>
      </c>
      <c r="C567" s="1" t="str">
        <f>"محرزي"</f>
        <v>محرزي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11558680</v>
      </c>
      <c r="G567" s="1">
        <v>5697596</v>
      </c>
      <c r="H567" s="1">
        <v>0</v>
      </c>
      <c r="I567" s="1">
        <v>8885905</v>
      </c>
      <c r="J567" s="1">
        <v>0</v>
      </c>
      <c r="K567" s="1">
        <v>4620000</v>
      </c>
      <c r="L567" s="1">
        <v>0</v>
      </c>
      <c r="M567" s="1">
        <v>400000</v>
      </c>
      <c r="N567" s="1">
        <v>2105263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2630925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1503760</v>
      </c>
      <c r="AF567" s="1">
        <v>3333807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2255639</v>
      </c>
      <c r="AM567" s="1">
        <v>0</v>
      </c>
      <c r="AN567" s="1">
        <v>44091575</v>
      </c>
      <c r="AO567" s="1">
        <v>8227583</v>
      </c>
      <c r="AP567" s="1">
        <v>35863992</v>
      </c>
      <c r="AQ567" s="1">
        <v>8151554</v>
      </c>
      <c r="AR567" s="1">
        <v>1222733</v>
      </c>
      <c r="AS567" s="1">
        <v>0</v>
      </c>
      <c r="AT567" s="1">
        <f t="shared" si="55"/>
        <v>53465862</v>
      </c>
    </row>
    <row r="568" spans="1:46">
      <c r="A568" s="1" t="str">
        <f>"00646"</f>
        <v>00646</v>
      </c>
      <c r="B568" s="1" t="str">
        <f>"نعيم"</f>
        <v>نعيم</v>
      </c>
      <c r="C568" s="1" t="str">
        <f>"غنچه"</f>
        <v>غنچه</v>
      </c>
      <c r="D568" s="1" t="str">
        <f t="shared" si="56"/>
        <v>قراردادي بهره بردار</v>
      </c>
      <c r="E568" s="1" t="str">
        <f t="shared" si="59"/>
        <v>پروژه بهره برداري نيروگاه بوشهر</v>
      </c>
      <c r="F568" s="1">
        <v>11805293</v>
      </c>
      <c r="G568" s="1">
        <v>6118829</v>
      </c>
      <c r="H568" s="1">
        <v>0</v>
      </c>
      <c r="I568" s="1">
        <v>9726126</v>
      </c>
      <c r="J568" s="1">
        <v>0</v>
      </c>
      <c r="K568" s="1">
        <v>0</v>
      </c>
      <c r="L568" s="1">
        <v>0</v>
      </c>
      <c r="M568" s="1">
        <v>400000</v>
      </c>
      <c r="N568" s="1">
        <v>2193927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1270000</v>
      </c>
      <c r="U568" s="1">
        <v>0</v>
      </c>
      <c r="V568" s="1">
        <v>6538122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1567091</v>
      </c>
      <c r="AF568" s="1">
        <v>1111269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3134181</v>
      </c>
      <c r="AM568" s="1">
        <v>0</v>
      </c>
      <c r="AN568" s="1">
        <v>44964838</v>
      </c>
      <c r="AO568" s="1">
        <v>8231235</v>
      </c>
      <c r="AP568" s="1">
        <v>36733603</v>
      </c>
      <c r="AQ568" s="1">
        <v>8516714</v>
      </c>
      <c r="AR568" s="1">
        <v>1277507</v>
      </c>
      <c r="AS568" s="1">
        <v>0</v>
      </c>
      <c r="AT568" s="1">
        <f t="shared" si="55"/>
        <v>54759059</v>
      </c>
    </row>
    <row r="569" spans="1:46">
      <c r="A569" s="1" t="str">
        <f>"00648"</f>
        <v>00648</v>
      </c>
      <c r="B569" s="1" t="str">
        <f>"مسعود"</f>
        <v>مسعود</v>
      </c>
      <c r="C569" s="1" t="str">
        <f>"سليماني"</f>
        <v>سليماني</v>
      </c>
      <c r="D569" s="1" t="str">
        <f>"قراردادي کارگري"</f>
        <v>قراردادي کارگري</v>
      </c>
      <c r="E569" s="1" t="str">
        <f>"پروژه تعميرات نيروگاه بوشهر"</f>
        <v>پروژه تعميرات نيروگاه بوشهر</v>
      </c>
      <c r="F569" s="1">
        <v>10016149</v>
      </c>
      <c r="G569" s="1">
        <v>3280761</v>
      </c>
      <c r="H569" s="1">
        <v>0</v>
      </c>
      <c r="I569" s="1">
        <v>8313404</v>
      </c>
      <c r="J569" s="1">
        <v>0</v>
      </c>
      <c r="K569" s="1">
        <v>0</v>
      </c>
      <c r="L569" s="1">
        <v>3460800</v>
      </c>
      <c r="M569" s="1">
        <v>400000</v>
      </c>
      <c r="N569" s="1">
        <v>5341946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2863230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2222538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36998828</v>
      </c>
      <c r="AO569" s="1">
        <v>4600567</v>
      </c>
      <c r="AP569" s="1">
        <v>32398261</v>
      </c>
      <c r="AQ569" s="1">
        <v>6955258</v>
      </c>
      <c r="AR569" s="1">
        <v>1043289</v>
      </c>
      <c r="AS569" s="1">
        <v>195000</v>
      </c>
      <c r="AT569" s="1">
        <f t="shared" si="55"/>
        <v>45192375</v>
      </c>
    </row>
    <row r="570" spans="1:46">
      <c r="A570" s="1" t="str">
        <f>"00649"</f>
        <v>00649</v>
      </c>
      <c r="B570" s="1" t="str">
        <f>"فريبا"</f>
        <v>فريبا</v>
      </c>
      <c r="C570" s="1" t="str">
        <f>"صيانت"</f>
        <v>صيانت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15741649</v>
      </c>
      <c r="G570" s="1">
        <v>0</v>
      </c>
      <c r="H570" s="1">
        <v>0</v>
      </c>
      <c r="I570" s="1">
        <v>14729954</v>
      </c>
      <c r="J570" s="1">
        <v>0</v>
      </c>
      <c r="K570" s="1">
        <v>3465000</v>
      </c>
      <c r="L570" s="1">
        <v>0</v>
      </c>
      <c r="M570" s="1">
        <v>400000</v>
      </c>
      <c r="N570" s="1">
        <v>2953390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1270000</v>
      </c>
      <c r="U570" s="1">
        <v>0</v>
      </c>
      <c r="V570" s="1">
        <v>3848794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2109563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2953390</v>
      </c>
      <c r="AM570" s="1">
        <v>0</v>
      </c>
      <c r="AN570" s="1">
        <v>48571740</v>
      </c>
      <c r="AO570" s="1">
        <v>8101590</v>
      </c>
      <c r="AP570" s="1">
        <v>40470150</v>
      </c>
      <c r="AQ570" s="1">
        <v>9460348</v>
      </c>
      <c r="AR570" s="1">
        <v>1419052</v>
      </c>
      <c r="AS570" s="1">
        <v>0</v>
      </c>
      <c r="AT570" s="1">
        <f t="shared" si="55"/>
        <v>59451140</v>
      </c>
    </row>
    <row r="571" spans="1:46">
      <c r="A571" s="1" t="str">
        <f>"00650"</f>
        <v>00650</v>
      </c>
      <c r="B571" s="1" t="str">
        <f>"ليلا"</f>
        <v>ليلا</v>
      </c>
      <c r="C571" s="1" t="str">
        <f>"قاسمي فر"</f>
        <v>قاسمي فر</v>
      </c>
      <c r="D571" s="1" t="str">
        <f>"قراردادي بهره بردار"</f>
        <v>قراردادي بهره بردار</v>
      </c>
      <c r="E571" s="1" t="str">
        <f>"پروژه بهره برداري نيروگاه بوشهر"</f>
        <v>پروژه بهره برداري نيروگاه بوشهر</v>
      </c>
      <c r="F571" s="1">
        <v>12363472</v>
      </c>
      <c r="G571" s="1">
        <v>1231205</v>
      </c>
      <c r="H571" s="1">
        <v>0</v>
      </c>
      <c r="I571" s="1">
        <v>11631748</v>
      </c>
      <c r="J571" s="1">
        <v>0</v>
      </c>
      <c r="K571" s="1">
        <v>0</v>
      </c>
      <c r="L571" s="1">
        <v>0</v>
      </c>
      <c r="M571" s="1">
        <v>400000</v>
      </c>
      <c r="N571" s="1">
        <v>2406912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1270000</v>
      </c>
      <c r="U571" s="1">
        <v>0</v>
      </c>
      <c r="V571" s="1">
        <v>3070019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1719222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2578833</v>
      </c>
      <c r="AM571" s="1">
        <v>0</v>
      </c>
      <c r="AN571" s="1">
        <v>37771411</v>
      </c>
      <c r="AO571" s="1">
        <v>6899801</v>
      </c>
      <c r="AP571" s="1">
        <v>30871610</v>
      </c>
      <c r="AQ571" s="1">
        <v>7300282</v>
      </c>
      <c r="AR571" s="1">
        <v>1095042</v>
      </c>
      <c r="AS571" s="1">
        <v>0</v>
      </c>
      <c r="AT571" s="1">
        <f t="shared" si="55"/>
        <v>46166735</v>
      </c>
    </row>
    <row r="572" spans="1:46">
      <c r="A572" s="1" t="str">
        <f>"00651"</f>
        <v>00651</v>
      </c>
      <c r="B572" s="1" t="str">
        <f>"عبدالرسول"</f>
        <v>عبدالرسول</v>
      </c>
      <c r="C572" s="1" t="str">
        <f>"حاجياني"</f>
        <v>حاجياني</v>
      </c>
      <c r="D572" s="1" t="str">
        <f t="shared" ref="D572:D577" si="60">"قراردادي کارگري"</f>
        <v>قراردادي کارگري</v>
      </c>
      <c r="E572" s="1" t="str">
        <f t="shared" ref="E572:E577" si="61">"پروژه تعميرات نيروگاه بوشهر"</f>
        <v>پروژه تعميرات نيروگاه بوشهر</v>
      </c>
      <c r="F572" s="1">
        <v>5802707</v>
      </c>
      <c r="G572" s="1">
        <v>7023636</v>
      </c>
      <c r="H572" s="1">
        <v>0</v>
      </c>
      <c r="I572" s="1">
        <v>4177949</v>
      </c>
      <c r="J572" s="1">
        <v>0</v>
      </c>
      <c r="K572" s="1">
        <v>0</v>
      </c>
      <c r="L572" s="1">
        <v>3620700</v>
      </c>
      <c r="M572" s="1">
        <v>400000</v>
      </c>
      <c r="N572" s="1">
        <v>3074282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5725326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1111269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32035869</v>
      </c>
      <c r="AO572" s="1">
        <v>8128022</v>
      </c>
      <c r="AP572" s="1">
        <v>23907847</v>
      </c>
      <c r="AQ572" s="1">
        <v>6184920</v>
      </c>
      <c r="AR572" s="1">
        <v>927738</v>
      </c>
      <c r="AS572" s="1">
        <v>900000</v>
      </c>
      <c r="AT572" s="1">
        <f t="shared" si="55"/>
        <v>40048527</v>
      </c>
    </row>
    <row r="573" spans="1:46">
      <c r="A573" s="1" t="str">
        <f>"00652"</f>
        <v>00652</v>
      </c>
      <c r="B573" s="1" t="str">
        <f>"حسين"</f>
        <v>حسين</v>
      </c>
      <c r="C573" s="1" t="str">
        <f>"انصاري"</f>
        <v>انصاري</v>
      </c>
      <c r="D573" s="1" t="str">
        <f t="shared" si="60"/>
        <v>قراردادي کارگري</v>
      </c>
      <c r="E573" s="1" t="str">
        <f t="shared" si="61"/>
        <v>پروژه تعميرات نيروگاه بوشهر</v>
      </c>
      <c r="F573" s="1">
        <v>8001738</v>
      </c>
      <c r="G573" s="1">
        <v>14921334</v>
      </c>
      <c r="H573" s="1">
        <v>0</v>
      </c>
      <c r="I573" s="1">
        <v>5921286</v>
      </c>
      <c r="J573" s="1">
        <v>0</v>
      </c>
      <c r="K573" s="1">
        <v>0</v>
      </c>
      <c r="L573" s="1">
        <v>3620700</v>
      </c>
      <c r="M573" s="1">
        <v>400000</v>
      </c>
      <c r="N573" s="1">
        <v>4239331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7450578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2222538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47877505</v>
      </c>
      <c r="AO573" s="1">
        <v>11392523</v>
      </c>
      <c r="AP573" s="1">
        <v>36484982</v>
      </c>
      <c r="AQ573" s="1">
        <v>9130993</v>
      </c>
      <c r="AR573" s="1">
        <v>1369649</v>
      </c>
      <c r="AS573" s="1">
        <v>1060000</v>
      </c>
      <c r="AT573" s="1">
        <f t="shared" si="55"/>
        <v>59438147</v>
      </c>
    </row>
    <row r="574" spans="1:46">
      <c r="A574" s="1" t="str">
        <f>"00653"</f>
        <v>00653</v>
      </c>
      <c r="B574" s="1" t="str">
        <f>"حسين"</f>
        <v>حسين</v>
      </c>
      <c r="C574" s="1" t="str">
        <f>"حسن احمدي"</f>
        <v>حسن احمدي</v>
      </c>
      <c r="D574" s="1" t="str">
        <f t="shared" si="60"/>
        <v>قراردادي کارگري</v>
      </c>
      <c r="E574" s="1" t="str">
        <f t="shared" si="61"/>
        <v>پروژه تعميرات نيروگاه بوشهر</v>
      </c>
      <c r="F574" s="1">
        <v>7286856</v>
      </c>
      <c r="G574" s="1">
        <v>9829909</v>
      </c>
      <c r="H574" s="1">
        <v>0</v>
      </c>
      <c r="I574" s="1">
        <v>5319405</v>
      </c>
      <c r="J574" s="1">
        <v>0</v>
      </c>
      <c r="K574" s="1">
        <v>0</v>
      </c>
      <c r="L574" s="1">
        <v>3620700</v>
      </c>
      <c r="M574" s="1">
        <v>400000</v>
      </c>
      <c r="N574" s="1">
        <v>3835187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6899887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3333807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41625751</v>
      </c>
      <c r="AO574" s="1">
        <v>6859324</v>
      </c>
      <c r="AP574" s="1">
        <v>34766427</v>
      </c>
      <c r="AQ574" s="1">
        <v>7658389</v>
      </c>
      <c r="AR574" s="1">
        <v>1148758</v>
      </c>
      <c r="AS574" s="1">
        <v>1060000</v>
      </c>
      <c r="AT574" s="1">
        <f t="shared" si="55"/>
        <v>51492898</v>
      </c>
    </row>
    <row r="575" spans="1:46">
      <c r="A575" s="1" t="str">
        <f>"00654"</f>
        <v>00654</v>
      </c>
      <c r="B575" s="1" t="str">
        <f>"محمدرضا"</f>
        <v>محمدرضا</v>
      </c>
      <c r="C575" s="1" t="str">
        <f>"تاجي اشکفتکي"</f>
        <v>تاجي اشکفتکي</v>
      </c>
      <c r="D575" s="1" t="str">
        <f t="shared" si="60"/>
        <v>قراردادي کارگري</v>
      </c>
      <c r="E575" s="1" t="str">
        <f t="shared" si="61"/>
        <v>پروژه تعميرات نيروگاه بوشهر</v>
      </c>
      <c r="F575" s="1">
        <v>11112690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400000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12612690</v>
      </c>
      <c r="AO575" s="1">
        <v>926888</v>
      </c>
      <c r="AP575" s="1">
        <v>11685802</v>
      </c>
      <c r="AQ575" s="1">
        <v>2522538</v>
      </c>
      <c r="AR575" s="1">
        <v>378381</v>
      </c>
      <c r="AS575" s="1">
        <v>0</v>
      </c>
      <c r="AT575" s="1">
        <f t="shared" si="55"/>
        <v>15513609</v>
      </c>
    </row>
    <row r="576" spans="1:46">
      <c r="A576" s="1" t="str">
        <f>"00655"</f>
        <v>00655</v>
      </c>
      <c r="B576" s="1" t="str">
        <f>"عادل"</f>
        <v>عادل</v>
      </c>
      <c r="C576" s="1" t="str">
        <f>"رهامي"</f>
        <v>رهامي</v>
      </c>
      <c r="D576" s="1" t="str">
        <f t="shared" si="60"/>
        <v>قراردادي کارگري</v>
      </c>
      <c r="E576" s="1" t="str">
        <f t="shared" si="61"/>
        <v>پروژه تعميرات نيروگاه بوشهر</v>
      </c>
      <c r="F576" s="1">
        <v>7948816</v>
      </c>
      <c r="G576" s="1">
        <v>14111147</v>
      </c>
      <c r="H576" s="1">
        <v>2977297</v>
      </c>
      <c r="I576" s="1">
        <v>6438541</v>
      </c>
      <c r="J576" s="1">
        <v>0</v>
      </c>
      <c r="K576" s="1">
        <v>0</v>
      </c>
      <c r="L576" s="1">
        <v>3620700</v>
      </c>
      <c r="M576" s="1">
        <v>400000</v>
      </c>
      <c r="N576" s="1">
        <v>4183587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7581326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1111269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49472683</v>
      </c>
      <c r="AO576" s="1">
        <v>9018221</v>
      </c>
      <c r="AP576" s="1">
        <v>40454462</v>
      </c>
      <c r="AQ576" s="1">
        <v>9076823</v>
      </c>
      <c r="AR576" s="1">
        <v>1361524</v>
      </c>
      <c r="AS576" s="1">
        <v>795000</v>
      </c>
      <c r="AT576" s="1">
        <f t="shared" si="55"/>
        <v>60706030</v>
      </c>
    </row>
    <row r="577" spans="1:46">
      <c r="A577" s="1" t="str">
        <f>"00656"</f>
        <v>00656</v>
      </c>
      <c r="B577" s="1" t="str">
        <f>"صادق"</f>
        <v>صادق</v>
      </c>
      <c r="C577" s="1" t="str">
        <f>"زارعي"</f>
        <v>زارعي</v>
      </c>
      <c r="D577" s="1" t="str">
        <f t="shared" si="60"/>
        <v>قراردادي کارگري</v>
      </c>
      <c r="E577" s="1" t="str">
        <f t="shared" si="61"/>
        <v>پروژه تعميرات نيروگاه بوشهر</v>
      </c>
      <c r="F577" s="1">
        <v>5878205</v>
      </c>
      <c r="G577" s="1">
        <v>4272037</v>
      </c>
      <c r="H577" s="1">
        <v>0</v>
      </c>
      <c r="I577" s="1">
        <v>4114743</v>
      </c>
      <c r="J577" s="1">
        <v>0</v>
      </c>
      <c r="K577" s="1">
        <v>0</v>
      </c>
      <c r="L577" s="1">
        <v>3620700</v>
      </c>
      <c r="M577" s="1">
        <v>400000</v>
      </c>
      <c r="N577" s="1">
        <v>3093792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5826381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2506116</v>
      </c>
      <c r="AE577" s="1">
        <v>0</v>
      </c>
      <c r="AF577" s="1">
        <v>1111269</v>
      </c>
      <c r="AG577" s="1">
        <v>0</v>
      </c>
      <c r="AH577" s="1">
        <v>0</v>
      </c>
      <c r="AI577" s="1">
        <v>0</v>
      </c>
      <c r="AJ577" s="1">
        <v>2103157</v>
      </c>
      <c r="AK577" s="1">
        <v>0</v>
      </c>
      <c r="AL577" s="1">
        <v>0</v>
      </c>
      <c r="AM577" s="1">
        <v>0</v>
      </c>
      <c r="AN577" s="1">
        <v>34026400</v>
      </c>
      <c r="AO577" s="1">
        <v>5256766</v>
      </c>
      <c r="AP577" s="1">
        <v>28769634</v>
      </c>
      <c r="AQ577" s="1">
        <v>6583026</v>
      </c>
      <c r="AR577" s="1">
        <v>987454</v>
      </c>
      <c r="AS577" s="1">
        <v>795000</v>
      </c>
      <c r="AT577" s="1">
        <f t="shared" si="55"/>
        <v>42391880</v>
      </c>
    </row>
    <row r="578" spans="1:46">
      <c r="A578" s="1" t="str">
        <f>"00657"</f>
        <v>00657</v>
      </c>
      <c r="B578" s="1" t="str">
        <f>"اسماعيل"</f>
        <v>اسماعيل</v>
      </c>
      <c r="C578" s="1" t="str">
        <f>"شهرياري"</f>
        <v>شهرياري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15126553</v>
      </c>
      <c r="G578" s="1">
        <v>6378663</v>
      </c>
      <c r="H578" s="1">
        <v>0</v>
      </c>
      <c r="I578" s="1">
        <v>11289046</v>
      </c>
      <c r="J578" s="1">
        <v>0</v>
      </c>
      <c r="K578" s="1">
        <v>4125000</v>
      </c>
      <c r="L578" s="1">
        <v>0</v>
      </c>
      <c r="M578" s="1">
        <v>400000</v>
      </c>
      <c r="N578" s="1">
        <v>2483845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7789441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1774176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3193516</v>
      </c>
      <c r="AM578" s="1">
        <v>0</v>
      </c>
      <c r="AN578" s="1">
        <v>53660240</v>
      </c>
      <c r="AO578" s="1">
        <v>10653817</v>
      </c>
      <c r="AP578" s="1">
        <v>43006423</v>
      </c>
      <c r="AQ578" s="1">
        <v>10732048</v>
      </c>
      <c r="AR578" s="1">
        <v>1609807</v>
      </c>
      <c r="AS578" s="1">
        <v>0</v>
      </c>
      <c r="AT578" s="1">
        <f t="shared" si="55"/>
        <v>66002095</v>
      </c>
    </row>
    <row r="579" spans="1:46">
      <c r="A579" s="1" t="str">
        <f>"00658"</f>
        <v>00658</v>
      </c>
      <c r="B579" s="1" t="str">
        <f>"محمدرضا"</f>
        <v>محمدرضا</v>
      </c>
      <c r="C579" s="1" t="str">
        <f>"افشارنژاد"</f>
        <v>افشارنژاد</v>
      </c>
      <c r="D579" s="1" t="str">
        <f>"قراردادي کارگري"</f>
        <v>قراردادي کارگري</v>
      </c>
      <c r="E579" s="1" t="str">
        <f>"پروژه تعميرات نيروگاه بوشهر"</f>
        <v>پروژه تعميرات نيروگاه بوشهر</v>
      </c>
      <c r="F579" s="1">
        <v>9177161</v>
      </c>
      <c r="G579" s="1">
        <v>6474534</v>
      </c>
      <c r="H579" s="1">
        <v>0</v>
      </c>
      <c r="I579" s="1">
        <v>8626531</v>
      </c>
      <c r="J579" s="1">
        <v>0</v>
      </c>
      <c r="K579" s="1">
        <v>0</v>
      </c>
      <c r="L579" s="1">
        <v>3460800</v>
      </c>
      <c r="M579" s="1">
        <v>400000</v>
      </c>
      <c r="N579" s="1">
        <v>5506297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2827079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2222538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39794940</v>
      </c>
      <c r="AO579" s="1">
        <v>6909314</v>
      </c>
      <c r="AP579" s="1">
        <v>32885626</v>
      </c>
      <c r="AQ579" s="1">
        <v>7514480</v>
      </c>
      <c r="AR579" s="1">
        <v>1127172</v>
      </c>
      <c r="AS579" s="1">
        <v>600000</v>
      </c>
      <c r="AT579" s="1">
        <f t="shared" ref="AT579:AT642" si="62">AS579+AR579+AQ579+AN579</f>
        <v>49036592</v>
      </c>
    </row>
    <row r="580" spans="1:46">
      <c r="A580" s="1" t="str">
        <f>"00659"</f>
        <v>00659</v>
      </c>
      <c r="B580" s="1" t="str">
        <f>"فاضل"</f>
        <v>فاضل</v>
      </c>
      <c r="C580" s="1" t="str">
        <f>"فرخ زاد"</f>
        <v>فرخ زاد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8875037</v>
      </c>
      <c r="G580" s="1">
        <v>14984791</v>
      </c>
      <c r="H580" s="1">
        <v>0</v>
      </c>
      <c r="I580" s="1">
        <v>6390027</v>
      </c>
      <c r="J580" s="1">
        <v>0</v>
      </c>
      <c r="K580" s="1">
        <v>0</v>
      </c>
      <c r="L580" s="1">
        <v>3620700</v>
      </c>
      <c r="M580" s="1">
        <v>400000</v>
      </c>
      <c r="N580" s="1">
        <v>4702006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5770187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2222538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48065286</v>
      </c>
      <c r="AO580" s="1">
        <v>12231659</v>
      </c>
      <c r="AP580" s="1">
        <v>35833627</v>
      </c>
      <c r="AQ580" s="1">
        <v>9168550</v>
      </c>
      <c r="AR580" s="1">
        <v>1375282</v>
      </c>
      <c r="AS580" s="1">
        <v>530000</v>
      </c>
      <c r="AT580" s="1">
        <f t="shared" si="62"/>
        <v>59139118</v>
      </c>
    </row>
    <row r="581" spans="1:46">
      <c r="A581" s="1" t="str">
        <f>"00660"</f>
        <v>00660</v>
      </c>
      <c r="B581" s="1" t="str">
        <f>"عبدالرسول"</f>
        <v>عبدالرسول</v>
      </c>
      <c r="C581" s="1" t="str">
        <f>"محمدي"</f>
        <v>محمدي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10541564</v>
      </c>
      <c r="G581" s="1">
        <v>1597975</v>
      </c>
      <c r="H581" s="1">
        <v>0</v>
      </c>
      <c r="I581" s="1">
        <v>7247627</v>
      </c>
      <c r="J581" s="1">
        <v>0</v>
      </c>
      <c r="K581" s="1">
        <v>3465000</v>
      </c>
      <c r="L581" s="1">
        <v>0</v>
      </c>
      <c r="M581" s="1">
        <v>400000</v>
      </c>
      <c r="N581" s="1">
        <v>1742801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4276679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1244858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2340333</v>
      </c>
      <c r="AM581" s="1">
        <v>0</v>
      </c>
      <c r="AN581" s="1">
        <v>33956837</v>
      </c>
      <c r="AO581" s="1">
        <v>21008210</v>
      </c>
      <c r="AP581" s="1">
        <v>12948627</v>
      </c>
      <c r="AQ581" s="1">
        <v>6791367</v>
      </c>
      <c r="AR581" s="1">
        <v>1018705</v>
      </c>
      <c r="AS581" s="1">
        <v>0</v>
      </c>
      <c r="AT581" s="1">
        <f t="shared" si="62"/>
        <v>41766909</v>
      </c>
    </row>
    <row r="582" spans="1:46">
      <c r="A582" s="1" t="str">
        <f>"00661"</f>
        <v>00661</v>
      </c>
      <c r="B582" s="1" t="str">
        <f>"جواد"</f>
        <v>جواد</v>
      </c>
      <c r="C582" s="1" t="str">
        <f>"حسين زاده"</f>
        <v>حسين زاده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15735467</v>
      </c>
      <c r="G582" s="1">
        <v>7127764</v>
      </c>
      <c r="H582" s="1">
        <v>0</v>
      </c>
      <c r="I582" s="1">
        <v>12601995</v>
      </c>
      <c r="J582" s="1">
        <v>0</v>
      </c>
      <c r="K582" s="1">
        <v>4125000</v>
      </c>
      <c r="L582" s="1">
        <v>0</v>
      </c>
      <c r="M582" s="1">
        <v>400000</v>
      </c>
      <c r="N582" s="1">
        <v>2702475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6635170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1930339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2895508</v>
      </c>
      <c r="AM582" s="1">
        <v>0</v>
      </c>
      <c r="AN582" s="1">
        <v>55253718</v>
      </c>
      <c r="AO582" s="1">
        <v>13810885</v>
      </c>
      <c r="AP582" s="1">
        <v>41442833</v>
      </c>
      <c r="AQ582" s="1">
        <v>11050744</v>
      </c>
      <c r="AR582" s="1">
        <v>1657612</v>
      </c>
      <c r="AS582" s="1">
        <v>0</v>
      </c>
      <c r="AT582" s="1">
        <f t="shared" si="62"/>
        <v>67962074</v>
      </c>
    </row>
    <row r="583" spans="1:46">
      <c r="A583" s="1" t="str">
        <f>"00662"</f>
        <v>00662</v>
      </c>
      <c r="B583" s="1" t="str">
        <f>"نجف"</f>
        <v>نجف</v>
      </c>
      <c r="C583" s="1" t="str">
        <f>"ابراهيم زاده"</f>
        <v>ابراهيم زاده</v>
      </c>
      <c r="D583" s="1" t="str">
        <f>"قراردادي کارگري"</f>
        <v>قراردادي کارگري</v>
      </c>
      <c r="E583" s="1" t="str">
        <f>"پروژه تعميرات نيروگاه بوشهر"</f>
        <v>پروژه تعميرات نيروگاه بوشهر</v>
      </c>
      <c r="F583" s="1">
        <v>8895582</v>
      </c>
      <c r="G583" s="1">
        <v>0</v>
      </c>
      <c r="H583" s="1">
        <v>0</v>
      </c>
      <c r="I583" s="1">
        <v>7205421</v>
      </c>
      <c r="J583" s="1">
        <v>0</v>
      </c>
      <c r="K583" s="1">
        <v>0</v>
      </c>
      <c r="L583" s="1">
        <v>3460800</v>
      </c>
      <c r="M583" s="1">
        <v>400000</v>
      </c>
      <c r="N583" s="1">
        <v>4744310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5677345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2889299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34372757</v>
      </c>
      <c r="AO583" s="1">
        <v>11940806</v>
      </c>
      <c r="AP583" s="1">
        <v>22431951</v>
      </c>
      <c r="AQ583" s="1">
        <v>6296692</v>
      </c>
      <c r="AR583" s="1">
        <v>944504</v>
      </c>
      <c r="AS583" s="1">
        <v>390000</v>
      </c>
      <c r="AT583" s="1">
        <f t="shared" si="62"/>
        <v>42003953</v>
      </c>
    </row>
    <row r="584" spans="1:46">
      <c r="A584" s="1" t="str">
        <f>"00663"</f>
        <v>00663</v>
      </c>
      <c r="B584" s="1" t="str">
        <f>"بهرام"</f>
        <v>بهرام</v>
      </c>
      <c r="C584" s="1" t="str">
        <f>"زارعي"</f>
        <v>زارعي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10519522</v>
      </c>
      <c r="G584" s="1">
        <v>13571402</v>
      </c>
      <c r="H584" s="1">
        <v>0</v>
      </c>
      <c r="I584" s="1">
        <v>10763686</v>
      </c>
      <c r="J584" s="1">
        <v>0</v>
      </c>
      <c r="K584" s="1">
        <v>4620000</v>
      </c>
      <c r="L584" s="1">
        <v>0</v>
      </c>
      <c r="M584" s="1">
        <v>400000</v>
      </c>
      <c r="N584" s="1">
        <v>1761899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6768075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1258499</v>
      </c>
      <c r="AF584" s="1">
        <v>3333807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2768698</v>
      </c>
      <c r="AM584" s="1">
        <v>0</v>
      </c>
      <c r="AN584" s="1">
        <v>56865588</v>
      </c>
      <c r="AO584" s="1">
        <v>12137997</v>
      </c>
      <c r="AP584" s="1">
        <v>44727591</v>
      </c>
      <c r="AQ584" s="1">
        <v>10706356</v>
      </c>
      <c r="AR584" s="1">
        <v>1605953</v>
      </c>
      <c r="AS584" s="1">
        <v>0</v>
      </c>
      <c r="AT584" s="1">
        <f t="shared" si="62"/>
        <v>69177897</v>
      </c>
    </row>
    <row r="585" spans="1:46">
      <c r="A585" s="1" t="str">
        <f>"00664"</f>
        <v>00664</v>
      </c>
      <c r="B585" s="1" t="str">
        <f>"حميد رضا"</f>
        <v>حميد رضا</v>
      </c>
      <c r="C585" s="1" t="str">
        <f>"دهقاني"</f>
        <v>دهقاني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11789153</v>
      </c>
      <c r="G585" s="1">
        <v>5141499</v>
      </c>
      <c r="H585" s="1">
        <v>0</v>
      </c>
      <c r="I585" s="1">
        <v>9617955</v>
      </c>
      <c r="J585" s="1">
        <v>0</v>
      </c>
      <c r="K585" s="1">
        <v>4620000</v>
      </c>
      <c r="L585" s="1">
        <v>0</v>
      </c>
      <c r="M585" s="1">
        <v>400000</v>
      </c>
      <c r="N585" s="1">
        <v>2189401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6592584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1563858</v>
      </c>
      <c r="AF585" s="1">
        <v>1111269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3503041</v>
      </c>
      <c r="AM585" s="1">
        <v>0</v>
      </c>
      <c r="AN585" s="1">
        <v>47628760</v>
      </c>
      <c r="AO585" s="1">
        <v>12805129</v>
      </c>
      <c r="AP585" s="1">
        <v>34823631</v>
      </c>
      <c r="AQ585" s="1">
        <v>9303498</v>
      </c>
      <c r="AR585" s="1">
        <v>1395525</v>
      </c>
      <c r="AS585" s="1">
        <v>0</v>
      </c>
      <c r="AT585" s="1">
        <f t="shared" si="62"/>
        <v>58327783</v>
      </c>
    </row>
    <row r="586" spans="1:46">
      <c r="A586" s="1" t="str">
        <f>"00665"</f>
        <v>00665</v>
      </c>
      <c r="B586" s="1" t="str">
        <f>"مجيد"</f>
        <v>مجيد</v>
      </c>
      <c r="C586" s="1" t="str">
        <f>"سميعي قصرالدشتي"</f>
        <v>سميعي قصرالدشتي</v>
      </c>
      <c r="D586" s="1" t="str">
        <f>"قراردادي بهره بردار"</f>
        <v>قراردادي بهره بردار</v>
      </c>
      <c r="E586" s="1" t="str">
        <f>"پروژه بهره برداري نيروگاه بوشهر"</f>
        <v>پروژه بهره برداري نيروگاه بوشهر</v>
      </c>
      <c r="F586" s="1">
        <v>11562931</v>
      </c>
      <c r="G586" s="1">
        <v>0</v>
      </c>
      <c r="H586" s="1">
        <v>0</v>
      </c>
      <c r="I586" s="1">
        <v>9485206</v>
      </c>
      <c r="J586" s="1">
        <v>0</v>
      </c>
      <c r="K586" s="1">
        <v>4620000</v>
      </c>
      <c r="L586" s="1">
        <v>0</v>
      </c>
      <c r="M586" s="1">
        <v>400000</v>
      </c>
      <c r="N586" s="1">
        <v>2105733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1270000</v>
      </c>
      <c r="U586" s="1">
        <v>0</v>
      </c>
      <c r="V586" s="1">
        <v>5936236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1504095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3609827</v>
      </c>
      <c r="AM586" s="1">
        <v>0</v>
      </c>
      <c r="AN586" s="1">
        <v>41594028</v>
      </c>
      <c r="AO586" s="1">
        <v>8255334</v>
      </c>
      <c r="AP586" s="1">
        <v>33338694</v>
      </c>
      <c r="AQ586" s="1">
        <v>8064806</v>
      </c>
      <c r="AR586" s="1">
        <v>1209721</v>
      </c>
      <c r="AS586" s="1">
        <v>0</v>
      </c>
      <c r="AT586" s="1">
        <f t="shared" si="62"/>
        <v>50868555</v>
      </c>
    </row>
    <row r="587" spans="1:46">
      <c r="A587" s="1" t="str">
        <f>"00666"</f>
        <v>00666</v>
      </c>
      <c r="B587" s="1" t="str">
        <f>"زهرا"</f>
        <v>زهرا</v>
      </c>
      <c r="C587" s="1" t="str">
        <f>"دانشور"</f>
        <v>دانشور</v>
      </c>
      <c r="D587" s="1" t="str">
        <f>"قراردادي بهره بردار"</f>
        <v>قراردادي بهره بردار</v>
      </c>
      <c r="E587" s="1" t="str">
        <f>"پروژه بهره برداري نيروگاه بوشهر"</f>
        <v>پروژه بهره برداري نيروگاه بوشهر</v>
      </c>
      <c r="F587" s="1">
        <v>12857558</v>
      </c>
      <c r="G587" s="1">
        <v>5410381</v>
      </c>
      <c r="H587" s="1">
        <v>0</v>
      </c>
      <c r="I587" s="1">
        <v>8170449</v>
      </c>
      <c r="J587" s="1">
        <v>0</v>
      </c>
      <c r="K587" s="1">
        <v>4125000</v>
      </c>
      <c r="L587" s="1">
        <v>0</v>
      </c>
      <c r="M587" s="1">
        <v>400000</v>
      </c>
      <c r="N587" s="1">
        <v>1755671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1270000</v>
      </c>
      <c r="U587" s="1">
        <v>0</v>
      </c>
      <c r="V587" s="1">
        <v>2594389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1254050</v>
      </c>
      <c r="AF587" s="1">
        <v>1111269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1906157</v>
      </c>
      <c r="AM587" s="1">
        <v>0</v>
      </c>
      <c r="AN587" s="1">
        <v>41954924</v>
      </c>
      <c r="AO587" s="1">
        <v>5672995</v>
      </c>
      <c r="AP587" s="1">
        <v>36281929</v>
      </c>
      <c r="AQ587" s="1">
        <v>7914731</v>
      </c>
      <c r="AR587" s="1">
        <v>1187210</v>
      </c>
      <c r="AS587" s="1">
        <v>0</v>
      </c>
      <c r="AT587" s="1">
        <f t="shared" si="62"/>
        <v>51056865</v>
      </c>
    </row>
    <row r="588" spans="1:46">
      <c r="A588" s="1" t="str">
        <f>"00667"</f>
        <v>00667</v>
      </c>
      <c r="B588" s="1" t="str">
        <f>"نصرالله"</f>
        <v>نصرالله</v>
      </c>
      <c r="C588" s="1" t="str">
        <f>"شکيبي نسب"</f>
        <v>شکيبي نسب</v>
      </c>
      <c r="D588" s="1" t="str">
        <f>"قراردادي کارگري"</f>
        <v>قراردادي کارگري</v>
      </c>
      <c r="E588" s="1" t="str">
        <f t="shared" ref="E588:E599" si="63">"پروژه تعميرات نيروگاه بوشهر"</f>
        <v>پروژه تعميرات نيروگاه بوشهر</v>
      </c>
      <c r="F588" s="1">
        <v>8859255</v>
      </c>
      <c r="G588" s="1">
        <v>13086993</v>
      </c>
      <c r="H588" s="1">
        <v>0</v>
      </c>
      <c r="I588" s="1">
        <v>6555848</v>
      </c>
      <c r="J588" s="1">
        <v>0</v>
      </c>
      <c r="K588" s="1">
        <v>0</v>
      </c>
      <c r="L588" s="1">
        <v>3620700</v>
      </c>
      <c r="M588" s="1">
        <v>400000</v>
      </c>
      <c r="N588" s="1">
        <v>4693645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7758055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1111269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47185765</v>
      </c>
      <c r="AO588" s="1">
        <v>12406540</v>
      </c>
      <c r="AP588" s="1">
        <v>34779225</v>
      </c>
      <c r="AQ588" s="1">
        <v>9214899</v>
      </c>
      <c r="AR588" s="1">
        <v>1382235</v>
      </c>
      <c r="AS588" s="1">
        <v>900000</v>
      </c>
      <c r="AT588" s="1">
        <f t="shared" si="62"/>
        <v>58682899</v>
      </c>
    </row>
    <row r="589" spans="1:46">
      <c r="A589" s="1" t="str">
        <f>"00668"</f>
        <v>00668</v>
      </c>
      <c r="B589" s="1" t="str">
        <f>"عبدالکريم"</f>
        <v>عبدالکريم</v>
      </c>
      <c r="C589" s="1" t="str">
        <f>"صادقي پور"</f>
        <v>صادقي پور</v>
      </c>
      <c r="D589" s="1" t="str">
        <f>"قراردادي کارگري"</f>
        <v>قراردادي کارگري</v>
      </c>
      <c r="E589" s="1" t="str">
        <f t="shared" si="63"/>
        <v>پروژه تعميرات نيروگاه بوشهر</v>
      </c>
      <c r="F589" s="1">
        <v>7752029</v>
      </c>
      <c r="G589" s="1">
        <v>6597689</v>
      </c>
      <c r="H589" s="1">
        <v>0</v>
      </c>
      <c r="I589" s="1">
        <v>5969062</v>
      </c>
      <c r="J589" s="1">
        <v>0</v>
      </c>
      <c r="K589" s="1">
        <v>0</v>
      </c>
      <c r="L589" s="1">
        <v>3460800</v>
      </c>
      <c r="M589" s="1">
        <v>400000</v>
      </c>
      <c r="N589" s="1">
        <v>4134416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7871625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2222538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39508159</v>
      </c>
      <c r="AO589" s="1">
        <v>7560317</v>
      </c>
      <c r="AP589" s="1">
        <v>31947842</v>
      </c>
      <c r="AQ589" s="1">
        <v>7457124</v>
      </c>
      <c r="AR589" s="1">
        <v>1118569</v>
      </c>
      <c r="AS589" s="1">
        <v>1060000</v>
      </c>
      <c r="AT589" s="1">
        <f t="shared" si="62"/>
        <v>49143852</v>
      </c>
    </row>
    <row r="590" spans="1:46">
      <c r="A590" s="1" t="str">
        <f>"00669"</f>
        <v>00669</v>
      </c>
      <c r="B590" s="1" t="str">
        <f>"وحيد"</f>
        <v>وحيد</v>
      </c>
      <c r="C590" s="1" t="str">
        <f>"صالحي"</f>
        <v>صالحي</v>
      </c>
      <c r="D590" s="1" t="str">
        <f>"قراردادي کارگري"</f>
        <v>قراردادي کارگري</v>
      </c>
      <c r="E590" s="1" t="str">
        <f t="shared" si="63"/>
        <v>پروژه تعميرات نيروگاه بوشهر</v>
      </c>
      <c r="F590" s="1">
        <v>5428072</v>
      </c>
      <c r="G590" s="1">
        <v>7549238</v>
      </c>
      <c r="H590" s="1">
        <v>0</v>
      </c>
      <c r="I590" s="1">
        <v>4071054</v>
      </c>
      <c r="J590" s="1">
        <v>0</v>
      </c>
      <c r="K590" s="1">
        <v>0</v>
      </c>
      <c r="L590" s="1">
        <v>3620700</v>
      </c>
      <c r="M590" s="1">
        <v>400000</v>
      </c>
      <c r="N590" s="1">
        <v>2856880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5592546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2396506</v>
      </c>
      <c r="AE590" s="1">
        <v>0</v>
      </c>
      <c r="AF590" s="1">
        <v>1111269</v>
      </c>
      <c r="AG590" s="1">
        <v>0</v>
      </c>
      <c r="AH590" s="1">
        <v>0</v>
      </c>
      <c r="AI590" s="1">
        <v>0</v>
      </c>
      <c r="AJ590" s="1">
        <v>3019695</v>
      </c>
      <c r="AK590" s="1">
        <v>0</v>
      </c>
      <c r="AL590" s="1">
        <v>0</v>
      </c>
      <c r="AM590" s="1">
        <v>0</v>
      </c>
      <c r="AN590" s="1">
        <v>37145960</v>
      </c>
      <c r="AO590" s="1">
        <v>7998549</v>
      </c>
      <c r="AP590" s="1">
        <v>29147411</v>
      </c>
      <c r="AQ590" s="1">
        <v>7206938</v>
      </c>
      <c r="AR590" s="1">
        <v>1081041</v>
      </c>
      <c r="AS590" s="1">
        <v>795000</v>
      </c>
      <c r="AT590" s="1">
        <f t="shared" si="62"/>
        <v>46228939</v>
      </c>
    </row>
    <row r="591" spans="1:46">
      <c r="A591" s="1" t="str">
        <f>"00670"</f>
        <v>00670</v>
      </c>
      <c r="B591" s="1" t="str">
        <f>"احمد"</f>
        <v>احمد</v>
      </c>
      <c r="C591" s="1" t="str">
        <f>"صفا"</f>
        <v>صفا</v>
      </c>
      <c r="D591" s="1" t="str">
        <f>"قراردادي بهره بردار"</f>
        <v>قراردادي بهره بردار</v>
      </c>
      <c r="E591" s="1" t="str">
        <f t="shared" si="63"/>
        <v>پروژه تعميرات نيروگاه بوشهر</v>
      </c>
      <c r="F591" s="1">
        <v>7613949</v>
      </c>
      <c r="G591" s="1">
        <v>1918327</v>
      </c>
      <c r="H591" s="1">
        <v>0</v>
      </c>
      <c r="I591" s="1">
        <v>3805570</v>
      </c>
      <c r="J591" s="1">
        <v>0</v>
      </c>
      <c r="K591" s="1">
        <v>4620000</v>
      </c>
      <c r="L591" s="1">
        <v>0</v>
      </c>
      <c r="M591" s="1">
        <v>400000</v>
      </c>
      <c r="N591" s="1">
        <v>976016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1406871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697154</v>
      </c>
      <c r="AF591" s="1">
        <v>1111269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976016</v>
      </c>
      <c r="AM591" s="1">
        <v>0</v>
      </c>
      <c r="AN591" s="1">
        <v>24625172</v>
      </c>
      <c r="AO591" s="1">
        <v>9307536</v>
      </c>
      <c r="AP591" s="1">
        <v>15317636</v>
      </c>
      <c r="AQ591" s="1">
        <v>4702781</v>
      </c>
      <c r="AR591" s="1">
        <v>705417</v>
      </c>
      <c r="AS591" s="1">
        <v>0</v>
      </c>
      <c r="AT591" s="1">
        <f t="shared" si="62"/>
        <v>30033370</v>
      </c>
    </row>
    <row r="592" spans="1:46">
      <c r="A592" s="1" t="str">
        <f>"00671"</f>
        <v>00671</v>
      </c>
      <c r="B592" s="1" t="str">
        <f>"مهدي"</f>
        <v>مهدي</v>
      </c>
      <c r="C592" s="1" t="str">
        <f>"طاهري نيا"</f>
        <v>طاهري نيا</v>
      </c>
      <c r="D592" s="1" t="str">
        <f>"قراردادي کارگري"</f>
        <v>قراردادي کارگري</v>
      </c>
      <c r="E592" s="1" t="str">
        <f t="shared" si="63"/>
        <v>پروژه تعميرات نيروگاه بوشهر</v>
      </c>
      <c r="F592" s="1">
        <v>6511596</v>
      </c>
      <c r="G592" s="1">
        <v>8246126</v>
      </c>
      <c r="H592" s="1">
        <v>0</v>
      </c>
      <c r="I592" s="1">
        <v>4623233</v>
      </c>
      <c r="J592" s="1">
        <v>0</v>
      </c>
      <c r="K592" s="1">
        <v>0</v>
      </c>
      <c r="L592" s="1">
        <v>3620700</v>
      </c>
      <c r="M592" s="1">
        <v>400000</v>
      </c>
      <c r="N592" s="1">
        <v>3472851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4389565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2734257</v>
      </c>
      <c r="AE592" s="1">
        <v>0</v>
      </c>
      <c r="AF592" s="1">
        <v>1111269</v>
      </c>
      <c r="AG592" s="1">
        <v>0</v>
      </c>
      <c r="AH592" s="1">
        <v>0</v>
      </c>
      <c r="AI592" s="1">
        <v>0</v>
      </c>
      <c r="AJ592" s="1">
        <v>3166512</v>
      </c>
      <c r="AK592" s="1">
        <v>0</v>
      </c>
      <c r="AL592" s="1">
        <v>0</v>
      </c>
      <c r="AM592" s="1">
        <v>0</v>
      </c>
      <c r="AN592" s="1">
        <v>39376109</v>
      </c>
      <c r="AO592" s="1">
        <v>7822183</v>
      </c>
      <c r="AP592" s="1">
        <v>31553926</v>
      </c>
      <c r="AQ592" s="1">
        <v>7652968</v>
      </c>
      <c r="AR592" s="1">
        <v>1147945</v>
      </c>
      <c r="AS592" s="1">
        <v>795000</v>
      </c>
      <c r="AT592" s="1">
        <f t="shared" si="62"/>
        <v>48972022</v>
      </c>
    </row>
    <row r="593" spans="1:46">
      <c r="A593" s="1" t="str">
        <f>"00672"</f>
        <v>00672</v>
      </c>
      <c r="B593" s="1" t="str">
        <f>"محسن"</f>
        <v>محسن</v>
      </c>
      <c r="C593" s="1" t="str">
        <f>"عباس پور بحراني"</f>
        <v>عباس پور بحراني</v>
      </c>
      <c r="D593" s="1" t="str">
        <f>"قراردادي بهره بردار"</f>
        <v>قراردادي بهره بردار</v>
      </c>
      <c r="E593" s="1" t="str">
        <f t="shared" si="63"/>
        <v>پروژه تعميرات نيروگاه بوشهر</v>
      </c>
      <c r="F593" s="1">
        <v>11607653</v>
      </c>
      <c r="G593" s="1">
        <v>0</v>
      </c>
      <c r="H593" s="1">
        <v>0</v>
      </c>
      <c r="I593" s="1">
        <v>9856756</v>
      </c>
      <c r="J593" s="1">
        <v>0</v>
      </c>
      <c r="K593" s="1">
        <v>3465000</v>
      </c>
      <c r="L593" s="1">
        <v>0</v>
      </c>
      <c r="M593" s="1">
        <v>400000</v>
      </c>
      <c r="N593" s="1">
        <v>2148142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9072501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1534387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6137549</v>
      </c>
      <c r="AM593" s="1">
        <v>0</v>
      </c>
      <c r="AN593" s="1">
        <v>45321988</v>
      </c>
      <c r="AO593" s="1">
        <v>12395656</v>
      </c>
      <c r="AP593" s="1">
        <v>32926332</v>
      </c>
      <c r="AQ593" s="1">
        <v>9064398</v>
      </c>
      <c r="AR593" s="1">
        <v>1359660</v>
      </c>
      <c r="AS593" s="1">
        <v>0</v>
      </c>
      <c r="AT593" s="1">
        <f t="shared" si="62"/>
        <v>55746046</v>
      </c>
    </row>
    <row r="594" spans="1:46">
      <c r="A594" s="1" t="str">
        <f>"00673"</f>
        <v>00673</v>
      </c>
      <c r="B594" s="1" t="str">
        <f>"حسن"</f>
        <v>حسن</v>
      </c>
      <c r="C594" s="1" t="str">
        <f>"عبدالله زاده"</f>
        <v>عبدالله زاده</v>
      </c>
      <c r="D594" s="1" t="str">
        <f t="shared" ref="D594:D599" si="64">"قراردادي کارگري"</f>
        <v>قراردادي کارگري</v>
      </c>
      <c r="E594" s="1" t="str">
        <f t="shared" si="63"/>
        <v>پروژه تعميرات نيروگاه بوشهر</v>
      </c>
      <c r="F594" s="1">
        <v>7391654</v>
      </c>
      <c r="G594" s="1">
        <v>6297685</v>
      </c>
      <c r="H594" s="1">
        <v>0</v>
      </c>
      <c r="I594" s="1">
        <v>4508909</v>
      </c>
      <c r="J594" s="1">
        <v>0</v>
      </c>
      <c r="K594" s="1">
        <v>0</v>
      </c>
      <c r="L594" s="1">
        <v>4864775</v>
      </c>
      <c r="M594" s="1">
        <v>400000</v>
      </c>
      <c r="N594" s="1">
        <v>3695827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4941262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3069175</v>
      </c>
      <c r="AE594" s="1">
        <v>0</v>
      </c>
      <c r="AF594" s="1">
        <v>2222538</v>
      </c>
      <c r="AG594" s="1">
        <v>0</v>
      </c>
      <c r="AH594" s="1">
        <v>0</v>
      </c>
      <c r="AI594" s="1">
        <v>0</v>
      </c>
      <c r="AJ594" s="1">
        <v>2370893</v>
      </c>
      <c r="AK594" s="1">
        <v>0</v>
      </c>
      <c r="AL594" s="1">
        <v>0</v>
      </c>
      <c r="AM594" s="1">
        <v>0</v>
      </c>
      <c r="AN594" s="1">
        <v>40862718</v>
      </c>
      <c r="AO594" s="1">
        <v>8172013</v>
      </c>
      <c r="AP594" s="1">
        <v>32690705</v>
      </c>
      <c r="AQ594" s="1">
        <v>7728036</v>
      </c>
      <c r="AR594" s="1">
        <v>1159205</v>
      </c>
      <c r="AS594" s="1">
        <v>300000</v>
      </c>
      <c r="AT594" s="1">
        <f t="shared" si="62"/>
        <v>50049959</v>
      </c>
    </row>
    <row r="595" spans="1:46">
      <c r="A595" s="1" t="str">
        <f>"00674"</f>
        <v>00674</v>
      </c>
      <c r="B595" s="1" t="str">
        <f>"علي"</f>
        <v>علي</v>
      </c>
      <c r="C595" s="1" t="str">
        <f>"عدالت پور"</f>
        <v>عدالت پور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5454550</v>
      </c>
      <c r="G595" s="1">
        <v>2999262</v>
      </c>
      <c r="H595" s="1">
        <v>0</v>
      </c>
      <c r="I595" s="1">
        <v>4090913</v>
      </c>
      <c r="J595" s="1">
        <v>0</v>
      </c>
      <c r="K595" s="1">
        <v>0</v>
      </c>
      <c r="L595" s="1">
        <v>3620700</v>
      </c>
      <c r="M595" s="1">
        <v>400000</v>
      </c>
      <c r="N595" s="1">
        <v>2870816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5611833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26148074</v>
      </c>
      <c r="AO595" s="1">
        <v>5198439</v>
      </c>
      <c r="AP595" s="1">
        <v>20949635</v>
      </c>
      <c r="AQ595" s="1">
        <v>5229615</v>
      </c>
      <c r="AR595" s="1">
        <v>784442</v>
      </c>
      <c r="AS595" s="1">
        <v>530000</v>
      </c>
      <c r="AT595" s="1">
        <f t="shared" si="62"/>
        <v>32692131</v>
      </c>
    </row>
    <row r="596" spans="1:46">
      <c r="A596" s="1" t="str">
        <f>"00675"</f>
        <v>00675</v>
      </c>
      <c r="B596" s="1" t="str">
        <f>"قاسم"</f>
        <v>قاسم</v>
      </c>
      <c r="C596" s="1" t="str">
        <f>"علوي"</f>
        <v>علوي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5359228</v>
      </c>
      <c r="G596" s="1">
        <v>1401907</v>
      </c>
      <c r="H596" s="1">
        <v>0</v>
      </c>
      <c r="I596" s="1">
        <v>4019421</v>
      </c>
      <c r="J596" s="1">
        <v>0</v>
      </c>
      <c r="K596" s="1">
        <v>0</v>
      </c>
      <c r="L596" s="1">
        <v>3620700</v>
      </c>
      <c r="M596" s="1">
        <v>400000</v>
      </c>
      <c r="N596" s="1">
        <v>2820646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5542399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1111269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25375570</v>
      </c>
      <c r="AO596" s="1">
        <v>5550064</v>
      </c>
      <c r="AP596" s="1">
        <v>19825506</v>
      </c>
      <c r="AQ596" s="1">
        <v>4852860</v>
      </c>
      <c r="AR596" s="1">
        <v>727929</v>
      </c>
      <c r="AS596" s="1">
        <v>795000</v>
      </c>
      <c r="AT596" s="1">
        <f t="shared" si="62"/>
        <v>31751359</v>
      </c>
    </row>
    <row r="597" spans="1:46">
      <c r="A597" s="1" t="str">
        <f>"00676"</f>
        <v>00676</v>
      </c>
      <c r="B597" s="1" t="str">
        <f>"ياسين"</f>
        <v>ياسين</v>
      </c>
      <c r="C597" s="1" t="str">
        <f>"علوي راد"</f>
        <v>علوي راد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5290384</v>
      </c>
      <c r="G597" s="1">
        <v>6633142</v>
      </c>
      <c r="H597" s="1">
        <v>0</v>
      </c>
      <c r="I597" s="1">
        <v>3967788</v>
      </c>
      <c r="J597" s="1">
        <v>0</v>
      </c>
      <c r="K597" s="1">
        <v>0</v>
      </c>
      <c r="L597" s="1">
        <v>3620700</v>
      </c>
      <c r="M597" s="1">
        <v>400000</v>
      </c>
      <c r="N597" s="1">
        <v>2784413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5492251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2349493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3949033</v>
      </c>
      <c r="AK597" s="1">
        <v>0</v>
      </c>
      <c r="AL597" s="1">
        <v>0</v>
      </c>
      <c r="AM597" s="1">
        <v>0</v>
      </c>
      <c r="AN597" s="1">
        <v>35587204</v>
      </c>
      <c r="AO597" s="1">
        <v>4702679</v>
      </c>
      <c r="AP597" s="1">
        <v>30884525</v>
      </c>
      <c r="AQ597" s="1">
        <v>7117441</v>
      </c>
      <c r="AR597" s="1">
        <v>1067616</v>
      </c>
      <c r="AS597" s="1">
        <v>0</v>
      </c>
      <c r="AT597" s="1">
        <f t="shared" si="62"/>
        <v>43772261</v>
      </c>
    </row>
    <row r="598" spans="1:46">
      <c r="A598" s="1" t="str">
        <f>"00677"</f>
        <v>00677</v>
      </c>
      <c r="B598" s="1" t="str">
        <f>"رضا"</f>
        <v>رضا</v>
      </c>
      <c r="C598" s="1" t="str">
        <f>"ابراهيمي"</f>
        <v>ابراهيمي</v>
      </c>
      <c r="D598" s="1" t="str">
        <f t="shared" si="64"/>
        <v>قراردادي کارگري</v>
      </c>
      <c r="E598" s="1" t="str">
        <f t="shared" si="63"/>
        <v>پروژه تعميرات نيروگاه بوشهر</v>
      </c>
      <c r="F598" s="1">
        <v>7473975</v>
      </c>
      <c r="G598" s="1">
        <v>1646783</v>
      </c>
      <c r="H598" s="1">
        <v>0</v>
      </c>
      <c r="I598" s="1">
        <v>6128659</v>
      </c>
      <c r="J598" s="1">
        <v>0</v>
      </c>
      <c r="K598" s="1">
        <v>0</v>
      </c>
      <c r="L598" s="1">
        <v>3460800</v>
      </c>
      <c r="M598" s="1">
        <v>400000</v>
      </c>
      <c r="N598" s="1">
        <v>3959722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7207410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31377349</v>
      </c>
      <c r="AO598" s="1">
        <v>4541360</v>
      </c>
      <c r="AP598" s="1">
        <v>26835989</v>
      </c>
      <c r="AQ598" s="1">
        <v>6275470</v>
      </c>
      <c r="AR598" s="1">
        <v>941320</v>
      </c>
      <c r="AS598" s="1">
        <v>195000</v>
      </c>
      <c r="AT598" s="1">
        <f t="shared" si="62"/>
        <v>38789139</v>
      </c>
    </row>
    <row r="599" spans="1:46">
      <c r="A599" s="1" t="str">
        <f>"00680"</f>
        <v>00680</v>
      </c>
      <c r="B599" s="1" t="str">
        <f>"سجاد"</f>
        <v>سجاد</v>
      </c>
      <c r="C599" s="1" t="str">
        <f>"ارمي"</f>
        <v>ارمي</v>
      </c>
      <c r="D599" s="1" t="str">
        <f t="shared" si="64"/>
        <v>قراردادي کارگري</v>
      </c>
      <c r="E599" s="1" t="str">
        <f t="shared" si="63"/>
        <v>پروژه تعميرات نيروگاه بوشهر</v>
      </c>
      <c r="F599" s="1">
        <v>5671673</v>
      </c>
      <c r="G599" s="1">
        <v>5186082</v>
      </c>
      <c r="H599" s="1">
        <v>0</v>
      </c>
      <c r="I599" s="1">
        <v>3686588</v>
      </c>
      <c r="J599" s="1">
        <v>0</v>
      </c>
      <c r="K599" s="1">
        <v>0</v>
      </c>
      <c r="L599" s="1">
        <v>3620700</v>
      </c>
      <c r="M599" s="1">
        <v>400000</v>
      </c>
      <c r="N599" s="1">
        <v>2985091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5588497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2394608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3017357</v>
      </c>
      <c r="AK599" s="1">
        <v>0</v>
      </c>
      <c r="AL599" s="1">
        <v>0</v>
      </c>
      <c r="AM599" s="1">
        <v>0</v>
      </c>
      <c r="AN599" s="1">
        <v>33650596</v>
      </c>
      <c r="AO599" s="1">
        <v>10857872</v>
      </c>
      <c r="AP599" s="1">
        <v>22792724</v>
      </c>
      <c r="AQ599" s="1">
        <v>6730119</v>
      </c>
      <c r="AR599" s="1">
        <v>1009518</v>
      </c>
      <c r="AS599" s="1">
        <v>300000</v>
      </c>
      <c r="AT599" s="1">
        <f t="shared" si="62"/>
        <v>41690233</v>
      </c>
    </row>
    <row r="600" spans="1:46">
      <c r="A600" s="1" t="str">
        <f>"00681"</f>
        <v>00681</v>
      </c>
      <c r="B600" s="1" t="str">
        <f>"علي"</f>
        <v>علي</v>
      </c>
      <c r="C600" s="1" t="str">
        <f>"اسمعيلي"</f>
        <v>اسمعيلي</v>
      </c>
      <c r="D600" s="1" t="str">
        <f>"قراردادي بهره بردار"</f>
        <v>قراردادي بهره بردار</v>
      </c>
      <c r="E600" s="1" t="str">
        <f>"پروژه بهره برداري نيروگاه بوشهر"</f>
        <v>پروژه بهره برداري نيروگاه بوشهر</v>
      </c>
      <c r="F600" s="1">
        <v>8047837</v>
      </c>
      <c r="G600" s="1">
        <v>0</v>
      </c>
      <c r="H600" s="1">
        <v>0</v>
      </c>
      <c r="I600" s="1">
        <v>3891349</v>
      </c>
      <c r="J600" s="1">
        <v>0</v>
      </c>
      <c r="K600" s="1">
        <v>4620000</v>
      </c>
      <c r="L600" s="1">
        <v>0</v>
      </c>
      <c r="M600" s="1">
        <v>400000</v>
      </c>
      <c r="N600" s="1">
        <v>1131164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1500949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807975</v>
      </c>
      <c r="AF600" s="1">
        <v>1111269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1131164</v>
      </c>
      <c r="AM600" s="1">
        <v>0</v>
      </c>
      <c r="AN600" s="1">
        <v>23741707</v>
      </c>
      <c r="AO600" s="1">
        <v>5933133</v>
      </c>
      <c r="AP600" s="1">
        <v>17808574</v>
      </c>
      <c r="AQ600" s="1">
        <v>4526088</v>
      </c>
      <c r="AR600" s="1">
        <v>678913</v>
      </c>
      <c r="AS600" s="1">
        <v>0</v>
      </c>
      <c r="AT600" s="1">
        <f t="shared" si="62"/>
        <v>28946708</v>
      </c>
    </row>
    <row r="601" spans="1:46">
      <c r="A601" s="1" t="str">
        <f>"00682"</f>
        <v>00682</v>
      </c>
      <c r="B601" s="1" t="str">
        <f>"محمد"</f>
        <v>محمد</v>
      </c>
      <c r="C601" s="1" t="str">
        <f>"افتخار"</f>
        <v>افتخار</v>
      </c>
      <c r="D601" s="1" t="str">
        <f t="shared" ref="D601:D614" si="65">"قراردادي کارگري"</f>
        <v>قراردادي کارگري</v>
      </c>
      <c r="E601" s="1" t="str">
        <f t="shared" ref="E601:E614" si="66">"پروژه تعميرات نيروگاه بوشهر"</f>
        <v>پروژه تعميرات نيروگاه بوشهر</v>
      </c>
      <c r="F601" s="1">
        <v>6487208</v>
      </c>
      <c r="G601" s="1">
        <v>10566613</v>
      </c>
      <c r="H601" s="1">
        <v>0</v>
      </c>
      <c r="I601" s="1">
        <v>4411301</v>
      </c>
      <c r="J601" s="1">
        <v>0</v>
      </c>
      <c r="K601" s="1">
        <v>0</v>
      </c>
      <c r="L601" s="1">
        <v>3620700</v>
      </c>
      <c r="M601" s="1">
        <v>400000</v>
      </c>
      <c r="N601" s="1">
        <v>3414320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6218729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36218871</v>
      </c>
      <c r="AO601" s="1">
        <v>8635631</v>
      </c>
      <c r="AP601" s="1">
        <v>27583240</v>
      </c>
      <c r="AQ601" s="1">
        <v>7243774</v>
      </c>
      <c r="AR601" s="1">
        <v>1086566</v>
      </c>
      <c r="AS601" s="1">
        <v>530000</v>
      </c>
      <c r="AT601" s="1">
        <f t="shared" si="62"/>
        <v>45079211</v>
      </c>
    </row>
    <row r="602" spans="1:46">
      <c r="A602" s="1" t="str">
        <f>"00684"</f>
        <v>00684</v>
      </c>
      <c r="B602" s="1" t="str">
        <f>"مسعود"</f>
        <v>مسعود</v>
      </c>
      <c r="C602" s="1" t="str">
        <f>"اميني"</f>
        <v>اميني</v>
      </c>
      <c r="D602" s="1" t="str">
        <f t="shared" si="65"/>
        <v>قراردادي کارگري</v>
      </c>
      <c r="E602" s="1" t="str">
        <f t="shared" si="66"/>
        <v>پروژه تعميرات نيروگاه بوشهر</v>
      </c>
      <c r="F602" s="1">
        <v>6993491</v>
      </c>
      <c r="G602" s="1">
        <v>2540419</v>
      </c>
      <c r="H602" s="1">
        <v>0</v>
      </c>
      <c r="I602" s="1">
        <v>5315053</v>
      </c>
      <c r="J602" s="1">
        <v>0</v>
      </c>
      <c r="K602" s="1">
        <v>0</v>
      </c>
      <c r="L602" s="1">
        <v>3620700</v>
      </c>
      <c r="M602" s="1">
        <v>400000</v>
      </c>
      <c r="N602" s="1">
        <v>3729862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2115910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25815435</v>
      </c>
      <c r="AO602" s="1">
        <v>3679360</v>
      </c>
      <c r="AP602" s="1">
        <v>22136075</v>
      </c>
      <c r="AQ602" s="1">
        <v>5163087</v>
      </c>
      <c r="AR602" s="1">
        <v>774463</v>
      </c>
      <c r="AS602" s="1">
        <v>390000</v>
      </c>
      <c r="AT602" s="1">
        <f t="shared" si="62"/>
        <v>32142985</v>
      </c>
    </row>
    <row r="603" spans="1:46">
      <c r="A603" s="1" t="str">
        <f>"00685"</f>
        <v>00685</v>
      </c>
      <c r="B603" s="1" t="str">
        <f>"مهران"</f>
        <v>مهران</v>
      </c>
      <c r="C603" s="1" t="str">
        <f>"اميني"</f>
        <v>اميني</v>
      </c>
      <c r="D603" s="1" t="str">
        <f t="shared" si="65"/>
        <v>قراردادي کارگري</v>
      </c>
      <c r="E603" s="1" t="str">
        <f t="shared" si="66"/>
        <v>پروژه تعميرات نيروگاه بوشهر</v>
      </c>
      <c r="F603" s="1">
        <v>8591017</v>
      </c>
      <c r="G603" s="1">
        <v>2842035</v>
      </c>
      <c r="H603" s="1">
        <v>0</v>
      </c>
      <c r="I603" s="1">
        <v>7130545</v>
      </c>
      <c r="J603" s="1">
        <v>0</v>
      </c>
      <c r="K603" s="1">
        <v>0</v>
      </c>
      <c r="L603" s="1">
        <v>3460800</v>
      </c>
      <c r="M603" s="1">
        <v>400000</v>
      </c>
      <c r="N603" s="1">
        <v>4581875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8716162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1111269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37933703</v>
      </c>
      <c r="AO603" s="1">
        <v>8979859</v>
      </c>
      <c r="AP603" s="1">
        <v>28953844</v>
      </c>
      <c r="AQ603" s="1">
        <v>7364487</v>
      </c>
      <c r="AR603" s="1">
        <v>1104673</v>
      </c>
      <c r="AS603" s="1">
        <v>795000</v>
      </c>
      <c r="AT603" s="1">
        <f t="shared" si="62"/>
        <v>47197863</v>
      </c>
    </row>
    <row r="604" spans="1:46">
      <c r="A604" s="1" t="str">
        <f>"00686"</f>
        <v>00686</v>
      </c>
      <c r="B604" s="1" t="str">
        <f>"مهدي"</f>
        <v>مهدي</v>
      </c>
      <c r="C604" s="1" t="str">
        <f>"باغباني"</f>
        <v>باغباني</v>
      </c>
      <c r="D604" s="1" t="str">
        <f t="shared" si="65"/>
        <v>قراردادي کارگري</v>
      </c>
      <c r="E604" s="1" t="str">
        <f t="shared" si="66"/>
        <v>پروژه تعميرات نيروگاه بوشهر</v>
      </c>
      <c r="F604" s="1">
        <v>7044648</v>
      </c>
      <c r="G604" s="1">
        <v>0</v>
      </c>
      <c r="H604" s="1">
        <v>0</v>
      </c>
      <c r="I604" s="1">
        <v>4860807</v>
      </c>
      <c r="J604" s="1">
        <v>0</v>
      </c>
      <c r="K604" s="1">
        <v>0</v>
      </c>
      <c r="L604" s="1">
        <v>3620700</v>
      </c>
      <c r="M604" s="1">
        <v>400000</v>
      </c>
      <c r="N604" s="1">
        <v>3757146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7170239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2222538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30176078</v>
      </c>
      <c r="AO604" s="1">
        <v>5245090</v>
      </c>
      <c r="AP604" s="1">
        <v>24930988</v>
      </c>
      <c r="AQ604" s="1">
        <v>5590708</v>
      </c>
      <c r="AR604" s="1">
        <v>838606</v>
      </c>
      <c r="AS604" s="1">
        <v>795000</v>
      </c>
      <c r="AT604" s="1">
        <f t="shared" si="62"/>
        <v>37400392</v>
      </c>
    </row>
    <row r="605" spans="1:46">
      <c r="A605" s="1" t="str">
        <f>"00687"</f>
        <v>00687</v>
      </c>
      <c r="B605" s="1" t="str">
        <f>"احسان"</f>
        <v>احسان</v>
      </c>
      <c r="C605" s="1" t="str">
        <f>"بختياري فرد"</f>
        <v>بختياري فرد</v>
      </c>
      <c r="D605" s="1" t="str">
        <f t="shared" si="65"/>
        <v>قراردادي کارگري</v>
      </c>
      <c r="E605" s="1" t="str">
        <f t="shared" si="66"/>
        <v>پروژه تعميرات نيروگاه بوشهر</v>
      </c>
      <c r="F605" s="1">
        <v>7265220</v>
      </c>
      <c r="G605" s="1">
        <v>0</v>
      </c>
      <c r="H605" s="1">
        <v>0</v>
      </c>
      <c r="I605" s="1">
        <v>5230958</v>
      </c>
      <c r="J605" s="1">
        <v>0</v>
      </c>
      <c r="K605" s="1">
        <v>0</v>
      </c>
      <c r="L605" s="1">
        <v>3641351</v>
      </c>
      <c r="M605" s="1">
        <v>400000</v>
      </c>
      <c r="N605" s="1">
        <v>3849123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4941930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2222538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28651120</v>
      </c>
      <c r="AO605" s="1">
        <v>7725256</v>
      </c>
      <c r="AP605" s="1">
        <v>20925864</v>
      </c>
      <c r="AQ605" s="1">
        <v>5285716</v>
      </c>
      <c r="AR605" s="1">
        <v>792857</v>
      </c>
      <c r="AS605" s="1">
        <v>1200000</v>
      </c>
      <c r="AT605" s="1">
        <f t="shared" si="62"/>
        <v>35929693</v>
      </c>
    </row>
    <row r="606" spans="1:46">
      <c r="A606" s="1" t="str">
        <f>"00688"</f>
        <v>00688</v>
      </c>
      <c r="B606" s="1" t="str">
        <f>"محمد"</f>
        <v>محمد</v>
      </c>
      <c r="C606" s="1" t="str">
        <f>"برگهي"</f>
        <v>برگهي</v>
      </c>
      <c r="D606" s="1" t="str">
        <f t="shared" si="65"/>
        <v>قراردادي کارگري</v>
      </c>
      <c r="E606" s="1" t="str">
        <f t="shared" si="66"/>
        <v>پروژه تعميرات نيروگاه بوشهر</v>
      </c>
      <c r="F606" s="1">
        <v>5258610</v>
      </c>
      <c r="G606" s="1">
        <v>1548955</v>
      </c>
      <c r="H606" s="1">
        <v>0</v>
      </c>
      <c r="I606" s="1">
        <v>3733613</v>
      </c>
      <c r="J606" s="1">
        <v>0</v>
      </c>
      <c r="K606" s="1">
        <v>0</v>
      </c>
      <c r="L606" s="1">
        <v>3649241</v>
      </c>
      <c r="M606" s="1">
        <v>400000</v>
      </c>
      <c r="N606" s="1">
        <v>2767690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5833658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2311373</v>
      </c>
      <c r="AE606" s="1">
        <v>0</v>
      </c>
      <c r="AF606" s="1">
        <v>2222538</v>
      </c>
      <c r="AG606" s="1">
        <v>0</v>
      </c>
      <c r="AH606" s="1">
        <v>0</v>
      </c>
      <c r="AI606" s="1">
        <v>0</v>
      </c>
      <c r="AJ606" s="1">
        <v>1982662</v>
      </c>
      <c r="AK606" s="1">
        <v>0</v>
      </c>
      <c r="AL606" s="1">
        <v>0</v>
      </c>
      <c r="AM606" s="1">
        <v>0</v>
      </c>
      <c r="AN606" s="1">
        <v>30808340</v>
      </c>
      <c r="AO606" s="1">
        <v>8260898</v>
      </c>
      <c r="AP606" s="1">
        <v>22547442</v>
      </c>
      <c r="AQ606" s="1">
        <v>5717160</v>
      </c>
      <c r="AR606" s="1">
        <v>857574</v>
      </c>
      <c r="AS606" s="1">
        <v>1060000</v>
      </c>
      <c r="AT606" s="1">
        <f t="shared" si="62"/>
        <v>38443074</v>
      </c>
    </row>
    <row r="607" spans="1:46">
      <c r="A607" s="1" t="str">
        <f>"00689"</f>
        <v>00689</v>
      </c>
      <c r="B607" s="1" t="str">
        <f>"فرشيد"</f>
        <v>فرشيد</v>
      </c>
      <c r="C607" s="1" t="str">
        <f>"بوشهريان"</f>
        <v>بوشهريان</v>
      </c>
      <c r="D607" s="1" t="str">
        <f t="shared" si="65"/>
        <v>قراردادي کارگري</v>
      </c>
      <c r="E607" s="1" t="str">
        <f t="shared" si="66"/>
        <v>پروژه تعميرات نيروگاه بوشهر</v>
      </c>
      <c r="F607" s="1">
        <v>6203262</v>
      </c>
      <c r="G607" s="1">
        <v>0</v>
      </c>
      <c r="H607" s="1">
        <v>0</v>
      </c>
      <c r="I607" s="1">
        <v>3908055</v>
      </c>
      <c r="J607" s="1">
        <v>0</v>
      </c>
      <c r="K607" s="1">
        <v>0</v>
      </c>
      <c r="L607" s="1">
        <v>4880700</v>
      </c>
      <c r="M607" s="1">
        <v>400000</v>
      </c>
      <c r="N607" s="1">
        <v>3101631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6269967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3333807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29197422</v>
      </c>
      <c r="AO607" s="1">
        <v>7284030</v>
      </c>
      <c r="AP607" s="1">
        <v>21913392</v>
      </c>
      <c r="AQ607" s="1">
        <v>5172723</v>
      </c>
      <c r="AR607" s="1">
        <v>775908</v>
      </c>
      <c r="AS607" s="1">
        <v>530000</v>
      </c>
      <c r="AT607" s="1">
        <f t="shared" si="62"/>
        <v>35676053</v>
      </c>
    </row>
    <row r="608" spans="1:46">
      <c r="A608" s="1" t="str">
        <f>"00690"</f>
        <v>00690</v>
      </c>
      <c r="B608" s="1" t="str">
        <f>"بهروز"</f>
        <v>بهروز</v>
      </c>
      <c r="C608" s="1" t="str">
        <f>"پرويز"</f>
        <v>پرويز</v>
      </c>
      <c r="D608" s="1" t="str">
        <f t="shared" si="65"/>
        <v>قراردادي کارگري</v>
      </c>
      <c r="E608" s="1" t="str">
        <f t="shared" si="66"/>
        <v>پروژه تعميرات نيروگاه بوشهر</v>
      </c>
      <c r="F608" s="1">
        <v>5475733</v>
      </c>
      <c r="G608" s="1">
        <v>1382190</v>
      </c>
      <c r="H608" s="1">
        <v>0</v>
      </c>
      <c r="I608" s="1">
        <v>3613984</v>
      </c>
      <c r="J608" s="1">
        <v>0</v>
      </c>
      <c r="K608" s="1">
        <v>0</v>
      </c>
      <c r="L608" s="1">
        <v>3620700</v>
      </c>
      <c r="M608" s="1">
        <v>400000</v>
      </c>
      <c r="N608" s="1">
        <v>2881965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5469562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23944134</v>
      </c>
      <c r="AO608" s="1">
        <v>3370986</v>
      </c>
      <c r="AP608" s="1">
        <v>20573148</v>
      </c>
      <c r="AQ608" s="1">
        <v>4788827</v>
      </c>
      <c r="AR608" s="1">
        <v>718324</v>
      </c>
      <c r="AS608" s="1">
        <v>300000</v>
      </c>
      <c r="AT608" s="1">
        <f t="shared" si="62"/>
        <v>29751285</v>
      </c>
    </row>
    <row r="609" spans="1:46">
      <c r="A609" s="1" t="str">
        <f>"00691"</f>
        <v>00691</v>
      </c>
      <c r="B609" s="1" t="str">
        <f>"محمود"</f>
        <v>محمود</v>
      </c>
      <c r="C609" s="1" t="str">
        <f>"تمجيدي"</f>
        <v>تمجيدي</v>
      </c>
      <c r="D609" s="1" t="str">
        <f t="shared" si="65"/>
        <v>قراردادي کارگري</v>
      </c>
      <c r="E609" s="1" t="str">
        <f t="shared" si="66"/>
        <v>پروژه تعميرات نيروگاه بوشهر</v>
      </c>
      <c r="F609" s="1">
        <v>6762583</v>
      </c>
      <c r="G609" s="1">
        <v>2794119</v>
      </c>
      <c r="H609" s="1">
        <v>0</v>
      </c>
      <c r="I609" s="1">
        <v>4666183</v>
      </c>
      <c r="J609" s="1">
        <v>0</v>
      </c>
      <c r="K609" s="1">
        <v>0</v>
      </c>
      <c r="L609" s="1">
        <v>3620700</v>
      </c>
      <c r="M609" s="1">
        <v>400000</v>
      </c>
      <c r="N609" s="1">
        <v>3559254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6937508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2222538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32062885</v>
      </c>
      <c r="AO609" s="1">
        <v>6139995</v>
      </c>
      <c r="AP609" s="1">
        <v>25922890</v>
      </c>
      <c r="AQ609" s="1">
        <v>5968069</v>
      </c>
      <c r="AR609" s="1">
        <v>895210</v>
      </c>
      <c r="AS609" s="1">
        <v>585000</v>
      </c>
      <c r="AT609" s="1">
        <f t="shared" si="62"/>
        <v>39511164</v>
      </c>
    </row>
    <row r="610" spans="1:46">
      <c r="A610" s="1" t="str">
        <f>"00692"</f>
        <v>00692</v>
      </c>
      <c r="B610" s="1" t="str">
        <f>"محمد"</f>
        <v>محمد</v>
      </c>
      <c r="C610" s="1" t="str">
        <f>"تيموري"</f>
        <v>تيموري</v>
      </c>
      <c r="D610" s="1" t="str">
        <f t="shared" si="65"/>
        <v>قراردادي کارگري</v>
      </c>
      <c r="E610" s="1" t="str">
        <f t="shared" si="66"/>
        <v>پروژه تعميرات نيروگاه بوشهر</v>
      </c>
      <c r="F610" s="1">
        <v>7763521</v>
      </c>
      <c r="G610" s="1">
        <v>5092742</v>
      </c>
      <c r="H610" s="1">
        <v>0</v>
      </c>
      <c r="I610" s="1">
        <v>6288452</v>
      </c>
      <c r="J610" s="1">
        <v>0</v>
      </c>
      <c r="K610" s="1">
        <v>0</v>
      </c>
      <c r="L610" s="1">
        <v>3460800</v>
      </c>
      <c r="M610" s="1">
        <v>400000</v>
      </c>
      <c r="N610" s="1">
        <v>4140544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5209497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3247998</v>
      </c>
      <c r="AE610" s="1">
        <v>0</v>
      </c>
      <c r="AF610" s="1">
        <v>2222538</v>
      </c>
      <c r="AG610" s="1">
        <v>0</v>
      </c>
      <c r="AH610" s="1">
        <v>0</v>
      </c>
      <c r="AI610" s="1">
        <v>0</v>
      </c>
      <c r="AJ610" s="1">
        <v>3760794</v>
      </c>
      <c r="AK610" s="1">
        <v>0</v>
      </c>
      <c r="AL610" s="1">
        <v>0</v>
      </c>
      <c r="AM610" s="1">
        <v>0</v>
      </c>
      <c r="AN610" s="1">
        <v>42686886</v>
      </c>
      <c r="AO610" s="1">
        <v>10730560</v>
      </c>
      <c r="AP610" s="1">
        <v>31956326</v>
      </c>
      <c r="AQ610" s="1">
        <v>8092870</v>
      </c>
      <c r="AR610" s="1">
        <v>1213930</v>
      </c>
      <c r="AS610" s="1">
        <v>1060000</v>
      </c>
      <c r="AT610" s="1">
        <f t="shared" si="62"/>
        <v>53053686</v>
      </c>
    </row>
    <row r="611" spans="1:46">
      <c r="A611" s="1" t="str">
        <f>"00693"</f>
        <v>00693</v>
      </c>
      <c r="B611" s="1" t="str">
        <f>"قاسم"</f>
        <v>قاسم</v>
      </c>
      <c r="C611" s="1" t="str">
        <f>"جالبوتي"</f>
        <v>جالبوتي</v>
      </c>
      <c r="D611" s="1" t="str">
        <f t="shared" si="65"/>
        <v>قراردادي کارگري</v>
      </c>
      <c r="E611" s="1" t="str">
        <f t="shared" si="66"/>
        <v>پروژه تعميرات نيروگاه بوشهر</v>
      </c>
      <c r="F611" s="1">
        <v>5994710</v>
      </c>
      <c r="G611" s="1">
        <v>3426956</v>
      </c>
      <c r="H611" s="1">
        <v>0</v>
      </c>
      <c r="I611" s="1">
        <v>4316191</v>
      </c>
      <c r="J611" s="1">
        <v>0</v>
      </c>
      <c r="K611" s="1">
        <v>0</v>
      </c>
      <c r="L611" s="1">
        <v>3620700</v>
      </c>
      <c r="M611" s="1">
        <v>400000</v>
      </c>
      <c r="N611" s="1">
        <v>3155110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6412415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2222538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30648620</v>
      </c>
      <c r="AO611" s="1">
        <v>6900399</v>
      </c>
      <c r="AP611" s="1">
        <v>23748221</v>
      </c>
      <c r="AQ611" s="1">
        <v>5685216</v>
      </c>
      <c r="AR611" s="1">
        <v>852782</v>
      </c>
      <c r="AS611" s="1">
        <v>795000</v>
      </c>
      <c r="AT611" s="1">
        <f t="shared" si="62"/>
        <v>37981618</v>
      </c>
    </row>
    <row r="612" spans="1:46">
      <c r="A612" s="1" t="str">
        <f>"00695"</f>
        <v>00695</v>
      </c>
      <c r="B612" s="1" t="str">
        <f>"جليل"</f>
        <v>جليل</v>
      </c>
      <c r="C612" s="1" t="str">
        <f>"جمالي"</f>
        <v>جمالي</v>
      </c>
      <c r="D612" s="1" t="str">
        <f t="shared" si="65"/>
        <v>قراردادي کارگري</v>
      </c>
      <c r="E612" s="1" t="str">
        <f t="shared" si="66"/>
        <v>پروژه تعميرات نيروگاه بوشهر</v>
      </c>
      <c r="F612" s="1">
        <v>7367013</v>
      </c>
      <c r="G612" s="1">
        <v>0</v>
      </c>
      <c r="H612" s="1">
        <v>0</v>
      </c>
      <c r="I612" s="1">
        <v>5893610</v>
      </c>
      <c r="J612" s="1">
        <v>0</v>
      </c>
      <c r="K612" s="1">
        <v>0</v>
      </c>
      <c r="L612" s="1">
        <v>3460800</v>
      </c>
      <c r="M612" s="1">
        <v>400000</v>
      </c>
      <c r="N612" s="1">
        <v>3929074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5869882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1111269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29131648</v>
      </c>
      <c r="AO612" s="1">
        <v>5083448</v>
      </c>
      <c r="AP612" s="1">
        <v>24048200</v>
      </c>
      <c r="AQ612" s="1">
        <v>5604076</v>
      </c>
      <c r="AR612" s="1">
        <v>840611</v>
      </c>
      <c r="AS612" s="1">
        <v>600000</v>
      </c>
      <c r="AT612" s="1">
        <f t="shared" si="62"/>
        <v>36176335</v>
      </c>
    </row>
    <row r="613" spans="1:46">
      <c r="A613" s="1" t="str">
        <f>"00697"</f>
        <v>00697</v>
      </c>
      <c r="B613" s="1" t="str">
        <f>"افضل"</f>
        <v>افضل</v>
      </c>
      <c r="C613" s="1" t="str">
        <f>"حسن پور"</f>
        <v>حسن پور</v>
      </c>
      <c r="D613" s="1" t="str">
        <f t="shared" si="65"/>
        <v>قراردادي کارگري</v>
      </c>
      <c r="E613" s="1" t="str">
        <f t="shared" si="66"/>
        <v>پروژه تعميرات نيروگاه بوشهر</v>
      </c>
      <c r="F613" s="1">
        <v>7430225</v>
      </c>
      <c r="G613" s="1">
        <v>7615034</v>
      </c>
      <c r="H613" s="1">
        <v>0</v>
      </c>
      <c r="I613" s="1">
        <v>6018482</v>
      </c>
      <c r="J613" s="1">
        <v>0</v>
      </c>
      <c r="K613" s="1">
        <v>0</v>
      </c>
      <c r="L613" s="1">
        <v>3460800</v>
      </c>
      <c r="M613" s="1">
        <v>400000</v>
      </c>
      <c r="N613" s="1">
        <v>3962786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9843809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3130844</v>
      </c>
      <c r="AE613" s="1">
        <v>0</v>
      </c>
      <c r="AF613" s="1">
        <v>2222538</v>
      </c>
      <c r="AG613" s="1">
        <v>0</v>
      </c>
      <c r="AH613" s="1">
        <v>0</v>
      </c>
      <c r="AI613" s="1">
        <v>0</v>
      </c>
      <c r="AJ613" s="1">
        <v>4300254</v>
      </c>
      <c r="AK613" s="1">
        <v>0</v>
      </c>
      <c r="AL613" s="1">
        <v>0</v>
      </c>
      <c r="AM613" s="1">
        <v>0</v>
      </c>
      <c r="AN613" s="1">
        <v>49484772</v>
      </c>
      <c r="AO613" s="1">
        <v>7601206</v>
      </c>
      <c r="AP613" s="1">
        <v>41883566</v>
      </c>
      <c r="AQ613" s="1">
        <v>9452447</v>
      </c>
      <c r="AR613" s="1">
        <v>1417867</v>
      </c>
      <c r="AS613" s="1">
        <v>530000</v>
      </c>
      <c r="AT613" s="1">
        <f t="shared" si="62"/>
        <v>60885086</v>
      </c>
    </row>
    <row r="614" spans="1:46">
      <c r="A614" s="1" t="str">
        <f>"00698"</f>
        <v>00698</v>
      </c>
      <c r="B614" s="1" t="str">
        <f>"سيدعلي"</f>
        <v>سيدعلي</v>
      </c>
      <c r="C614" s="1" t="str">
        <f>"حسيني ملائي"</f>
        <v>حسيني ملائي</v>
      </c>
      <c r="D614" s="1" t="str">
        <f t="shared" si="65"/>
        <v>قراردادي کارگري</v>
      </c>
      <c r="E614" s="1" t="str">
        <f t="shared" si="66"/>
        <v>پروژه تعميرات نيروگاه بوشهر</v>
      </c>
      <c r="F614" s="1">
        <v>8244956</v>
      </c>
      <c r="G614" s="1">
        <v>7555486</v>
      </c>
      <c r="H614" s="1">
        <v>0</v>
      </c>
      <c r="I614" s="1">
        <v>5936368</v>
      </c>
      <c r="J614" s="1">
        <v>0</v>
      </c>
      <c r="K614" s="1">
        <v>0</v>
      </c>
      <c r="L614" s="1">
        <v>3620700</v>
      </c>
      <c r="M614" s="1">
        <v>400000</v>
      </c>
      <c r="N614" s="1">
        <v>4228182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7975618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1393600</v>
      </c>
      <c r="AD614" s="1">
        <v>0</v>
      </c>
      <c r="AE614" s="1">
        <v>0</v>
      </c>
      <c r="AF614" s="1">
        <v>2222538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42677448</v>
      </c>
      <c r="AO614" s="1">
        <v>9658951</v>
      </c>
      <c r="AP614" s="1">
        <v>33018497</v>
      </c>
      <c r="AQ614" s="1">
        <v>8090982</v>
      </c>
      <c r="AR614" s="1">
        <v>1213647</v>
      </c>
      <c r="AS614" s="1">
        <v>1060000</v>
      </c>
      <c r="AT614" s="1">
        <f t="shared" si="62"/>
        <v>53042077</v>
      </c>
    </row>
    <row r="615" spans="1:46">
      <c r="A615" s="1" t="str">
        <f>"00699"</f>
        <v>00699</v>
      </c>
      <c r="B615" s="1" t="str">
        <f>"حسن"</f>
        <v>حسن</v>
      </c>
      <c r="C615" s="1" t="str">
        <f>"حيدريان"</f>
        <v>حيدريان</v>
      </c>
      <c r="D615" s="1" t="str">
        <f>"قراردادي بهره بردار"</f>
        <v>قراردادي بهره بردار</v>
      </c>
      <c r="E615" s="1" t="str">
        <f>"پروژه بهره برداري نيروگاه بوشهر"</f>
        <v>پروژه بهره برداري نيروگاه بوشهر</v>
      </c>
      <c r="F615" s="1">
        <v>7638434</v>
      </c>
      <c r="G615" s="1">
        <v>0</v>
      </c>
      <c r="H615" s="1">
        <v>0</v>
      </c>
      <c r="I615" s="1">
        <v>3823431</v>
      </c>
      <c r="J615" s="1">
        <v>0</v>
      </c>
      <c r="K615" s="1">
        <v>3465000</v>
      </c>
      <c r="L615" s="1">
        <v>0</v>
      </c>
      <c r="M615" s="1">
        <v>400000</v>
      </c>
      <c r="N615" s="1">
        <v>984741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1413473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703387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984741</v>
      </c>
      <c r="AM615" s="1">
        <v>0</v>
      </c>
      <c r="AN615" s="1">
        <v>20513207</v>
      </c>
      <c r="AO615" s="1">
        <v>6232165</v>
      </c>
      <c r="AP615" s="1">
        <v>14281042</v>
      </c>
      <c r="AQ615" s="1">
        <v>4102641</v>
      </c>
      <c r="AR615" s="1">
        <v>615396</v>
      </c>
      <c r="AS615" s="1">
        <v>0</v>
      </c>
      <c r="AT615" s="1">
        <f t="shared" si="62"/>
        <v>25231244</v>
      </c>
    </row>
    <row r="616" spans="1:46">
      <c r="A616" s="1" t="str">
        <f>"00700"</f>
        <v>00700</v>
      </c>
      <c r="B616" s="1" t="str">
        <f>"مصطفي"</f>
        <v>مصطفي</v>
      </c>
      <c r="C616" s="1" t="str">
        <f>"خاتومه"</f>
        <v>خاتومه</v>
      </c>
      <c r="D616" s="1" t="str">
        <f>"قراردادي کارگري"</f>
        <v>قراردادي کارگري</v>
      </c>
      <c r="E616" s="1" t="str">
        <f t="shared" ref="E616:E625" si="67">"پروژه تعميرات نيروگاه بوشهر"</f>
        <v>پروژه تعميرات نيروگاه بوشهر</v>
      </c>
      <c r="F616" s="1">
        <v>5364524</v>
      </c>
      <c r="G616" s="1">
        <v>5055003</v>
      </c>
      <c r="H616" s="1">
        <v>0</v>
      </c>
      <c r="I616" s="1">
        <v>3272360</v>
      </c>
      <c r="J616" s="1">
        <v>0</v>
      </c>
      <c r="K616" s="1">
        <v>0</v>
      </c>
      <c r="L616" s="1">
        <v>3622960</v>
      </c>
      <c r="M616" s="1">
        <v>400000</v>
      </c>
      <c r="N616" s="1">
        <v>2823434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5306649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2262492</v>
      </c>
      <c r="AE616" s="1">
        <v>0</v>
      </c>
      <c r="AF616" s="1">
        <v>1111269</v>
      </c>
      <c r="AG616" s="1">
        <v>0</v>
      </c>
      <c r="AH616" s="1">
        <v>0</v>
      </c>
      <c r="AI616" s="1">
        <v>0</v>
      </c>
      <c r="AJ616" s="1">
        <v>2854590</v>
      </c>
      <c r="AK616" s="1">
        <v>0</v>
      </c>
      <c r="AL616" s="1">
        <v>0</v>
      </c>
      <c r="AM616" s="1">
        <v>0</v>
      </c>
      <c r="AN616" s="1">
        <v>33173281</v>
      </c>
      <c r="AO616" s="1">
        <v>7313667</v>
      </c>
      <c r="AP616" s="1">
        <v>25859614</v>
      </c>
      <c r="AQ616" s="1">
        <v>6412402</v>
      </c>
      <c r="AR616" s="1">
        <v>961860</v>
      </c>
      <c r="AS616" s="1">
        <v>795000</v>
      </c>
      <c r="AT616" s="1">
        <f t="shared" si="62"/>
        <v>41342543</v>
      </c>
    </row>
    <row r="617" spans="1:46">
      <c r="A617" s="1" t="str">
        <f>"00701"</f>
        <v>00701</v>
      </c>
      <c r="B617" s="1" t="str">
        <f>"رضا"</f>
        <v>رضا</v>
      </c>
      <c r="C617" s="1" t="str">
        <f>"خدري"</f>
        <v>خدري</v>
      </c>
      <c r="D617" s="1" t="str">
        <f>"قراردادي کارگري"</f>
        <v>قراردادي کارگري</v>
      </c>
      <c r="E617" s="1" t="str">
        <f t="shared" si="67"/>
        <v>پروژه تعميرات نيروگاه بوشهر</v>
      </c>
      <c r="F617" s="1">
        <v>7683071</v>
      </c>
      <c r="G617" s="1">
        <v>0</v>
      </c>
      <c r="H617" s="1">
        <v>0</v>
      </c>
      <c r="I617" s="1">
        <v>6146456</v>
      </c>
      <c r="J617" s="1">
        <v>0</v>
      </c>
      <c r="K617" s="1">
        <v>0</v>
      </c>
      <c r="L617" s="1">
        <v>3460800</v>
      </c>
      <c r="M617" s="1">
        <v>400000</v>
      </c>
      <c r="N617" s="1">
        <v>4097638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5035352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27923317</v>
      </c>
      <c r="AO617" s="1">
        <v>3862935</v>
      </c>
      <c r="AP617" s="1">
        <v>24060382</v>
      </c>
      <c r="AQ617" s="1">
        <v>5584663</v>
      </c>
      <c r="AR617" s="1">
        <v>837700</v>
      </c>
      <c r="AS617" s="1">
        <v>195000</v>
      </c>
      <c r="AT617" s="1">
        <f t="shared" si="62"/>
        <v>34540680</v>
      </c>
    </row>
    <row r="618" spans="1:46">
      <c r="A618" s="1" t="str">
        <f>"00702"</f>
        <v>00702</v>
      </c>
      <c r="B618" s="1" t="str">
        <f>"عبدالرسول"</f>
        <v>عبدالرسول</v>
      </c>
      <c r="C618" s="1" t="str">
        <f>"خدري"</f>
        <v>خدري</v>
      </c>
      <c r="D618" s="1" t="str">
        <f>"قراردادي کارگري"</f>
        <v>قراردادي کارگري</v>
      </c>
      <c r="E618" s="1" t="str">
        <f t="shared" si="67"/>
        <v>پروژه تعميرات نيروگاه بوشهر</v>
      </c>
      <c r="F618" s="1">
        <v>4682496</v>
      </c>
      <c r="G618" s="1">
        <v>14857942</v>
      </c>
      <c r="H618" s="1">
        <v>0</v>
      </c>
      <c r="I618" s="1">
        <v>2996797</v>
      </c>
      <c r="J618" s="1">
        <v>0</v>
      </c>
      <c r="K618" s="1">
        <v>0</v>
      </c>
      <c r="L618" s="1">
        <v>5368508</v>
      </c>
      <c r="M618" s="1">
        <v>400000</v>
      </c>
      <c r="N618" s="1">
        <v>2341247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5193383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3333807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40274180</v>
      </c>
      <c r="AO618" s="1">
        <v>7051055</v>
      </c>
      <c r="AP618" s="1">
        <v>33223125</v>
      </c>
      <c r="AQ618" s="1">
        <v>7388075</v>
      </c>
      <c r="AR618" s="1">
        <v>1108211</v>
      </c>
      <c r="AS618" s="1">
        <v>585000</v>
      </c>
      <c r="AT618" s="1">
        <f t="shared" si="62"/>
        <v>49355466</v>
      </c>
    </row>
    <row r="619" spans="1:46">
      <c r="A619" s="1" t="str">
        <f>"00703"</f>
        <v>00703</v>
      </c>
      <c r="B619" s="1" t="str">
        <f>"محمدحسين"</f>
        <v>محمدحسين</v>
      </c>
      <c r="C619" s="1" t="str">
        <f>"دريابگرد"</f>
        <v>دريابگرد</v>
      </c>
      <c r="D619" s="1" t="str">
        <f>"قراردادي بهره بردار"</f>
        <v>قراردادي بهره بردار</v>
      </c>
      <c r="E619" s="1" t="str">
        <f t="shared" si="67"/>
        <v>پروژه تعميرات نيروگاه بوشهر</v>
      </c>
      <c r="F619" s="1">
        <v>9946260</v>
      </c>
      <c r="G619" s="1">
        <v>0</v>
      </c>
      <c r="H619" s="1">
        <v>0</v>
      </c>
      <c r="I619" s="1">
        <v>7541598</v>
      </c>
      <c r="J619" s="1">
        <v>0</v>
      </c>
      <c r="K619" s="1">
        <v>3465000</v>
      </c>
      <c r="L619" s="1">
        <v>0</v>
      </c>
      <c r="M619" s="1">
        <v>400000</v>
      </c>
      <c r="N619" s="1">
        <v>2032729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5562119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1348500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4413272</v>
      </c>
      <c r="AM619" s="1">
        <v>0</v>
      </c>
      <c r="AN619" s="1">
        <v>35809478</v>
      </c>
      <c r="AO619" s="1">
        <v>8510308</v>
      </c>
      <c r="AP619" s="1">
        <v>27299170</v>
      </c>
      <c r="AQ619" s="1">
        <v>7161896</v>
      </c>
      <c r="AR619" s="1">
        <v>1074284</v>
      </c>
      <c r="AS619" s="1">
        <v>0</v>
      </c>
      <c r="AT619" s="1">
        <f t="shared" si="62"/>
        <v>44045658</v>
      </c>
    </row>
    <row r="620" spans="1:46">
      <c r="A620" s="1" t="str">
        <f>"00704"</f>
        <v>00704</v>
      </c>
      <c r="B620" s="1" t="str">
        <f>"وحيد"</f>
        <v>وحيد</v>
      </c>
      <c r="C620" s="1" t="str">
        <f>"زنده بودي"</f>
        <v>زنده بودي</v>
      </c>
      <c r="D620" s="1" t="str">
        <f t="shared" ref="D620:D625" si="68">"قراردادي کارگري"</f>
        <v>قراردادي کارگري</v>
      </c>
      <c r="E620" s="1" t="str">
        <f t="shared" si="67"/>
        <v>پروژه تعميرات نيروگاه بوشهر</v>
      </c>
      <c r="F620" s="1">
        <v>5915275</v>
      </c>
      <c r="G620" s="1">
        <v>0</v>
      </c>
      <c r="H620" s="1">
        <v>0</v>
      </c>
      <c r="I620" s="1">
        <v>4199845</v>
      </c>
      <c r="J620" s="1">
        <v>0</v>
      </c>
      <c r="K620" s="1">
        <v>0</v>
      </c>
      <c r="L620" s="1">
        <v>3620700</v>
      </c>
      <c r="M620" s="1">
        <v>400000</v>
      </c>
      <c r="N620" s="1">
        <v>3113302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4128552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2704088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25181762</v>
      </c>
      <c r="AO620" s="1">
        <v>3228334</v>
      </c>
      <c r="AP620" s="1">
        <v>21953428</v>
      </c>
      <c r="AQ620" s="1">
        <v>4495535</v>
      </c>
      <c r="AR620" s="1">
        <v>674330</v>
      </c>
      <c r="AS620" s="1">
        <v>530000</v>
      </c>
      <c r="AT620" s="1">
        <f t="shared" si="62"/>
        <v>30881627</v>
      </c>
    </row>
    <row r="621" spans="1:46">
      <c r="A621" s="1" t="str">
        <f>"00705"</f>
        <v>00705</v>
      </c>
      <c r="B621" s="1" t="str">
        <f>"امين"</f>
        <v>امين</v>
      </c>
      <c r="C621" s="1" t="str">
        <f>"زيارتي"</f>
        <v>زيارتي</v>
      </c>
      <c r="D621" s="1" t="str">
        <f t="shared" si="68"/>
        <v>قراردادي کارگري</v>
      </c>
      <c r="E621" s="1" t="str">
        <f t="shared" si="67"/>
        <v>پروژه تعميرات نيروگاه بوشهر</v>
      </c>
      <c r="F621" s="1">
        <v>5984118</v>
      </c>
      <c r="G621" s="1">
        <v>3027241</v>
      </c>
      <c r="H621" s="1">
        <v>0</v>
      </c>
      <c r="I621" s="1">
        <v>4009359</v>
      </c>
      <c r="J621" s="1">
        <v>0</v>
      </c>
      <c r="K621" s="1">
        <v>0</v>
      </c>
      <c r="L621" s="1">
        <v>3620700</v>
      </c>
      <c r="M621" s="1">
        <v>400000</v>
      </c>
      <c r="N621" s="1">
        <v>3149536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6300981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27591935</v>
      </c>
      <c r="AO621" s="1">
        <v>3707712</v>
      </c>
      <c r="AP621" s="1">
        <v>23884223</v>
      </c>
      <c r="AQ621" s="1">
        <v>5518387</v>
      </c>
      <c r="AR621" s="1">
        <v>827758</v>
      </c>
      <c r="AS621" s="1">
        <v>530000</v>
      </c>
      <c r="AT621" s="1">
        <f t="shared" si="62"/>
        <v>34468080</v>
      </c>
    </row>
    <row r="622" spans="1:46">
      <c r="A622" s="1" t="str">
        <f>"00706"</f>
        <v>00706</v>
      </c>
      <c r="B622" s="1" t="str">
        <f>"اميد"</f>
        <v>اميد</v>
      </c>
      <c r="C622" s="1" t="str">
        <f>"شکيبايي"</f>
        <v>شکيبايي</v>
      </c>
      <c r="D622" s="1" t="str">
        <f t="shared" si="68"/>
        <v>قراردادي کارگري</v>
      </c>
      <c r="E622" s="1" t="str">
        <f t="shared" si="67"/>
        <v>پروژه تعميرات نيروگاه بوشهر</v>
      </c>
      <c r="F622" s="1">
        <v>5851726</v>
      </c>
      <c r="G622" s="1">
        <v>5598244</v>
      </c>
      <c r="H622" s="1">
        <v>0</v>
      </c>
      <c r="I622" s="1">
        <v>4330278</v>
      </c>
      <c r="J622" s="1">
        <v>0</v>
      </c>
      <c r="K622" s="1">
        <v>0</v>
      </c>
      <c r="L622" s="1">
        <v>3620700</v>
      </c>
      <c r="M622" s="1">
        <v>400000</v>
      </c>
      <c r="N622" s="1">
        <v>3079856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5698594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1111269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30790667</v>
      </c>
      <c r="AO622" s="1">
        <v>6023163</v>
      </c>
      <c r="AP622" s="1">
        <v>24767504</v>
      </c>
      <c r="AQ622" s="1">
        <v>5935880</v>
      </c>
      <c r="AR622" s="1">
        <v>890382</v>
      </c>
      <c r="AS622" s="1">
        <v>795000</v>
      </c>
      <c r="AT622" s="1">
        <f t="shared" si="62"/>
        <v>38411929</v>
      </c>
    </row>
    <row r="623" spans="1:46">
      <c r="A623" s="1" t="str">
        <f>"00707"</f>
        <v>00707</v>
      </c>
      <c r="B623" s="1" t="str">
        <f>"حسين"</f>
        <v>حسين</v>
      </c>
      <c r="C623" s="1" t="str">
        <f>"غلام پور"</f>
        <v>غلام پور</v>
      </c>
      <c r="D623" s="1" t="str">
        <f t="shared" si="68"/>
        <v>قراردادي کارگري</v>
      </c>
      <c r="E623" s="1" t="str">
        <f t="shared" si="67"/>
        <v>پروژه تعميرات نيروگاه بوشهر</v>
      </c>
      <c r="F623" s="1">
        <v>7249784</v>
      </c>
      <c r="G623" s="1">
        <v>3659856</v>
      </c>
      <c r="H623" s="1">
        <v>0</v>
      </c>
      <c r="I623" s="1">
        <v>6234815</v>
      </c>
      <c r="J623" s="1">
        <v>0</v>
      </c>
      <c r="K623" s="1">
        <v>0</v>
      </c>
      <c r="L623" s="1">
        <v>3460800</v>
      </c>
      <c r="M623" s="1">
        <v>400000</v>
      </c>
      <c r="N623" s="1">
        <v>3815677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7123544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1111269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34155745</v>
      </c>
      <c r="AO623" s="1">
        <v>6567161</v>
      </c>
      <c r="AP623" s="1">
        <v>27588584</v>
      </c>
      <c r="AQ623" s="1">
        <v>6608895</v>
      </c>
      <c r="AR623" s="1">
        <v>991334</v>
      </c>
      <c r="AS623" s="1">
        <v>585000</v>
      </c>
      <c r="AT623" s="1">
        <f t="shared" si="62"/>
        <v>42340974</v>
      </c>
    </row>
    <row r="624" spans="1:46">
      <c r="A624" s="1" t="str">
        <f>"00708"</f>
        <v>00708</v>
      </c>
      <c r="B624" s="1" t="str">
        <f>"محمود"</f>
        <v>محمود</v>
      </c>
      <c r="C624" s="1" t="str">
        <f>"محمدي"</f>
        <v>محمدي</v>
      </c>
      <c r="D624" s="1" t="str">
        <f t="shared" si="68"/>
        <v>قراردادي کارگري</v>
      </c>
      <c r="E624" s="1" t="str">
        <f t="shared" si="67"/>
        <v>پروژه تعميرات نيروگاه بوشهر</v>
      </c>
      <c r="F624" s="1">
        <v>7207351</v>
      </c>
      <c r="G624" s="1">
        <v>0</v>
      </c>
      <c r="H624" s="1">
        <v>0</v>
      </c>
      <c r="I624" s="1">
        <v>5045146</v>
      </c>
      <c r="J624" s="1">
        <v>0</v>
      </c>
      <c r="K624" s="1">
        <v>0</v>
      </c>
      <c r="L624" s="1">
        <v>3620700</v>
      </c>
      <c r="M624" s="1">
        <v>400000</v>
      </c>
      <c r="N624" s="1">
        <v>3818464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7311123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2222538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30725322</v>
      </c>
      <c r="AO624" s="1">
        <v>5103619</v>
      </c>
      <c r="AP624" s="1">
        <v>25621703</v>
      </c>
      <c r="AQ624" s="1">
        <v>5700557</v>
      </c>
      <c r="AR624" s="1">
        <v>855084</v>
      </c>
      <c r="AS624" s="1">
        <v>1060000</v>
      </c>
      <c r="AT624" s="1">
        <f t="shared" si="62"/>
        <v>38340963</v>
      </c>
    </row>
    <row r="625" spans="1:46">
      <c r="A625" s="1" t="str">
        <f>"00709"</f>
        <v>00709</v>
      </c>
      <c r="B625" s="1" t="str">
        <f>"سالار"</f>
        <v>سالار</v>
      </c>
      <c r="C625" s="1" t="str">
        <f>"نيکنام"</f>
        <v>نيکنام</v>
      </c>
      <c r="D625" s="1" t="str">
        <f t="shared" si="68"/>
        <v>قراردادي کارگري</v>
      </c>
      <c r="E625" s="1" t="str">
        <f t="shared" si="67"/>
        <v>پروژه تعميرات نيروگاه بوشهر</v>
      </c>
      <c r="F625" s="1">
        <v>5443959</v>
      </c>
      <c r="G625" s="1">
        <v>0</v>
      </c>
      <c r="H625" s="1">
        <v>0</v>
      </c>
      <c r="I625" s="1">
        <v>3810771</v>
      </c>
      <c r="J625" s="1">
        <v>0</v>
      </c>
      <c r="K625" s="1">
        <v>0</v>
      </c>
      <c r="L625" s="1">
        <v>3620700</v>
      </c>
      <c r="M625" s="1">
        <v>400000</v>
      </c>
      <c r="N625" s="1">
        <v>2865242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5861828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23102500</v>
      </c>
      <c r="AO625" s="1">
        <v>5012072</v>
      </c>
      <c r="AP625" s="1">
        <v>18090428</v>
      </c>
      <c r="AQ625" s="1">
        <v>4620500</v>
      </c>
      <c r="AR625" s="1">
        <v>693075</v>
      </c>
      <c r="AS625" s="1">
        <v>600000</v>
      </c>
      <c r="AT625" s="1">
        <f t="shared" si="62"/>
        <v>29016075</v>
      </c>
    </row>
    <row r="626" spans="1:46">
      <c r="A626" s="1" t="str">
        <f>"00712"</f>
        <v>00712</v>
      </c>
      <c r="B626" s="1" t="str">
        <f>"محسن"</f>
        <v>محسن</v>
      </c>
      <c r="C626" s="1" t="str">
        <f>"خورشيدي"</f>
        <v>خورشيدي</v>
      </c>
      <c r="D626" s="1" t="str">
        <f>"قراردادي بهره بردار"</f>
        <v>قراردادي بهره بردار</v>
      </c>
      <c r="E626" s="1" t="str">
        <f>"پروژه بهره برداري نيروگاه بوشهر"</f>
        <v>پروژه بهره برداري نيروگاه بوشهر</v>
      </c>
      <c r="F626" s="1">
        <v>14423952</v>
      </c>
      <c r="G626" s="1">
        <v>4895290</v>
      </c>
      <c r="H626" s="1">
        <v>0</v>
      </c>
      <c r="I626" s="1">
        <v>9429649</v>
      </c>
      <c r="J626" s="1">
        <v>0</v>
      </c>
      <c r="K626" s="1">
        <v>5500000</v>
      </c>
      <c r="L626" s="1">
        <v>0</v>
      </c>
      <c r="M626" s="1">
        <v>400000</v>
      </c>
      <c r="N626" s="1">
        <v>2197439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1270000</v>
      </c>
      <c r="U626" s="1">
        <v>0</v>
      </c>
      <c r="V626" s="1">
        <v>5516345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1569600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2197439</v>
      </c>
      <c r="AM626" s="1">
        <v>0</v>
      </c>
      <c r="AN626" s="1">
        <v>48499714</v>
      </c>
      <c r="AO626" s="1">
        <v>13151253</v>
      </c>
      <c r="AP626" s="1">
        <v>35348461</v>
      </c>
      <c r="AQ626" s="1">
        <v>9445943</v>
      </c>
      <c r="AR626" s="1">
        <v>1416891</v>
      </c>
      <c r="AS626" s="1">
        <v>0</v>
      </c>
      <c r="AT626" s="1">
        <f t="shared" si="62"/>
        <v>59362548</v>
      </c>
    </row>
    <row r="627" spans="1:46">
      <c r="A627" s="1" t="str">
        <f>"00713"</f>
        <v>00713</v>
      </c>
      <c r="B627" s="1" t="str">
        <f>"جعفر"</f>
        <v>جعفر</v>
      </c>
      <c r="C627" s="1" t="str">
        <f>"حيدري"</f>
        <v>حيدري</v>
      </c>
      <c r="D627" s="1" t="str">
        <f>"قراردادي کارگري"</f>
        <v>قراردادي کارگري</v>
      </c>
      <c r="E627" s="1" t="str">
        <f>"پروژه تعميرات نيروگاه بوشهر"</f>
        <v>پروژه تعميرات نيروگاه بوشهر</v>
      </c>
      <c r="F627" s="1">
        <v>6116510</v>
      </c>
      <c r="G627" s="1">
        <v>1507042</v>
      </c>
      <c r="H627" s="1">
        <v>0</v>
      </c>
      <c r="I627" s="1">
        <v>4526218</v>
      </c>
      <c r="J627" s="1">
        <v>0</v>
      </c>
      <c r="K627" s="1">
        <v>0</v>
      </c>
      <c r="L627" s="1">
        <v>3620700</v>
      </c>
      <c r="M627" s="1">
        <v>400000</v>
      </c>
      <c r="N627" s="1">
        <v>3219216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8352363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3333807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32175856</v>
      </c>
      <c r="AO627" s="1">
        <v>5748742</v>
      </c>
      <c r="AP627" s="1">
        <v>26427114</v>
      </c>
      <c r="AQ627" s="1">
        <v>5768410</v>
      </c>
      <c r="AR627" s="1">
        <v>865261</v>
      </c>
      <c r="AS627" s="1">
        <v>1325000</v>
      </c>
      <c r="AT627" s="1">
        <f t="shared" si="62"/>
        <v>40134527</v>
      </c>
    </row>
    <row r="628" spans="1:46">
      <c r="A628" s="1" t="str">
        <f>"00714"</f>
        <v>00714</v>
      </c>
      <c r="B628" s="1" t="str">
        <f>"محمد"</f>
        <v>محمد</v>
      </c>
      <c r="C628" s="1" t="str">
        <f>"حيدري"</f>
        <v>حيدري</v>
      </c>
      <c r="D628" s="1" t="str">
        <f>"قراردادي کارگري"</f>
        <v>قراردادي کارگري</v>
      </c>
      <c r="E628" s="1" t="str">
        <f>"پروژه تعميرات نيروگاه بوشهر"</f>
        <v>پروژه تعميرات نيروگاه بوشهر</v>
      </c>
      <c r="F628" s="1">
        <v>6339312</v>
      </c>
      <c r="G628" s="1">
        <v>1918762</v>
      </c>
      <c r="H628" s="1">
        <v>0</v>
      </c>
      <c r="I628" s="1">
        <v>4564305</v>
      </c>
      <c r="J628" s="1">
        <v>0</v>
      </c>
      <c r="K628" s="1">
        <v>0</v>
      </c>
      <c r="L628" s="1">
        <v>3620700</v>
      </c>
      <c r="M628" s="1">
        <v>400000</v>
      </c>
      <c r="N628" s="1">
        <v>3358576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8431558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2222538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31955751</v>
      </c>
      <c r="AO628" s="1">
        <v>6499996</v>
      </c>
      <c r="AP628" s="1">
        <v>25455755</v>
      </c>
      <c r="AQ628" s="1">
        <v>5946643</v>
      </c>
      <c r="AR628" s="1">
        <v>891996</v>
      </c>
      <c r="AS628" s="1">
        <v>795000</v>
      </c>
      <c r="AT628" s="1">
        <f t="shared" si="62"/>
        <v>39589390</v>
      </c>
    </row>
    <row r="629" spans="1:46">
      <c r="A629" s="1" t="str">
        <f>"00715"</f>
        <v>00715</v>
      </c>
      <c r="B629" s="1" t="str">
        <f>"احمد"</f>
        <v>احمد</v>
      </c>
      <c r="C629" s="1" t="str">
        <f>"حيدري"</f>
        <v>حيدري</v>
      </c>
      <c r="D629" s="1" t="str">
        <f>"قراردادي کارگري"</f>
        <v>قراردادي کارگري</v>
      </c>
      <c r="E629" s="1" t="str">
        <f>"پروژه تعميرات نيروگاه بوشهر"</f>
        <v>پروژه تعميرات نيروگاه بوشهر</v>
      </c>
      <c r="F629" s="1">
        <v>7791304</v>
      </c>
      <c r="G629" s="1">
        <v>6855580</v>
      </c>
      <c r="H629" s="1">
        <v>0</v>
      </c>
      <c r="I629" s="1">
        <v>5765565</v>
      </c>
      <c r="J629" s="1">
        <v>0</v>
      </c>
      <c r="K629" s="1">
        <v>0</v>
      </c>
      <c r="L629" s="1">
        <v>3620700</v>
      </c>
      <c r="M629" s="1">
        <v>400000</v>
      </c>
      <c r="N629" s="1">
        <v>4127843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10034381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39695373</v>
      </c>
      <c r="AO629" s="1">
        <v>8534385</v>
      </c>
      <c r="AP629" s="1">
        <v>31160988</v>
      </c>
      <c r="AQ629" s="1">
        <v>7939075</v>
      </c>
      <c r="AR629" s="1">
        <v>1190861</v>
      </c>
      <c r="AS629" s="1">
        <v>530000</v>
      </c>
      <c r="AT629" s="1">
        <f t="shared" si="62"/>
        <v>49355309</v>
      </c>
    </row>
    <row r="630" spans="1:46">
      <c r="A630" s="1" t="str">
        <f>"00716"</f>
        <v>00716</v>
      </c>
      <c r="B630" s="1" t="str">
        <f>"شهربانو"</f>
        <v>شهربانو</v>
      </c>
      <c r="C630" s="1" t="str">
        <f>"قايدزاده مخبلندي"</f>
        <v>قايدزاده مخبلندي</v>
      </c>
      <c r="D630" s="1" t="str">
        <f>"قراردادي بهره بردار"</f>
        <v>قراردادي بهره بردار</v>
      </c>
      <c r="E630" s="1" t="str">
        <f>"پروژه بهره برداري نيروگاه بوشهر"</f>
        <v>پروژه بهره برداري نيروگاه بوشهر</v>
      </c>
      <c r="F630" s="1">
        <v>9898263</v>
      </c>
      <c r="G630" s="1">
        <v>0</v>
      </c>
      <c r="H630" s="1">
        <v>0</v>
      </c>
      <c r="I630" s="1">
        <v>6865483</v>
      </c>
      <c r="J630" s="1">
        <v>0</v>
      </c>
      <c r="K630" s="1">
        <v>3465000</v>
      </c>
      <c r="L630" s="1">
        <v>0</v>
      </c>
      <c r="M630" s="1">
        <v>400000</v>
      </c>
      <c r="N630" s="1">
        <v>1703176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2162996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1216554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1946486</v>
      </c>
      <c r="AM630" s="1">
        <v>0</v>
      </c>
      <c r="AN630" s="1">
        <v>28757958</v>
      </c>
      <c r="AO630" s="1">
        <v>6017351</v>
      </c>
      <c r="AP630" s="1">
        <v>22740607</v>
      </c>
      <c r="AQ630" s="1">
        <v>5751592</v>
      </c>
      <c r="AR630" s="1">
        <v>862739</v>
      </c>
      <c r="AS630" s="1">
        <v>0</v>
      </c>
      <c r="AT630" s="1">
        <f t="shared" si="62"/>
        <v>35372289</v>
      </c>
    </row>
    <row r="631" spans="1:46">
      <c r="A631" s="1" t="str">
        <f>"00717"</f>
        <v>00717</v>
      </c>
      <c r="B631" s="1" t="str">
        <f>"شاپور"</f>
        <v>شاپور</v>
      </c>
      <c r="C631" s="1" t="str">
        <f>"دشتيان"</f>
        <v>دشتيان</v>
      </c>
      <c r="D631" s="1" t="str">
        <f t="shared" ref="D631:D645" si="69">"قراردادي کارگري"</f>
        <v>قراردادي کارگري</v>
      </c>
      <c r="E631" s="1" t="str">
        <f t="shared" ref="E631:E655" si="70">"پروژه تعميرات نيروگاه بوشهر"</f>
        <v>پروژه تعميرات نيروگاه بوشهر</v>
      </c>
      <c r="F631" s="1">
        <v>10682743</v>
      </c>
      <c r="G631" s="1">
        <v>4080507</v>
      </c>
      <c r="H631" s="1">
        <v>0</v>
      </c>
      <c r="I631" s="1">
        <v>8866677</v>
      </c>
      <c r="J631" s="1">
        <v>0</v>
      </c>
      <c r="K631" s="1">
        <v>0</v>
      </c>
      <c r="L631" s="1">
        <v>3460800</v>
      </c>
      <c r="M631" s="1">
        <v>400000</v>
      </c>
      <c r="N631" s="1">
        <v>5697462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6268094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2222538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42778821</v>
      </c>
      <c r="AO631" s="1">
        <v>13424815</v>
      </c>
      <c r="AP631" s="1">
        <v>29354006</v>
      </c>
      <c r="AQ631" s="1">
        <v>8111257</v>
      </c>
      <c r="AR631" s="1">
        <v>1216688</v>
      </c>
      <c r="AS631" s="1">
        <v>1200000</v>
      </c>
      <c r="AT631" s="1">
        <f t="shared" si="62"/>
        <v>53306766</v>
      </c>
    </row>
    <row r="632" spans="1:46">
      <c r="A632" s="1" t="str">
        <f>"00718"</f>
        <v>00718</v>
      </c>
      <c r="B632" s="1" t="str">
        <f>"احسان"</f>
        <v>احسان</v>
      </c>
      <c r="C632" s="1" t="str">
        <f>"صالحي"</f>
        <v>صالحي</v>
      </c>
      <c r="D632" s="1" t="str">
        <f t="shared" si="69"/>
        <v>قراردادي کارگري</v>
      </c>
      <c r="E632" s="1" t="str">
        <f t="shared" si="70"/>
        <v>پروژه تعميرات نيروگاه بوشهر</v>
      </c>
      <c r="F632" s="1">
        <v>6873793</v>
      </c>
      <c r="G632" s="1">
        <v>1639658</v>
      </c>
      <c r="H632" s="1">
        <v>0</v>
      </c>
      <c r="I632" s="1">
        <v>4949131</v>
      </c>
      <c r="J632" s="1">
        <v>0</v>
      </c>
      <c r="K632" s="1">
        <v>0</v>
      </c>
      <c r="L632" s="1">
        <v>3620700</v>
      </c>
      <c r="M632" s="1">
        <v>400000</v>
      </c>
      <c r="N632" s="1">
        <v>3617786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9047020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2859211</v>
      </c>
      <c r="AE632" s="1">
        <v>0</v>
      </c>
      <c r="AF632" s="1">
        <v>2222538</v>
      </c>
      <c r="AG632" s="1">
        <v>0</v>
      </c>
      <c r="AH632" s="1">
        <v>0</v>
      </c>
      <c r="AI632" s="1">
        <v>0</v>
      </c>
      <c r="AJ632" s="1">
        <v>3935180</v>
      </c>
      <c r="AK632" s="1">
        <v>0</v>
      </c>
      <c r="AL632" s="1">
        <v>0</v>
      </c>
      <c r="AM632" s="1">
        <v>0</v>
      </c>
      <c r="AN632" s="1">
        <v>40265017</v>
      </c>
      <c r="AO632" s="1">
        <v>4798288</v>
      </c>
      <c r="AP632" s="1">
        <v>35466729</v>
      </c>
      <c r="AQ632" s="1">
        <v>7608496</v>
      </c>
      <c r="AR632" s="1">
        <v>1141274</v>
      </c>
      <c r="AS632" s="1">
        <v>0</v>
      </c>
      <c r="AT632" s="1">
        <f t="shared" si="62"/>
        <v>49014787</v>
      </c>
    </row>
    <row r="633" spans="1:46">
      <c r="A633" s="1" t="str">
        <f>"00719"</f>
        <v>00719</v>
      </c>
      <c r="B633" s="1" t="str">
        <f>"روح اله"</f>
        <v>روح اله</v>
      </c>
      <c r="C633" s="1" t="str">
        <f>"احمدي"</f>
        <v>احمدي</v>
      </c>
      <c r="D633" s="1" t="str">
        <f t="shared" si="69"/>
        <v>قراردادي کارگري</v>
      </c>
      <c r="E633" s="1" t="str">
        <f t="shared" si="70"/>
        <v>پروژه تعميرات نيروگاه بوشهر</v>
      </c>
      <c r="F633" s="1">
        <v>5158062</v>
      </c>
      <c r="G633" s="1">
        <v>1401495</v>
      </c>
      <c r="H633" s="1">
        <v>0</v>
      </c>
      <c r="I633" s="1">
        <v>3146418</v>
      </c>
      <c r="J633" s="1">
        <v>0</v>
      </c>
      <c r="K633" s="1">
        <v>0</v>
      </c>
      <c r="L633" s="1">
        <v>5342618</v>
      </c>
      <c r="M633" s="1">
        <v>400000</v>
      </c>
      <c r="N633" s="1">
        <v>2579031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7799497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2433919</v>
      </c>
      <c r="AE633" s="1">
        <v>0</v>
      </c>
      <c r="AF633" s="1">
        <v>1111269</v>
      </c>
      <c r="AG633" s="1">
        <v>0</v>
      </c>
      <c r="AH633" s="1">
        <v>0</v>
      </c>
      <c r="AI633" s="1">
        <v>0</v>
      </c>
      <c r="AJ633" s="1">
        <v>3363588</v>
      </c>
      <c r="AK633" s="1">
        <v>0</v>
      </c>
      <c r="AL633" s="1">
        <v>0</v>
      </c>
      <c r="AM633" s="1">
        <v>0</v>
      </c>
      <c r="AN633" s="1">
        <v>33835897</v>
      </c>
      <c r="AO633" s="1">
        <v>5224761</v>
      </c>
      <c r="AP633" s="1">
        <v>28611136</v>
      </c>
      <c r="AQ633" s="1">
        <v>6544926</v>
      </c>
      <c r="AR633" s="1">
        <v>981739</v>
      </c>
      <c r="AS633" s="1">
        <v>795000</v>
      </c>
      <c r="AT633" s="1">
        <f t="shared" si="62"/>
        <v>42157562</v>
      </c>
    </row>
    <row r="634" spans="1:46">
      <c r="A634" s="1" t="str">
        <f>"00720"</f>
        <v>00720</v>
      </c>
      <c r="B634" s="1" t="str">
        <f>"علي کرم"</f>
        <v>علي کرم</v>
      </c>
      <c r="C634" s="1" t="str">
        <f>"جعفري"</f>
        <v>جعفري</v>
      </c>
      <c r="D634" s="1" t="str">
        <f t="shared" si="69"/>
        <v>قراردادي کارگري</v>
      </c>
      <c r="E634" s="1" t="str">
        <f t="shared" si="70"/>
        <v>پروژه تعميرات نيروگاه بوشهر</v>
      </c>
      <c r="F634" s="1">
        <v>5703447</v>
      </c>
      <c r="G634" s="1">
        <v>1628054</v>
      </c>
      <c r="H634" s="1">
        <v>0</v>
      </c>
      <c r="I634" s="1">
        <v>4163517</v>
      </c>
      <c r="J634" s="1">
        <v>0</v>
      </c>
      <c r="K634" s="1">
        <v>0</v>
      </c>
      <c r="L634" s="1">
        <v>3900974</v>
      </c>
      <c r="M634" s="1">
        <v>400000</v>
      </c>
      <c r="N634" s="1">
        <v>3001814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8038691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2515463</v>
      </c>
      <c r="AE634" s="1">
        <v>0</v>
      </c>
      <c r="AF634" s="1">
        <v>3333807</v>
      </c>
      <c r="AG634" s="1">
        <v>0</v>
      </c>
      <c r="AH634" s="1">
        <v>0</v>
      </c>
      <c r="AI634" s="1">
        <v>0</v>
      </c>
      <c r="AJ634" s="1">
        <v>3473182</v>
      </c>
      <c r="AK634" s="1">
        <v>0</v>
      </c>
      <c r="AL634" s="1">
        <v>0</v>
      </c>
      <c r="AM634" s="1">
        <v>0</v>
      </c>
      <c r="AN634" s="1">
        <v>37258949</v>
      </c>
      <c r="AO634" s="1">
        <v>7079701</v>
      </c>
      <c r="AP634" s="1">
        <v>30179248</v>
      </c>
      <c r="AQ634" s="1">
        <v>6785028</v>
      </c>
      <c r="AR634" s="1">
        <v>1017754</v>
      </c>
      <c r="AS634" s="1">
        <v>1590000</v>
      </c>
      <c r="AT634" s="1">
        <f t="shared" si="62"/>
        <v>46651731</v>
      </c>
    </row>
    <row r="635" spans="1:46">
      <c r="A635" s="1" t="str">
        <f>"00721"</f>
        <v>00721</v>
      </c>
      <c r="B635" s="1" t="str">
        <f>"بهنام"</f>
        <v>بهنام</v>
      </c>
      <c r="C635" s="1" t="str">
        <f>"حسين آبادي چاه عربي"</f>
        <v>حسين آبادي چاه عربي</v>
      </c>
      <c r="D635" s="1" t="str">
        <f t="shared" si="69"/>
        <v>قراردادي کارگري</v>
      </c>
      <c r="E635" s="1" t="str">
        <f t="shared" si="70"/>
        <v>پروژه تعميرات نيروگاه بوشهر</v>
      </c>
      <c r="F635" s="1">
        <v>7601914</v>
      </c>
      <c r="G635" s="1">
        <v>1772888</v>
      </c>
      <c r="H635" s="1">
        <v>0</v>
      </c>
      <c r="I635" s="1">
        <v>5397359</v>
      </c>
      <c r="J635" s="1">
        <v>0</v>
      </c>
      <c r="K635" s="1">
        <v>0</v>
      </c>
      <c r="L635" s="1">
        <v>3620700</v>
      </c>
      <c r="M635" s="1">
        <v>400000</v>
      </c>
      <c r="N635" s="1">
        <v>4027504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9744890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3097122</v>
      </c>
      <c r="AE635" s="1">
        <v>0</v>
      </c>
      <c r="AF635" s="1">
        <v>2222538</v>
      </c>
      <c r="AG635" s="1">
        <v>0</v>
      </c>
      <c r="AH635" s="1">
        <v>0</v>
      </c>
      <c r="AI635" s="1">
        <v>0</v>
      </c>
      <c r="AJ635" s="1">
        <v>4254931</v>
      </c>
      <c r="AK635" s="1">
        <v>0</v>
      </c>
      <c r="AL635" s="1">
        <v>0</v>
      </c>
      <c r="AM635" s="1">
        <v>0</v>
      </c>
      <c r="AN635" s="1">
        <v>43239846</v>
      </c>
      <c r="AO635" s="1">
        <v>7206060</v>
      </c>
      <c r="AP635" s="1">
        <v>36033786</v>
      </c>
      <c r="AQ635" s="1">
        <v>8203462</v>
      </c>
      <c r="AR635" s="1">
        <v>1230519</v>
      </c>
      <c r="AS635" s="1">
        <v>1060000</v>
      </c>
      <c r="AT635" s="1">
        <f t="shared" si="62"/>
        <v>53733827</v>
      </c>
    </row>
    <row r="636" spans="1:46">
      <c r="A636" s="1" t="str">
        <f>"00722"</f>
        <v>00722</v>
      </c>
      <c r="B636" s="1" t="str">
        <f>"امير"</f>
        <v>امير</v>
      </c>
      <c r="C636" s="1" t="str">
        <f>"داس زرين"</f>
        <v>داس زرين</v>
      </c>
      <c r="D636" s="1" t="str">
        <f t="shared" si="69"/>
        <v>قراردادي کارگري</v>
      </c>
      <c r="E636" s="1" t="str">
        <f t="shared" si="70"/>
        <v>پروژه تعميرات نيروگاه بوشهر</v>
      </c>
      <c r="F636" s="1">
        <v>5377554</v>
      </c>
      <c r="G636" s="1">
        <v>1361831</v>
      </c>
      <c r="H636" s="1">
        <v>0</v>
      </c>
      <c r="I636" s="1">
        <v>3871839</v>
      </c>
      <c r="J636" s="1">
        <v>0</v>
      </c>
      <c r="K636" s="1">
        <v>0</v>
      </c>
      <c r="L636" s="1">
        <v>3636522</v>
      </c>
      <c r="M636" s="1">
        <v>400000</v>
      </c>
      <c r="N636" s="1">
        <v>2868029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7591735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2363092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3268395</v>
      </c>
      <c r="AK636" s="1">
        <v>0</v>
      </c>
      <c r="AL636" s="1">
        <v>0</v>
      </c>
      <c r="AM636" s="1">
        <v>0</v>
      </c>
      <c r="AN636" s="1">
        <v>31838997</v>
      </c>
      <c r="AO636" s="1">
        <v>5647849</v>
      </c>
      <c r="AP636" s="1">
        <v>26191148</v>
      </c>
      <c r="AQ636" s="1">
        <v>6367799</v>
      </c>
      <c r="AR636" s="1">
        <v>955170</v>
      </c>
      <c r="AS636" s="1">
        <v>530000</v>
      </c>
      <c r="AT636" s="1">
        <f t="shared" si="62"/>
        <v>39691966</v>
      </c>
    </row>
    <row r="637" spans="1:46">
      <c r="A637" s="1" t="str">
        <f>"00723"</f>
        <v>00723</v>
      </c>
      <c r="B637" s="1" t="str">
        <f>"غلامرضا"</f>
        <v>غلامرضا</v>
      </c>
      <c r="C637" s="1" t="str">
        <f>"شاکري"</f>
        <v>شاکري</v>
      </c>
      <c r="D637" s="1" t="str">
        <f t="shared" si="69"/>
        <v>قراردادي کارگري</v>
      </c>
      <c r="E637" s="1" t="str">
        <f t="shared" si="70"/>
        <v>پروژه تعميرات نيروگاه بوشهر</v>
      </c>
      <c r="F637" s="1">
        <v>8732994</v>
      </c>
      <c r="G637" s="1">
        <v>1978358</v>
      </c>
      <c r="H637" s="1">
        <v>0</v>
      </c>
      <c r="I637" s="1">
        <v>6113096</v>
      </c>
      <c r="J637" s="1">
        <v>0</v>
      </c>
      <c r="K637" s="1">
        <v>0</v>
      </c>
      <c r="L637" s="1">
        <v>3620700</v>
      </c>
      <c r="M637" s="1">
        <v>400000</v>
      </c>
      <c r="N637" s="1">
        <v>4626752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10821159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3464031</v>
      </c>
      <c r="AE637" s="1">
        <v>0</v>
      </c>
      <c r="AF637" s="1">
        <v>2222538</v>
      </c>
      <c r="AG637" s="1">
        <v>0</v>
      </c>
      <c r="AH637" s="1">
        <v>0</v>
      </c>
      <c r="AI637" s="1">
        <v>0</v>
      </c>
      <c r="AJ637" s="1">
        <v>4748058</v>
      </c>
      <c r="AK637" s="1">
        <v>0</v>
      </c>
      <c r="AL637" s="1">
        <v>0</v>
      </c>
      <c r="AM637" s="1">
        <v>0</v>
      </c>
      <c r="AN637" s="1">
        <v>47827686</v>
      </c>
      <c r="AO637" s="1">
        <v>13939607</v>
      </c>
      <c r="AP637" s="1">
        <v>33888079</v>
      </c>
      <c r="AQ637" s="1">
        <v>9121030</v>
      </c>
      <c r="AR637" s="1">
        <v>1368154</v>
      </c>
      <c r="AS637" s="1">
        <v>795000</v>
      </c>
      <c r="AT637" s="1">
        <f t="shared" si="62"/>
        <v>59111870</v>
      </c>
    </row>
    <row r="638" spans="1:46">
      <c r="A638" s="1" t="str">
        <f>"00724"</f>
        <v>00724</v>
      </c>
      <c r="B638" s="1" t="str">
        <f>"محسن"</f>
        <v>محسن</v>
      </c>
      <c r="C638" s="1" t="str">
        <f>"شيخياني"</f>
        <v>شيخياني</v>
      </c>
      <c r="D638" s="1" t="str">
        <f t="shared" si="69"/>
        <v>قراردادي کارگري</v>
      </c>
      <c r="E638" s="1" t="str">
        <f t="shared" si="70"/>
        <v>پروژه تعميرات نيروگاه بوشهر</v>
      </c>
      <c r="F638" s="1">
        <v>6654963</v>
      </c>
      <c r="G638" s="1">
        <v>3400671</v>
      </c>
      <c r="H638" s="1">
        <v>0</v>
      </c>
      <c r="I638" s="1">
        <v>4791573</v>
      </c>
      <c r="J638" s="1">
        <v>0</v>
      </c>
      <c r="K638" s="1">
        <v>0</v>
      </c>
      <c r="L638" s="1">
        <v>3620700</v>
      </c>
      <c r="M638" s="1">
        <v>400000</v>
      </c>
      <c r="N638" s="1">
        <v>3525808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8840939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2788957</v>
      </c>
      <c r="AE638" s="1">
        <v>0</v>
      </c>
      <c r="AF638" s="1">
        <v>3333807</v>
      </c>
      <c r="AG638" s="1">
        <v>0</v>
      </c>
      <c r="AH638" s="1">
        <v>0</v>
      </c>
      <c r="AI638" s="1">
        <v>0</v>
      </c>
      <c r="AJ638" s="1">
        <v>3840758</v>
      </c>
      <c r="AK638" s="1">
        <v>0</v>
      </c>
      <c r="AL638" s="1">
        <v>0</v>
      </c>
      <c r="AM638" s="1">
        <v>0</v>
      </c>
      <c r="AN638" s="1">
        <v>42298176</v>
      </c>
      <c r="AO638" s="1">
        <v>7252292</v>
      </c>
      <c r="AP638" s="1">
        <v>35045884</v>
      </c>
      <c r="AQ638" s="1">
        <v>7792874</v>
      </c>
      <c r="AR638" s="1">
        <v>1168931</v>
      </c>
      <c r="AS638" s="1">
        <v>1060000</v>
      </c>
      <c r="AT638" s="1">
        <f t="shared" si="62"/>
        <v>52319981</v>
      </c>
    </row>
    <row r="639" spans="1:46">
      <c r="A639" s="1" t="str">
        <f>"00725"</f>
        <v>00725</v>
      </c>
      <c r="B639" s="1" t="str">
        <f>"سيد مهدي"</f>
        <v>سيد مهدي</v>
      </c>
      <c r="C639" s="1" t="str">
        <f>"عسکري"</f>
        <v>عسکري</v>
      </c>
      <c r="D639" s="1" t="str">
        <f t="shared" si="69"/>
        <v>قراردادي کارگري</v>
      </c>
      <c r="E639" s="1" t="str">
        <f t="shared" si="70"/>
        <v>پروژه تعميرات نيروگاه بوشهر</v>
      </c>
      <c r="F639" s="1">
        <v>7149168</v>
      </c>
      <c r="G639" s="1">
        <v>10878455</v>
      </c>
      <c r="H639" s="1">
        <v>0</v>
      </c>
      <c r="I639" s="1">
        <v>5147401</v>
      </c>
      <c r="J639" s="1">
        <v>0</v>
      </c>
      <c r="K639" s="1">
        <v>0</v>
      </c>
      <c r="L639" s="1">
        <v>4085700</v>
      </c>
      <c r="M639" s="1">
        <v>400000</v>
      </c>
      <c r="N639" s="1">
        <v>3762720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6980509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1111269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40615222</v>
      </c>
      <c r="AO639" s="1">
        <v>7553354</v>
      </c>
      <c r="AP639" s="1">
        <v>33061868</v>
      </c>
      <c r="AQ639" s="1">
        <v>7900791</v>
      </c>
      <c r="AR639" s="1">
        <v>1185119</v>
      </c>
      <c r="AS639" s="1">
        <v>530000</v>
      </c>
      <c r="AT639" s="1">
        <f t="shared" si="62"/>
        <v>50231132</v>
      </c>
    </row>
    <row r="640" spans="1:46">
      <c r="A640" s="1" t="str">
        <f>"00726"</f>
        <v>00726</v>
      </c>
      <c r="B640" s="1" t="str">
        <f>"مهدي"</f>
        <v>مهدي</v>
      </c>
      <c r="C640" s="1" t="str">
        <f>"زارعي ونوول"</f>
        <v>زارعي ونوول</v>
      </c>
      <c r="D640" s="1" t="str">
        <f t="shared" si="69"/>
        <v>قراردادي کارگري</v>
      </c>
      <c r="E640" s="1" t="str">
        <f t="shared" si="70"/>
        <v>پروژه تعميرات نيروگاه بوشهر</v>
      </c>
      <c r="F640" s="1">
        <v>7491436</v>
      </c>
      <c r="G640" s="1">
        <v>6072356</v>
      </c>
      <c r="H640" s="1">
        <v>0</v>
      </c>
      <c r="I640" s="1">
        <v>5244005</v>
      </c>
      <c r="J640" s="1">
        <v>0</v>
      </c>
      <c r="K640" s="1">
        <v>0</v>
      </c>
      <c r="L640" s="1">
        <v>3620700</v>
      </c>
      <c r="M640" s="1">
        <v>400000</v>
      </c>
      <c r="N640" s="1">
        <v>3968973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4910651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3048767</v>
      </c>
      <c r="AE640" s="1">
        <v>0</v>
      </c>
      <c r="AF640" s="1">
        <v>2222538</v>
      </c>
      <c r="AG640" s="1">
        <v>0</v>
      </c>
      <c r="AH640" s="1">
        <v>0</v>
      </c>
      <c r="AI640" s="1">
        <v>0</v>
      </c>
      <c r="AJ640" s="1">
        <v>5888345</v>
      </c>
      <c r="AK640" s="1">
        <v>0</v>
      </c>
      <c r="AL640" s="1">
        <v>0</v>
      </c>
      <c r="AM640" s="1">
        <v>0</v>
      </c>
      <c r="AN640" s="1">
        <v>43967771</v>
      </c>
      <c r="AO640" s="1">
        <v>13743229</v>
      </c>
      <c r="AP640" s="1">
        <v>30224542</v>
      </c>
      <c r="AQ640" s="1">
        <v>8349047</v>
      </c>
      <c r="AR640" s="1">
        <v>1252357</v>
      </c>
      <c r="AS640" s="1">
        <v>1200000</v>
      </c>
      <c r="AT640" s="1">
        <f t="shared" si="62"/>
        <v>54769175</v>
      </c>
    </row>
    <row r="641" spans="1:46">
      <c r="A641" s="1" t="str">
        <f>"00727"</f>
        <v>00727</v>
      </c>
      <c r="B641" s="1" t="str">
        <f>"عبدالناصر"</f>
        <v>عبدالناصر</v>
      </c>
      <c r="C641" s="1" t="str">
        <f>"بچاچري نژاد"</f>
        <v>بچاچري نژاد</v>
      </c>
      <c r="D641" s="1" t="str">
        <f t="shared" si="69"/>
        <v>قراردادي کارگري</v>
      </c>
      <c r="E641" s="1" t="str">
        <f t="shared" si="70"/>
        <v>پروژه تعميرات نيروگاه بوشهر</v>
      </c>
      <c r="F641" s="1">
        <v>5777587</v>
      </c>
      <c r="G641" s="1">
        <v>0</v>
      </c>
      <c r="H641" s="1">
        <v>0</v>
      </c>
      <c r="I641" s="1">
        <v>4390966</v>
      </c>
      <c r="J641" s="1">
        <v>0</v>
      </c>
      <c r="K641" s="1">
        <v>0</v>
      </c>
      <c r="L641" s="1">
        <v>4104501</v>
      </c>
      <c r="M641" s="1">
        <v>400000</v>
      </c>
      <c r="N641" s="1">
        <v>3040835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6490792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4445076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29749757</v>
      </c>
      <c r="AO641" s="1">
        <v>6270065</v>
      </c>
      <c r="AP641" s="1">
        <v>23479692</v>
      </c>
      <c r="AQ641" s="1">
        <v>5060936</v>
      </c>
      <c r="AR641" s="1">
        <v>759140</v>
      </c>
      <c r="AS641" s="1">
        <v>1060000</v>
      </c>
      <c r="AT641" s="1">
        <f t="shared" si="62"/>
        <v>36629833</v>
      </c>
    </row>
    <row r="642" spans="1:46">
      <c r="A642" s="1" t="str">
        <f>"00728"</f>
        <v>00728</v>
      </c>
      <c r="B642" s="1" t="str">
        <f>"مهدي"</f>
        <v>مهدي</v>
      </c>
      <c r="C642" s="1" t="str">
        <f>"آبسته"</f>
        <v>آبسته</v>
      </c>
      <c r="D642" s="1" t="str">
        <f t="shared" si="69"/>
        <v>قراردادي کارگري</v>
      </c>
      <c r="E642" s="1" t="str">
        <f t="shared" si="70"/>
        <v>پروژه تعميرات نيروگاه بوشهر</v>
      </c>
      <c r="F642" s="1">
        <v>5353932</v>
      </c>
      <c r="G642" s="1">
        <v>0</v>
      </c>
      <c r="H642" s="1">
        <v>0</v>
      </c>
      <c r="I642" s="1">
        <v>3801292</v>
      </c>
      <c r="J642" s="1">
        <v>0</v>
      </c>
      <c r="K642" s="1">
        <v>0</v>
      </c>
      <c r="L642" s="1">
        <v>3620700</v>
      </c>
      <c r="M642" s="1">
        <v>400000</v>
      </c>
      <c r="N642" s="1">
        <v>2817859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5897355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22991138</v>
      </c>
      <c r="AO642" s="1">
        <v>5386841</v>
      </c>
      <c r="AP642" s="1">
        <v>17604297</v>
      </c>
      <c r="AQ642" s="1">
        <v>4598228</v>
      </c>
      <c r="AR642" s="1">
        <v>689734</v>
      </c>
      <c r="AS642" s="1">
        <v>530000</v>
      </c>
      <c r="AT642" s="1">
        <f t="shared" si="62"/>
        <v>28809100</v>
      </c>
    </row>
    <row r="643" spans="1:46">
      <c r="A643" s="1" t="str">
        <f>"00729"</f>
        <v>00729</v>
      </c>
      <c r="B643" s="1" t="str">
        <f>"مصطفي"</f>
        <v>مصطفي</v>
      </c>
      <c r="C643" s="1" t="str">
        <f>"ايرج زاده"</f>
        <v>ايرج زاده</v>
      </c>
      <c r="D643" s="1" t="str">
        <f t="shared" si="69"/>
        <v>قراردادي کارگري</v>
      </c>
      <c r="E643" s="1" t="str">
        <f t="shared" si="70"/>
        <v>پروژه تعميرات نيروگاه بوشهر</v>
      </c>
      <c r="F643" s="1">
        <v>5724630</v>
      </c>
      <c r="G643" s="1">
        <v>0</v>
      </c>
      <c r="H643" s="1">
        <v>0</v>
      </c>
      <c r="I643" s="1">
        <v>4007241</v>
      </c>
      <c r="J643" s="1">
        <v>0</v>
      </c>
      <c r="K643" s="1">
        <v>0</v>
      </c>
      <c r="L643" s="1">
        <v>3620700</v>
      </c>
      <c r="M643" s="1">
        <v>400000</v>
      </c>
      <c r="N643" s="1">
        <v>3012963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6163609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24029143</v>
      </c>
      <c r="AO643" s="1">
        <v>2806937</v>
      </c>
      <c r="AP643" s="1">
        <v>21222206</v>
      </c>
      <c r="AQ643" s="1">
        <v>4805829</v>
      </c>
      <c r="AR643" s="1">
        <v>720874</v>
      </c>
      <c r="AS643" s="1">
        <v>265000</v>
      </c>
      <c r="AT643" s="1">
        <f t="shared" ref="AT643:AT706" si="71">AS643+AR643+AQ643+AN643</f>
        <v>29820846</v>
      </c>
    </row>
    <row r="644" spans="1:46">
      <c r="A644" s="1" t="str">
        <f>"00731"</f>
        <v>00731</v>
      </c>
      <c r="B644" s="1" t="str">
        <f>"امير"</f>
        <v>امير</v>
      </c>
      <c r="C644" s="1" t="str">
        <f>"جمالي نژاد"</f>
        <v>جمالي نژاد</v>
      </c>
      <c r="D644" s="1" t="str">
        <f t="shared" si="69"/>
        <v>قراردادي کارگري</v>
      </c>
      <c r="E644" s="1" t="str">
        <f t="shared" si="70"/>
        <v>پروژه تعميرات نيروگاه بوشهر</v>
      </c>
      <c r="F644" s="1">
        <v>7391480</v>
      </c>
      <c r="G644" s="1">
        <v>5242817</v>
      </c>
      <c r="H644" s="1">
        <v>0</v>
      </c>
      <c r="I644" s="1">
        <v>5247951</v>
      </c>
      <c r="J644" s="1">
        <v>0</v>
      </c>
      <c r="K644" s="1">
        <v>0</v>
      </c>
      <c r="L644" s="1">
        <v>3620700</v>
      </c>
      <c r="M644" s="1">
        <v>400000</v>
      </c>
      <c r="N644" s="1">
        <v>3916016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7478271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3026422</v>
      </c>
      <c r="AE644" s="1">
        <v>0</v>
      </c>
      <c r="AF644" s="1">
        <v>2222538</v>
      </c>
      <c r="AG644" s="1">
        <v>0</v>
      </c>
      <c r="AH644" s="1">
        <v>0</v>
      </c>
      <c r="AI644" s="1">
        <v>0</v>
      </c>
      <c r="AJ644" s="1">
        <v>1290540</v>
      </c>
      <c r="AK644" s="1">
        <v>0</v>
      </c>
      <c r="AL644" s="1">
        <v>0</v>
      </c>
      <c r="AM644" s="1">
        <v>0</v>
      </c>
      <c r="AN644" s="1">
        <v>40936735</v>
      </c>
      <c r="AO644" s="1">
        <v>6819136</v>
      </c>
      <c r="AP644" s="1">
        <v>34117599</v>
      </c>
      <c r="AQ644" s="1">
        <v>7742839</v>
      </c>
      <c r="AR644" s="1">
        <v>1161426</v>
      </c>
      <c r="AS644" s="1">
        <v>1060000</v>
      </c>
      <c r="AT644" s="1">
        <f t="shared" si="71"/>
        <v>50901000</v>
      </c>
    </row>
    <row r="645" spans="1:46">
      <c r="A645" s="1" t="str">
        <f>"00732"</f>
        <v>00732</v>
      </c>
      <c r="B645" s="1" t="str">
        <f>"محمد امين"</f>
        <v>محمد امين</v>
      </c>
      <c r="C645" s="1" t="str">
        <f>"جوي"</f>
        <v>جوي</v>
      </c>
      <c r="D645" s="1" t="str">
        <f t="shared" si="69"/>
        <v>قراردادي کارگري</v>
      </c>
      <c r="E645" s="1" t="str">
        <f t="shared" si="70"/>
        <v>پروژه تعميرات نيروگاه بوشهر</v>
      </c>
      <c r="F645" s="1">
        <v>6063554</v>
      </c>
      <c r="G645" s="1">
        <v>0</v>
      </c>
      <c r="H645" s="1">
        <v>0</v>
      </c>
      <c r="I645" s="1">
        <v>4244488</v>
      </c>
      <c r="J645" s="1">
        <v>0</v>
      </c>
      <c r="K645" s="1">
        <v>0</v>
      </c>
      <c r="L645" s="1">
        <v>3620700</v>
      </c>
      <c r="M645" s="1">
        <v>400000</v>
      </c>
      <c r="N645" s="1">
        <v>3191344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6423929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25044015</v>
      </c>
      <c r="AO645" s="1">
        <v>4547978</v>
      </c>
      <c r="AP645" s="1">
        <v>20496037</v>
      </c>
      <c r="AQ645" s="1">
        <v>5008803</v>
      </c>
      <c r="AR645" s="1">
        <v>751320</v>
      </c>
      <c r="AS645" s="1">
        <v>600000</v>
      </c>
      <c r="AT645" s="1">
        <f t="shared" si="71"/>
        <v>31404138</v>
      </c>
    </row>
    <row r="646" spans="1:46">
      <c r="A646" s="1" t="str">
        <f>"00733"</f>
        <v>00733</v>
      </c>
      <c r="B646" s="1" t="str">
        <f>"محمد"</f>
        <v>محمد</v>
      </c>
      <c r="C646" s="1" t="str">
        <f>"چم کوري"</f>
        <v>چم کوري</v>
      </c>
      <c r="D646" s="1" t="str">
        <f>"قراردادي بهره بردار"</f>
        <v>قراردادي بهره بردار</v>
      </c>
      <c r="E646" s="1" t="str">
        <f t="shared" si="70"/>
        <v>پروژه تعميرات نيروگاه بوشهر</v>
      </c>
      <c r="F646" s="1">
        <v>11523344</v>
      </c>
      <c r="G646" s="1">
        <v>0</v>
      </c>
      <c r="H646" s="1">
        <v>0</v>
      </c>
      <c r="I646" s="1">
        <v>8902969</v>
      </c>
      <c r="J646" s="1">
        <v>0</v>
      </c>
      <c r="K646" s="1">
        <v>4620000</v>
      </c>
      <c r="L646" s="1">
        <v>0</v>
      </c>
      <c r="M646" s="1">
        <v>400000</v>
      </c>
      <c r="N646" s="1">
        <v>2112459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10308502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1508900</v>
      </c>
      <c r="AF646" s="1">
        <v>1111269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4587055</v>
      </c>
      <c r="AM646" s="1">
        <v>0</v>
      </c>
      <c r="AN646" s="1">
        <v>46174498</v>
      </c>
      <c r="AO646" s="1">
        <v>18410797</v>
      </c>
      <c r="AP646" s="1">
        <v>27763701</v>
      </c>
      <c r="AQ646" s="1">
        <v>9012646</v>
      </c>
      <c r="AR646" s="1">
        <v>1351897</v>
      </c>
      <c r="AS646" s="1">
        <v>0</v>
      </c>
      <c r="AT646" s="1">
        <f t="shared" si="71"/>
        <v>56539041</v>
      </c>
    </row>
    <row r="647" spans="1:46">
      <c r="A647" s="1" t="str">
        <f>"00734"</f>
        <v>00734</v>
      </c>
      <c r="B647" s="1" t="str">
        <f>"حسين"</f>
        <v>حسين</v>
      </c>
      <c r="C647" s="1" t="str">
        <f>"حيدريان"</f>
        <v>حيدريان</v>
      </c>
      <c r="D647" s="1" t="str">
        <f t="shared" ref="D647:D655" si="72">"قراردادي کارگري"</f>
        <v>قراردادي کارگري</v>
      </c>
      <c r="E647" s="1" t="str">
        <f t="shared" si="70"/>
        <v>پروژه تعميرات نيروگاه بوشهر</v>
      </c>
      <c r="F647" s="1">
        <v>5634604</v>
      </c>
      <c r="G647" s="1">
        <v>6654684</v>
      </c>
      <c r="H647" s="1">
        <v>0</v>
      </c>
      <c r="I647" s="1">
        <v>3944222</v>
      </c>
      <c r="J647" s="1">
        <v>0</v>
      </c>
      <c r="K647" s="1">
        <v>0</v>
      </c>
      <c r="L647" s="1">
        <v>3620700</v>
      </c>
      <c r="M647" s="1">
        <v>400000</v>
      </c>
      <c r="N647" s="1">
        <v>2965581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6094462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2424766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5193899</v>
      </c>
      <c r="AK647" s="1">
        <v>0</v>
      </c>
      <c r="AL647" s="1">
        <v>0</v>
      </c>
      <c r="AM647" s="1">
        <v>0</v>
      </c>
      <c r="AN647" s="1">
        <v>38032918</v>
      </c>
      <c r="AO647" s="1">
        <v>10977684</v>
      </c>
      <c r="AP647" s="1">
        <v>27055234</v>
      </c>
      <c r="AQ647" s="1">
        <v>7606584</v>
      </c>
      <c r="AR647" s="1">
        <v>1140988</v>
      </c>
      <c r="AS647" s="1">
        <v>600000</v>
      </c>
      <c r="AT647" s="1">
        <f t="shared" si="71"/>
        <v>47380490</v>
      </c>
    </row>
    <row r="648" spans="1:46">
      <c r="A648" s="1" t="str">
        <f>"00735"</f>
        <v>00735</v>
      </c>
      <c r="B648" s="1" t="str">
        <f>"هادي"</f>
        <v>هادي</v>
      </c>
      <c r="C648" s="1" t="str">
        <f>"خبازي"</f>
        <v>خبازي</v>
      </c>
      <c r="D648" s="1" t="str">
        <f t="shared" si="72"/>
        <v>قراردادي کارگري</v>
      </c>
      <c r="E648" s="1" t="str">
        <f t="shared" si="70"/>
        <v>پروژه تعميرات نيروگاه بوشهر</v>
      </c>
      <c r="F648" s="1">
        <v>5941753</v>
      </c>
      <c r="G648" s="1">
        <v>0</v>
      </c>
      <c r="H648" s="1">
        <v>0</v>
      </c>
      <c r="I648" s="1">
        <v>4159227</v>
      </c>
      <c r="J648" s="1">
        <v>0</v>
      </c>
      <c r="K648" s="1">
        <v>0</v>
      </c>
      <c r="L648" s="1">
        <v>3620700</v>
      </c>
      <c r="M648" s="1">
        <v>400000</v>
      </c>
      <c r="N648" s="1">
        <v>3127238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6330377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24679295</v>
      </c>
      <c r="AO648" s="1">
        <v>5089114</v>
      </c>
      <c r="AP648" s="1">
        <v>19590181</v>
      </c>
      <c r="AQ648" s="1">
        <v>4935859</v>
      </c>
      <c r="AR648" s="1">
        <v>740379</v>
      </c>
      <c r="AS648" s="1">
        <v>300000</v>
      </c>
      <c r="AT648" s="1">
        <f t="shared" si="71"/>
        <v>30655533</v>
      </c>
    </row>
    <row r="649" spans="1:46">
      <c r="A649" s="1" t="str">
        <f>"00736"</f>
        <v>00736</v>
      </c>
      <c r="B649" s="1" t="str">
        <f>"امير"</f>
        <v>امير</v>
      </c>
      <c r="C649" s="1" t="str">
        <f>"روزرخ"</f>
        <v>روزرخ</v>
      </c>
      <c r="D649" s="1" t="str">
        <f t="shared" si="72"/>
        <v>قراردادي کارگري</v>
      </c>
      <c r="E649" s="1" t="str">
        <f t="shared" si="70"/>
        <v>پروژه تعميرات نيروگاه بوشهر</v>
      </c>
      <c r="F649" s="1">
        <v>8458848</v>
      </c>
      <c r="G649" s="1">
        <v>0</v>
      </c>
      <c r="H649" s="1">
        <v>0</v>
      </c>
      <c r="I649" s="1">
        <v>6767078</v>
      </c>
      <c r="J649" s="1">
        <v>0</v>
      </c>
      <c r="K649" s="1">
        <v>0</v>
      </c>
      <c r="L649" s="1">
        <v>3460800</v>
      </c>
      <c r="M649" s="1">
        <v>400000</v>
      </c>
      <c r="N649" s="1">
        <v>4511386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8520849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1111269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34330230</v>
      </c>
      <c r="AO649" s="1">
        <v>7196809</v>
      </c>
      <c r="AP649" s="1">
        <v>27133421</v>
      </c>
      <c r="AQ649" s="1">
        <v>6643792</v>
      </c>
      <c r="AR649" s="1">
        <v>996569</v>
      </c>
      <c r="AS649" s="1">
        <v>900000</v>
      </c>
      <c r="AT649" s="1">
        <f t="shared" si="71"/>
        <v>42870591</v>
      </c>
    </row>
    <row r="650" spans="1:46">
      <c r="A650" s="1" t="str">
        <f>"00737"</f>
        <v>00737</v>
      </c>
      <c r="B650" s="1" t="str">
        <f>"ماشاءاله"</f>
        <v>ماشاءاله</v>
      </c>
      <c r="C650" s="1" t="str">
        <f>"رفيعي"</f>
        <v>رفيعي</v>
      </c>
      <c r="D650" s="1" t="str">
        <f t="shared" si="72"/>
        <v>قراردادي کارگري</v>
      </c>
      <c r="E650" s="1" t="str">
        <f t="shared" si="70"/>
        <v>پروژه تعميرات نيروگاه بوشهر</v>
      </c>
      <c r="F650" s="1">
        <v>8669864</v>
      </c>
      <c r="G650" s="1">
        <v>23677288</v>
      </c>
      <c r="H650" s="1">
        <v>0</v>
      </c>
      <c r="I650" s="1">
        <v>6415700</v>
      </c>
      <c r="J650" s="1">
        <v>0</v>
      </c>
      <c r="K650" s="1">
        <v>0</v>
      </c>
      <c r="L650" s="1">
        <v>3620700</v>
      </c>
      <c r="M650" s="1">
        <v>400000</v>
      </c>
      <c r="N650" s="1">
        <v>4593306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7625868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3333807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59436533</v>
      </c>
      <c r="AO650" s="1">
        <v>11353323</v>
      </c>
      <c r="AP650" s="1">
        <v>48083210</v>
      </c>
      <c r="AQ650" s="1">
        <v>11220545</v>
      </c>
      <c r="AR650" s="1">
        <v>1683082</v>
      </c>
      <c r="AS650" s="1">
        <v>1325000</v>
      </c>
      <c r="AT650" s="1">
        <f t="shared" si="71"/>
        <v>73665160</v>
      </c>
    </row>
    <row r="651" spans="1:46">
      <c r="A651" s="1" t="str">
        <f>"00738"</f>
        <v>00738</v>
      </c>
      <c r="B651" s="1" t="str">
        <f>"احمد"</f>
        <v>احمد</v>
      </c>
      <c r="C651" s="1" t="str">
        <f>"غلامي"</f>
        <v>غلامي</v>
      </c>
      <c r="D651" s="1" t="str">
        <f t="shared" si="72"/>
        <v>قراردادي کارگري</v>
      </c>
      <c r="E651" s="1" t="str">
        <f t="shared" si="70"/>
        <v>پروژه تعميرات نيروگاه بوشهر</v>
      </c>
      <c r="F651" s="1">
        <v>5618577</v>
      </c>
      <c r="G651" s="1">
        <v>3626522</v>
      </c>
      <c r="H651" s="1">
        <v>0</v>
      </c>
      <c r="I651" s="1">
        <v>4101561</v>
      </c>
      <c r="J651" s="1">
        <v>0</v>
      </c>
      <c r="K651" s="1">
        <v>0</v>
      </c>
      <c r="L651" s="1">
        <v>4113953</v>
      </c>
      <c r="M651" s="1">
        <v>400000</v>
      </c>
      <c r="N651" s="1">
        <v>2976730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8056761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2521623</v>
      </c>
      <c r="AE651" s="1">
        <v>0</v>
      </c>
      <c r="AF651" s="1">
        <v>2222538</v>
      </c>
      <c r="AG651" s="1">
        <v>0</v>
      </c>
      <c r="AH651" s="1">
        <v>0</v>
      </c>
      <c r="AI651" s="1">
        <v>0</v>
      </c>
      <c r="AJ651" s="1">
        <v>3481461</v>
      </c>
      <c r="AK651" s="1">
        <v>0</v>
      </c>
      <c r="AL651" s="1">
        <v>0</v>
      </c>
      <c r="AM651" s="1">
        <v>0</v>
      </c>
      <c r="AN651" s="1">
        <v>38219726</v>
      </c>
      <c r="AO651" s="1">
        <v>9089345</v>
      </c>
      <c r="AP651" s="1">
        <v>29130381</v>
      </c>
      <c r="AQ651" s="1">
        <v>7199438</v>
      </c>
      <c r="AR651" s="1">
        <v>1079916</v>
      </c>
      <c r="AS651" s="1">
        <v>1060000</v>
      </c>
      <c r="AT651" s="1">
        <f t="shared" si="71"/>
        <v>47559080</v>
      </c>
    </row>
    <row r="652" spans="1:46">
      <c r="A652" s="1" t="str">
        <f>"00739"</f>
        <v>00739</v>
      </c>
      <c r="B652" s="1" t="str">
        <f>"سعيد"</f>
        <v>سعيد</v>
      </c>
      <c r="C652" s="1" t="str">
        <f>"آقايي کردشامي"</f>
        <v>آقايي کردشامي</v>
      </c>
      <c r="D652" s="1" t="str">
        <f t="shared" si="72"/>
        <v>قراردادي کارگري</v>
      </c>
      <c r="E652" s="1" t="str">
        <f t="shared" si="70"/>
        <v>پروژه تعميرات نيروگاه بوشهر</v>
      </c>
      <c r="F652" s="1">
        <v>5915275</v>
      </c>
      <c r="G652" s="1">
        <v>7240829</v>
      </c>
      <c r="H652" s="1">
        <v>0</v>
      </c>
      <c r="I652" s="1">
        <v>4258998</v>
      </c>
      <c r="J652" s="1">
        <v>0</v>
      </c>
      <c r="K652" s="1">
        <v>0</v>
      </c>
      <c r="L652" s="1">
        <v>3620700</v>
      </c>
      <c r="M652" s="1">
        <v>400000</v>
      </c>
      <c r="N652" s="1">
        <v>3113302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5660544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2222538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33532186</v>
      </c>
      <c r="AO652" s="1">
        <v>5071171</v>
      </c>
      <c r="AP652" s="1">
        <v>28461015</v>
      </c>
      <c r="AQ652" s="1">
        <v>6261930</v>
      </c>
      <c r="AR652" s="1">
        <v>939289</v>
      </c>
      <c r="AS652" s="1">
        <v>780000</v>
      </c>
      <c r="AT652" s="1">
        <f t="shared" si="71"/>
        <v>41513405</v>
      </c>
    </row>
    <row r="653" spans="1:46">
      <c r="A653" s="1" t="str">
        <f>"00740"</f>
        <v>00740</v>
      </c>
      <c r="B653" s="1" t="str">
        <f>"محمد"</f>
        <v>محمد</v>
      </c>
      <c r="C653" s="1" t="str">
        <f>"ماهيني"</f>
        <v>ماهيني</v>
      </c>
      <c r="D653" s="1" t="str">
        <f t="shared" si="72"/>
        <v>قراردادي کارگري</v>
      </c>
      <c r="E653" s="1" t="str">
        <f t="shared" si="70"/>
        <v>پروژه تعميرات نيروگاه بوشهر</v>
      </c>
      <c r="F653" s="1">
        <v>6164172</v>
      </c>
      <c r="G653" s="1">
        <v>7276676</v>
      </c>
      <c r="H653" s="1">
        <v>0</v>
      </c>
      <c r="I653" s="1">
        <v>4623129</v>
      </c>
      <c r="J653" s="1">
        <v>0</v>
      </c>
      <c r="K653" s="1">
        <v>0</v>
      </c>
      <c r="L653" s="1">
        <v>3620700</v>
      </c>
      <c r="M653" s="1">
        <v>400000</v>
      </c>
      <c r="N653" s="1">
        <v>3244301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1915230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28344208</v>
      </c>
      <c r="AO653" s="1">
        <v>4304695</v>
      </c>
      <c r="AP653" s="1">
        <v>24039513</v>
      </c>
      <c r="AQ653" s="1">
        <v>5668842</v>
      </c>
      <c r="AR653" s="1">
        <v>850326</v>
      </c>
      <c r="AS653" s="1">
        <v>530000</v>
      </c>
      <c r="AT653" s="1">
        <f t="shared" si="71"/>
        <v>35393376</v>
      </c>
    </row>
    <row r="654" spans="1:46">
      <c r="A654" s="1" t="str">
        <f>"00742"</f>
        <v>00742</v>
      </c>
      <c r="B654" s="1" t="str">
        <f>"امير"</f>
        <v>امير</v>
      </c>
      <c r="C654" s="1" t="str">
        <f>"رستمي پور"</f>
        <v>رستمي پور</v>
      </c>
      <c r="D654" s="1" t="str">
        <f t="shared" si="72"/>
        <v>قراردادي کارگري</v>
      </c>
      <c r="E654" s="1" t="str">
        <f t="shared" si="70"/>
        <v>پروژه تعميرات نيروگاه بوشهر</v>
      </c>
      <c r="F654" s="1">
        <v>5401594</v>
      </c>
      <c r="G654" s="1">
        <v>0</v>
      </c>
      <c r="H654" s="1">
        <v>0</v>
      </c>
      <c r="I654" s="1">
        <v>4105211</v>
      </c>
      <c r="J654" s="1">
        <v>0</v>
      </c>
      <c r="K654" s="1">
        <v>0</v>
      </c>
      <c r="L654" s="1">
        <v>3620700</v>
      </c>
      <c r="M654" s="1">
        <v>400000</v>
      </c>
      <c r="N654" s="1">
        <v>2842944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1747045</v>
      </c>
      <c r="W654" s="1">
        <v>1100000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19217494</v>
      </c>
      <c r="AO654" s="1">
        <v>6020887</v>
      </c>
      <c r="AP654" s="1">
        <v>13196607</v>
      </c>
      <c r="AQ654" s="1">
        <v>3843499</v>
      </c>
      <c r="AR654" s="1">
        <v>576525</v>
      </c>
      <c r="AS654" s="1">
        <v>195000</v>
      </c>
      <c r="AT654" s="1">
        <f t="shared" si="71"/>
        <v>23832518</v>
      </c>
    </row>
    <row r="655" spans="1:46">
      <c r="A655" s="1" t="str">
        <f>"00743"</f>
        <v>00743</v>
      </c>
      <c r="B655" s="1" t="str">
        <f>"حسين"</f>
        <v>حسين</v>
      </c>
      <c r="C655" s="1" t="str">
        <f>"جباري فرد"</f>
        <v>جباري فرد</v>
      </c>
      <c r="D655" s="1" t="str">
        <f t="shared" si="72"/>
        <v>قراردادي کارگري</v>
      </c>
      <c r="E655" s="1" t="str">
        <f t="shared" si="70"/>
        <v>پروژه تعميرات نيروگاه بوشهر</v>
      </c>
      <c r="F655" s="1">
        <v>5968231</v>
      </c>
      <c r="G655" s="1">
        <v>3033270</v>
      </c>
      <c r="H655" s="1">
        <v>0</v>
      </c>
      <c r="I655" s="1">
        <v>4237444</v>
      </c>
      <c r="J655" s="1">
        <v>0</v>
      </c>
      <c r="K655" s="1">
        <v>0</v>
      </c>
      <c r="L655" s="1">
        <v>3620700</v>
      </c>
      <c r="M655" s="1">
        <v>400000</v>
      </c>
      <c r="N655" s="1">
        <v>3141174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3832017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2545132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27877968</v>
      </c>
      <c r="AO655" s="1">
        <v>6515062</v>
      </c>
      <c r="AP655" s="1">
        <v>21362906</v>
      </c>
      <c r="AQ655" s="1">
        <v>5575594</v>
      </c>
      <c r="AR655" s="1">
        <v>836339</v>
      </c>
      <c r="AS655" s="1">
        <v>600000</v>
      </c>
      <c r="AT655" s="1">
        <f t="shared" si="71"/>
        <v>34889901</v>
      </c>
    </row>
    <row r="656" spans="1:46">
      <c r="A656" s="1" t="str">
        <f>"00744"</f>
        <v>00744</v>
      </c>
      <c r="B656" s="1" t="str">
        <f>"منصور"</f>
        <v>منصور</v>
      </c>
      <c r="C656" s="1" t="str">
        <f>"صفايان آزاد"</f>
        <v>صفايان آزاد</v>
      </c>
      <c r="D656" s="1" t="str">
        <f>"قراردادي بهره بردار"</f>
        <v>قراردادي بهره بردار</v>
      </c>
      <c r="E656" s="1" t="str">
        <f>"پروژه بهره برداري نيروگاه بوشهر"</f>
        <v>پروژه بهره برداري نيروگاه بوشهر</v>
      </c>
      <c r="F656" s="1">
        <v>11309524</v>
      </c>
      <c r="G656" s="1">
        <v>7162377</v>
      </c>
      <c r="H656" s="1">
        <v>0</v>
      </c>
      <c r="I656" s="1">
        <v>8005016</v>
      </c>
      <c r="J656" s="1">
        <v>0</v>
      </c>
      <c r="K656" s="1">
        <v>4620000</v>
      </c>
      <c r="L656" s="1">
        <v>0</v>
      </c>
      <c r="M656" s="1">
        <v>400000</v>
      </c>
      <c r="N656" s="1">
        <v>1828666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1270000</v>
      </c>
      <c r="U656" s="1">
        <v>0</v>
      </c>
      <c r="V656" s="1">
        <v>9690670</v>
      </c>
      <c r="W656" s="1">
        <v>1100000</v>
      </c>
      <c r="X656" s="1">
        <v>1696429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1306190</v>
      </c>
      <c r="AF656" s="1">
        <v>2222538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5639504</v>
      </c>
      <c r="AM656" s="1">
        <v>0</v>
      </c>
      <c r="AN656" s="1">
        <v>56250914</v>
      </c>
      <c r="AO656" s="1">
        <v>12851234</v>
      </c>
      <c r="AP656" s="1">
        <v>43399680</v>
      </c>
      <c r="AQ656" s="1">
        <v>10551675</v>
      </c>
      <c r="AR656" s="1">
        <v>1582751</v>
      </c>
      <c r="AS656" s="1">
        <v>0</v>
      </c>
      <c r="AT656" s="1">
        <f t="shared" si="71"/>
        <v>68385340</v>
      </c>
    </row>
    <row r="657" spans="1:46">
      <c r="A657" s="1" t="str">
        <f>"00745"</f>
        <v>00745</v>
      </c>
      <c r="B657" s="1" t="str">
        <f>"بهروز"</f>
        <v>بهروز</v>
      </c>
      <c r="C657" s="1" t="str">
        <f>"بحراني"</f>
        <v>بحراني</v>
      </c>
      <c r="D657" s="1" t="str">
        <f>"قراردادي بهره بردار"</f>
        <v>قراردادي بهره بردار</v>
      </c>
      <c r="E657" s="1" t="str">
        <f>"پروژه تعميرات نيروگاه بوشهر"</f>
        <v>پروژه تعميرات نيروگاه بوشهر</v>
      </c>
      <c r="F657" s="1">
        <v>14978909</v>
      </c>
      <c r="G657" s="1">
        <v>0</v>
      </c>
      <c r="H657" s="1">
        <v>0</v>
      </c>
      <c r="I657" s="1">
        <v>11631657</v>
      </c>
      <c r="J657" s="1">
        <v>0</v>
      </c>
      <c r="K657" s="1">
        <v>5500000</v>
      </c>
      <c r="L657" s="1">
        <v>0</v>
      </c>
      <c r="M657" s="1">
        <v>400000</v>
      </c>
      <c r="N657" s="1">
        <v>2457239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10555728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1755171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4071996</v>
      </c>
      <c r="AM657" s="1">
        <v>0</v>
      </c>
      <c r="AN657" s="1">
        <v>52450700</v>
      </c>
      <c r="AO657" s="1">
        <v>15378980</v>
      </c>
      <c r="AP657" s="1">
        <v>37071720</v>
      </c>
      <c r="AQ657" s="1">
        <v>10490140</v>
      </c>
      <c r="AR657" s="1">
        <v>1573521</v>
      </c>
      <c r="AS657" s="1">
        <v>0</v>
      </c>
      <c r="AT657" s="1">
        <f t="shared" si="71"/>
        <v>64514361</v>
      </c>
    </row>
    <row r="658" spans="1:46">
      <c r="A658" s="1" t="str">
        <f>"00746"</f>
        <v>00746</v>
      </c>
      <c r="B658" s="1" t="str">
        <f>"عبدالکريم"</f>
        <v>عبدالکريم</v>
      </c>
      <c r="C658" s="1" t="str">
        <f>"اسفندياري"</f>
        <v>اسفندياري</v>
      </c>
      <c r="D658" s="1" t="str">
        <f>"قراردادي کارگري"</f>
        <v>قراردادي کارگري</v>
      </c>
      <c r="E658" s="1" t="str">
        <f>"پروژه تعميرات نيروگاه بوشهر"</f>
        <v>پروژه تعميرات نيروگاه بوشهر</v>
      </c>
      <c r="F658" s="1">
        <v>7523001</v>
      </c>
      <c r="G658" s="1">
        <v>1543815</v>
      </c>
      <c r="H658" s="1">
        <v>0</v>
      </c>
      <c r="I658" s="1">
        <v>5416561</v>
      </c>
      <c r="J658" s="1">
        <v>0</v>
      </c>
      <c r="K658" s="1">
        <v>0</v>
      </c>
      <c r="L658" s="1">
        <v>3620700</v>
      </c>
      <c r="M658" s="1">
        <v>400000</v>
      </c>
      <c r="N658" s="1">
        <v>3985696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9700222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3081894</v>
      </c>
      <c r="AE658" s="1">
        <v>0</v>
      </c>
      <c r="AF658" s="1">
        <v>4445076</v>
      </c>
      <c r="AG658" s="1">
        <v>0</v>
      </c>
      <c r="AH658" s="1">
        <v>0</v>
      </c>
      <c r="AI658" s="1">
        <v>0</v>
      </c>
      <c r="AJ658" s="1">
        <v>4234465</v>
      </c>
      <c r="AK658" s="1">
        <v>0</v>
      </c>
      <c r="AL658" s="1">
        <v>0</v>
      </c>
      <c r="AM658" s="1">
        <v>0</v>
      </c>
      <c r="AN658" s="1">
        <v>45051430</v>
      </c>
      <c r="AO658" s="1">
        <v>8898939</v>
      </c>
      <c r="AP658" s="1">
        <v>36152491</v>
      </c>
      <c r="AQ658" s="1">
        <v>8121271</v>
      </c>
      <c r="AR658" s="1">
        <v>1218191</v>
      </c>
      <c r="AS658" s="1">
        <v>795000</v>
      </c>
      <c r="AT658" s="1">
        <f t="shared" si="71"/>
        <v>55185892</v>
      </c>
    </row>
    <row r="659" spans="1:46">
      <c r="A659" s="1" t="str">
        <f>"00747"</f>
        <v>00747</v>
      </c>
      <c r="B659" s="1" t="str">
        <f>"محراب"</f>
        <v>محراب</v>
      </c>
      <c r="C659" s="1" t="str">
        <f>"احمدي زاده"</f>
        <v>احمدي زاده</v>
      </c>
      <c r="D659" s="1" t="str">
        <f>"قراردادي کارگري"</f>
        <v>قراردادي کارگري</v>
      </c>
      <c r="E659" s="1" t="str">
        <f>"پروژه تعميرات نيروگاه بوشهر"</f>
        <v>پروژه تعميرات نيروگاه بوشهر</v>
      </c>
      <c r="F659" s="1">
        <v>7068195</v>
      </c>
      <c r="G659" s="1">
        <v>9887433</v>
      </c>
      <c r="H659" s="1">
        <v>0</v>
      </c>
      <c r="I659" s="1">
        <v>5654556</v>
      </c>
      <c r="J659" s="1">
        <v>0</v>
      </c>
      <c r="K659" s="1">
        <v>0</v>
      </c>
      <c r="L659" s="1">
        <v>3460800</v>
      </c>
      <c r="M659" s="1">
        <v>400000</v>
      </c>
      <c r="N659" s="1">
        <v>3769703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5631479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1111269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38083435</v>
      </c>
      <c r="AO659" s="1">
        <v>7311101</v>
      </c>
      <c r="AP659" s="1">
        <v>30772334</v>
      </c>
      <c r="AQ659" s="1">
        <v>7394433</v>
      </c>
      <c r="AR659" s="1">
        <v>1109165</v>
      </c>
      <c r="AS659" s="1">
        <v>585000</v>
      </c>
      <c r="AT659" s="1">
        <f t="shared" si="71"/>
        <v>47172033</v>
      </c>
    </row>
    <row r="660" spans="1:46">
      <c r="A660" s="1" t="str">
        <f>"00748"</f>
        <v>00748</v>
      </c>
      <c r="B660" s="1" t="str">
        <f>"يعقوب"</f>
        <v>يعقوب</v>
      </c>
      <c r="C660" s="1" t="str">
        <f>"افراز"</f>
        <v>افراز</v>
      </c>
      <c r="D660" s="1" t="str">
        <f>"قراردادي بهره بردار"</f>
        <v>قراردادي بهره بردار</v>
      </c>
      <c r="E660" s="1" t="str">
        <f>"پروژه بهره برداري نيروگاه بوشهر"</f>
        <v>پروژه بهره برداري نيروگاه بوشهر</v>
      </c>
      <c r="F660" s="1">
        <v>7827120</v>
      </c>
      <c r="G660" s="1">
        <v>0</v>
      </c>
      <c r="H660" s="1">
        <v>0</v>
      </c>
      <c r="I660" s="1">
        <v>3738776</v>
      </c>
      <c r="J660" s="1">
        <v>0</v>
      </c>
      <c r="K660" s="1">
        <v>4620000</v>
      </c>
      <c r="L660" s="1">
        <v>0</v>
      </c>
      <c r="M660" s="1">
        <v>400000</v>
      </c>
      <c r="N660" s="1">
        <v>1051878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1442099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751342</v>
      </c>
      <c r="AF660" s="1">
        <v>2222538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1051878</v>
      </c>
      <c r="AM660" s="1">
        <v>0</v>
      </c>
      <c r="AN660" s="1">
        <v>24205631</v>
      </c>
      <c r="AO660" s="1">
        <v>6837175</v>
      </c>
      <c r="AP660" s="1">
        <v>17368456</v>
      </c>
      <c r="AQ660" s="1">
        <v>4396619</v>
      </c>
      <c r="AR660" s="1">
        <v>659493</v>
      </c>
      <c r="AS660" s="1">
        <v>0</v>
      </c>
      <c r="AT660" s="1">
        <f t="shared" si="71"/>
        <v>29261743</v>
      </c>
    </row>
    <row r="661" spans="1:46">
      <c r="A661" s="1" t="str">
        <f>"00749"</f>
        <v>00749</v>
      </c>
      <c r="B661" s="1" t="str">
        <f>"عليرضا"</f>
        <v>عليرضا</v>
      </c>
      <c r="C661" s="1" t="str">
        <f>"بدره"</f>
        <v>بدره</v>
      </c>
      <c r="D661" s="1" t="str">
        <f t="shared" ref="D661:D669" si="73">"قراردادي کارگري"</f>
        <v>قراردادي کارگري</v>
      </c>
      <c r="E661" s="1" t="str">
        <f t="shared" ref="E661:E669" si="74">"پروژه تعميرات نيروگاه بوشهر"</f>
        <v>پروژه تعميرات نيروگاه بوشهر</v>
      </c>
      <c r="F661" s="1">
        <v>5274497</v>
      </c>
      <c r="G661" s="1">
        <v>7650311</v>
      </c>
      <c r="H661" s="1">
        <v>0</v>
      </c>
      <c r="I661" s="1">
        <v>3797638</v>
      </c>
      <c r="J661" s="1">
        <v>0</v>
      </c>
      <c r="K661" s="1">
        <v>0</v>
      </c>
      <c r="L661" s="1">
        <v>3620700</v>
      </c>
      <c r="M661" s="1">
        <v>400000</v>
      </c>
      <c r="N661" s="1">
        <v>2776051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4327066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1111269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30057532</v>
      </c>
      <c r="AO661" s="1">
        <v>4524272</v>
      </c>
      <c r="AP661" s="1">
        <v>25533260</v>
      </c>
      <c r="AQ661" s="1">
        <v>5789253</v>
      </c>
      <c r="AR661" s="1">
        <v>868388</v>
      </c>
      <c r="AS661" s="1">
        <v>795000</v>
      </c>
      <c r="AT661" s="1">
        <f t="shared" si="71"/>
        <v>37510173</v>
      </c>
    </row>
    <row r="662" spans="1:46">
      <c r="A662" s="1" t="str">
        <f>"00750"</f>
        <v>00750</v>
      </c>
      <c r="B662" s="1" t="str">
        <f>"ابوالفضل"</f>
        <v>ابوالفضل</v>
      </c>
      <c r="C662" s="1" t="str">
        <f>"جمالي"</f>
        <v>جمالي</v>
      </c>
      <c r="D662" s="1" t="str">
        <f t="shared" si="73"/>
        <v>قراردادي کارگري</v>
      </c>
      <c r="E662" s="1" t="str">
        <f t="shared" si="74"/>
        <v>پروژه تعميرات نيروگاه بوشهر</v>
      </c>
      <c r="F662" s="1">
        <v>7918677</v>
      </c>
      <c r="G662" s="1">
        <v>607231</v>
      </c>
      <c r="H662" s="1">
        <v>0</v>
      </c>
      <c r="I662" s="1">
        <v>6493315</v>
      </c>
      <c r="J662" s="1">
        <v>0</v>
      </c>
      <c r="K662" s="1">
        <v>0</v>
      </c>
      <c r="L662" s="1">
        <v>3460800</v>
      </c>
      <c r="M662" s="1">
        <v>400000</v>
      </c>
      <c r="N662" s="1">
        <v>4223296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5663061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29866380</v>
      </c>
      <c r="AO662" s="1">
        <v>7233177</v>
      </c>
      <c r="AP662" s="1">
        <v>22633203</v>
      </c>
      <c r="AQ662" s="1">
        <v>5973276</v>
      </c>
      <c r="AR662" s="1">
        <v>895991</v>
      </c>
      <c r="AS662" s="1">
        <v>300000</v>
      </c>
      <c r="AT662" s="1">
        <f t="shared" si="71"/>
        <v>37035647</v>
      </c>
    </row>
    <row r="663" spans="1:46">
      <c r="A663" s="1" t="str">
        <f>"00751"</f>
        <v>00751</v>
      </c>
      <c r="B663" s="1" t="str">
        <f>"علي اصغر"</f>
        <v>علي اصغر</v>
      </c>
      <c r="C663" s="1" t="str">
        <f>"رستمي پور"</f>
        <v>رستمي پور</v>
      </c>
      <c r="D663" s="1" t="str">
        <f t="shared" si="73"/>
        <v>قراردادي کارگري</v>
      </c>
      <c r="E663" s="1" t="str">
        <f t="shared" si="74"/>
        <v>پروژه تعميرات نيروگاه بوشهر</v>
      </c>
      <c r="F663" s="1">
        <v>8401383</v>
      </c>
      <c r="G663" s="1">
        <v>0</v>
      </c>
      <c r="H663" s="1">
        <v>0</v>
      </c>
      <c r="I663" s="1">
        <v>6889134</v>
      </c>
      <c r="J663" s="1">
        <v>0</v>
      </c>
      <c r="K663" s="1">
        <v>0</v>
      </c>
      <c r="L663" s="1">
        <v>3460800</v>
      </c>
      <c r="M663" s="1">
        <v>400000</v>
      </c>
      <c r="N663" s="1">
        <v>4480736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6306674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2222538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33261265</v>
      </c>
      <c r="AO663" s="1">
        <v>5529657</v>
      </c>
      <c r="AP663" s="1">
        <v>27731608</v>
      </c>
      <c r="AQ663" s="1">
        <v>6207745</v>
      </c>
      <c r="AR663" s="1">
        <v>931162</v>
      </c>
      <c r="AS663" s="1">
        <v>1060000</v>
      </c>
      <c r="AT663" s="1">
        <f t="shared" si="71"/>
        <v>41460172</v>
      </c>
    </row>
    <row r="664" spans="1:46">
      <c r="A664" s="1" t="str">
        <f>"00752"</f>
        <v>00752</v>
      </c>
      <c r="B664" s="1" t="str">
        <f>"سجاد"</f>
        <v>سجاد</v>
      </c>
      <c r="C664" s="1" t="str">
        <f>"رضائيان"</f>
        <v>رضائيان</v>
      </c>
      <c r="D664" s="1" t="str">
        <f t="shared" si="73"/>
        <v>قراردادي کارگري</v>
      </c>
      <c r="E664" s="1" t="str">
        <f t="shared" si="74"/>
        <v>پروژه تعميرات نيروگاه بوشهر</v>
      </c>
      <c r="F664" s="1">
        <v>7740535</v>
      </c>
      <c r="G664" s="1">
        <v>6958786</v>
      </c>
      <c r="H664" s="1">
        <v>0</v>
      </c>
      <c r="I664" s="1">
        <v>6347239</v>
      </c>
      <c r="J664" s="1">
        <v>0</v>
      </c>
      <c r="K664" s="1">
        <v>0</v>
      </c>
      <c r="L664" s="1">
        <v>3460800</v>
      </c>
      <c r="M664" s="1">
        <v>400000</v>
      </c>
      <c r="N664" s="1">
        <v>4128286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7242769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2222538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39600953</v>
      </c>
      <c r="AO664" s="1">
        <v>7606028</v>
      </c>
      <c r="AP664" s="1">
        <v>31994925</v>
      </c>
      <c r="AQ664" s="1">
        <v>7475683</v>
      </c>
      <c r="AR664" s="1">
        <v>1121352</v>
      </c>
      <c r="AS664" s="1">
        <v>0</v>
      </c>
      <c r="AT664" s="1">
        <f t="shared" si="71"/>
        <v>48197988</v>
      </c>
    </row>
    <row r="665" spans="1:46">
      <c r="A665" s="1" t="str">
        <f>"00753"</f>
        <v>00753</v>
      </c>
      <c r="B665" s="1" t="str">
        <f>"احمد"</f>
        <v>احمد</v>
      </c>
      <c r="C665" s="1" t="str">
        <f>"كرمي"</f>
        <v>كرمي</v>
      </c>
      <c r="D665" s="1" t="str">
        <f t="shared" si="73"/>
        <v>قراردادي کارگري</v>
      </c>
      <c r="E665" s="1" t="str">
        <f t="shared" si="74"/>
        <v>پروژه تعميرات نيروگاه بوشهر</v>
      </c>
      <c r="F665" s="1">
        <v>7091181</v>
      </c>
      <c r="G665" s="1">
        <v>17219711</v>
      </c>
      <c r="H665" s="1">
        <v>0</v>
      </c>
      <c r="I665" s="1">
        <v>5814768</v>
      </c>
      <c r="J665" s="1">
        <v>0</v>
      </c>
      <c r="K665" s="1">
        <v>0</v>
      </c>
      <c r="L665" s="1">
        <v>3460800</v>
      </c>
      <c r="M665" s="1">
        <v>400000</v>
      </c>
      <c r="N665" s="1">
        <v>3781964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5520422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1111269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45500115</v>
      </c>
      <c r="AO665" s="1">
        <v>7184349</v>
      </c>
      <c r="AP665" s="1">
        <v>38315766</v>
      </c>
      <c r="AQ665" s="1">
        <v>8877769</v>
      </c>
      <c r="AR665" s="1">
        <v>1331665</v>
      </c>
      <c r="AS665" s="1">
        <v>795000</v>
      </c>
      <c r="AT665" s="1">
        <f t="shared" si="71"/>
        <v>56504549</v>
      </c>
    </row>
    <row r="666" spans="1:46">
      <c r="A666" s="1" t="str">
        <f>"00754"</f>
        <v>00754</v>
      </c>
      <c r="B666" s="1" t="str">
        <f>"احمد"</f>
        <v>احمد</v>
      </c>
      <c r="C666" s="1" t="str">
        <f>"كره بندي"</f>
        <v>كره بندي</v>
      </c>
      <c r="D666" s="1" t="str">
        <f t="shared" si="73"/>
        <v>قراردادي کارگري</v>
      </c>
      <c r="E666" s="1" t="str">
        <f t="shared" si="74"/>
        <v>پروژه تعميرات نيروگاه بوشهر</v>
      </c>
      <c r="F666" s="1">
        <v>7257829</v>
      </c>
      <c r="G666" s="1">
        <v>6630095</v>
      </c>
      <c r="H666" s="1">
        <v>0</v>
      </c>
      <c r="I666" s="1">
        <v>5806264</v>
      </c>
      <c r="J666" s="1">
        <v>0</v>
      </c>
      <c r="K666" s="1">
        <v>0</v>
      </c>
      <c r="L666" s="1">
        <v>3460800</v>
      </c>
      <c r="M666" s="1">
        <v>400000</v>
      </c>
      <c r="N666" s="1">
        <v>3870842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5583413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34109243</v>
      </c>
      <c r="AO666" s="1">
        <v>6571916</v>
      </c>
      <c r="AP666" s="1">
        <v>27537327</v>
      </c>
      <c r="AQ666" s="1">
        <v>6821849</v>
      </c>
      <c r="AR666" s="1">
        <v>1023277</v>
      </c>
      <c r="AS666" s="1">
        <v>300000</v>
      </c>
      <c r="AT666" s="1">
        <f t="shared" si="71"/>
        <v>42254369</v>
      </c>
    </row>
    <row r="667" spans="1:46">
      <c r="A667" s="1" t="str">
        <f>"00756"</f>
        <v>00756</v>
      </c>
      <c r="B667" s="1" t="str">
        <f>"محمد مهدي"</f>
        <v>محمد مهدي</v>
      </c>
      <c r="C667" s="1" t="str">
        <f>"نعيمي محمد آبادي"</f>
        <v>نعيمي محمد آبادي</v>
      </c>
      <c r="D667" s="1" t="str">
        <f t="shared" si="73"/>
        <v>قراردادي کارگري</v>
      </c>
      <c r="E667" s="1" t="str">
        <f t="shared" si="74"/>
        <v>پروژه تعميرات نيروگاه بوشهر</v>
      </c>
      <c r="F667" s="1">
        <v>7700310</v>
      </c>
      <c r="G667" s="1">
        <v>3529457</v>
      </c>
      <c r="H667" s="1">
        <v>0</v>
      </c>
      <c r="I667" s="1">
        <v>6314254</v>
      </c>
      <c r="J667" s="1">
        <v>0</v>
      </c>
      <c r="K667" s="1">
        <v>0</v>
      </c>
      <c r="L667" s="1">
        <v>3460800</v>
      </c>
      <c r="M667" s="1">
        <v>400000</v>
      </c>
      <c r="N667" s="1">
        <v>4106832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5308905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1111269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33031827</v>
      </c>
      <c r="AO667" s="1">
        <v>5289678</v>
      </c>
      <c r="AP667" s="1">
        <v>27742149</v>
      </c>
      <c r="AQ667" s="1">
        <v>6384112</v>
      </c>
      <c r="AR667" s="1">
        <v>957617</v>
      </c>
      <c r="AS667" s="1">
        <v>795000</v>
      </c>
      <c r="AT667" s="1">
        <f t="shared" si="71"/>
        <v>41168556</v>
      </c>
    </row>
    <row r="668" spans="1:46">
      <c r="A668" s="1" t="str">
        <f>"00757"</f>
        <v>00757</v>
      </c>
      <c r="B668" s="1" t="str">
        <f>"عباس"</f>
        <v>عباس</v>
      </c>
      <c r="C668" s="1" t="str">
        <f>"جوکار"</f>
        <v>جوکار</v>
      </c>
      <c r="D668" s="1" t="str">
        <f t="shared" si="73"/>
        <v>قراردادي کارگري</v>
      </c>
      <c r="E668" s="1" t="str">
        <f t="shared" si="74"/>
        <v>پروژه تعميرات نيروگاه بوشهر</v>
      </c>
      <c r="F668" s="1">
        <v>7091181</v>
      </c>
      <c r="G668" s="1">
        <v>5640525</v>
      </c>
      <c r="H668" s="1">
        <v>0</v>
      </c>
      <c r="I668" s="1">
        <v>5672945</v>
      </c>
      <c r="J668" s="1">
        <v>0</v>
      </c>
      <c r="K668" s="1">
        <v>0</v>
      </c>
      <c r="L668" s="1">
        <v>3460800</v>
      </c>
      <c r="M668" s="1">
        <v>400000</v>
      </c>
      <c r="N668" s="1">
        <v>3781964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4946584</v>
      </c>
      <c r="W668" s="1">
        <v>1100000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32093999</v>
      </c>
      <c r="AO668" s="1">
        <v>9005382</v>
      </c>
      <c r="AP668" s="1">
        <v>23088617</v>
      </c>
      <c r="AQ668" s="1">
        <v>6418800</v>
      </c>
      <c r="AR668" s="1">
        <v>962820</v>
      </c>
      <c r="AS668" s="1">
        <v>300000</v>
      </c>
      <c r="AT668" s="1">
        <f t="shared" si="71"/>
        <v>39775619</v>
      </c>
    </row>
    <row r="669" spans="1:46">
      <c r="A669" s="1" t="str">
        <f>"00758"</f>
        <v>00758</v>
      </c>
      <c r="B669" s="1" t="str">
        <f>"حسين"</f>
        <v>حسين</v>
      </c>
      <c r="C669" s="1" t="str">
        <f>"شنبدي"</f>
        <v>شنبدي</v>
      </c>
      <c r="D669" s="1" t="str">
        <f t="shared" si="73"/>
        <v>قراردادي کارگري</v>
      </c>
      <c r="E669" s="1" t="str">
        <f t="shared" si="74"/>
        <v>پروژه تعميرات نيروگاه بوشهر</v>
      </c>
      <c r="F669" s="1">
        <v>6291965</v>
      </c>
      <c r="G669" s="1">
        <v>1349500</v>
      </c>
      <c r="H669" s="1">
        <v>0</v>
      </c>
      <c r="I669" s="1">
        <v>4656054</v>
      </c>
      <c r="J669" s="1">
        <v>0</v>
      </c>
      <c r="K669" s="1">
        <v>0</v>
      </c>
      <c r="L669" s="1">
        <v>3620700</v>
      </c>
      <c r="M669" s="1">
        <v>400000</v>
      </c>
      <c r="N669" s="1">
        <v>3333491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8536972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2685331</v>
      </c>
      <c r="AE669" s="1">
        <v>0</v>
      </c>
      <c r="AF669" s="1">
        <v>2222538</v>
      </c>
      <c r="AG669" s="1">
        <v>0</v>
      </c>
      <c r="AH669" s="1">
        <v>0</v>
      </c>
      <c r="AI669" s="1">
        <v>0</v>
      </c>
      <c r="AJ669" s="1">
        <v>3701485</v>
      </c>
      <c r="AK669" s="1">
        <v>0</v>
      </c>
      <c r="AL669" s="1">
        <v>0</v>
      </c>
      <c r="AM669" s="1">
        <v>0</v>
      </c>
      <c r="AN669" s="1">
        <v>37898036</v>
      </c>
      <c r="AO669" s="1">
        <v>6314635</v>
      </c>
      <c r="AP669" s="1">
        <v>31583401</v>
      </c>
      <c r="AQ669" s="1">
        <v>7135100</v>
      </c>
      <c r="AR669" s="1">
        <v>1070265</v>
      </c>
      <c r="AS669" s="1">
        <v>530000</v>
      </c>
      <c r="AT669" s="1">
        <f t="shared" si="71"/>
        <v>46633401</v>
      </c>
    </row>
    <row r="670" spans="1:46">
      <c r="A670" s="1" t="str">
        <f>"00759"</f>
        <v>00759</v>
      </c>
      <c r="B670" s="1" t="str">
        <f>"داريوش"</f>
        <v>داريوش</v>
      </c>
      <c r="C670" s="1" t="str">
        <f>"گرگين"</f>
        <v>گرگين</v>
      </c>
      <c r="D670" s="1" t="str">
        <f>"قراردادي بهره بردار"</f>
        <v>قراردادي بهره بردار</v>
      </c>
      <c r="E670" s="1" t="str">
        <f>"پروژه بهره برداري نيروگاه بوشهر"</f>
        <v>پروژه بهره برداري نيروگاه بوشهر</v>
      </c>
      <c r="F670" s="1">
        <v>21851520</v>
      </c>
      <c r="G670" s="1">
        <v>6150177</v>
      </c>
      <c r="H670" s="1">
        <v>3773700</v>
      </c>
      <c r="I670" s="1">
        <v>16405029</v>
      </c>
      <c r="J670" s="1">
        <v>0</v>
      </c>
      <c r="K670" s="1">
        <v>5500000</v>
      </c>
      <c r="L670" s="1">
        <v>0</v>
      </c>
      <c r="M670" s="1">
        <v>400000</v>
      </c>
      <c r="N670" s="1">
        <v>3461741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8577487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2472672</v>
      </c>
      <c r="AF670" s="1">
        <v>3333807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3461741</v>
      </c>
      <c r="AM670" s="1">
        <v>0</v>
      </c>
      <c r="AN670" s="1">
        <v>76487874</v>
      </c>
      <c r="AO670" s="1">
        <v>14562179</v>
      </c>
      <c r="AP670" s="1">
        <v>61925695</v>
      </c>
      <c r="AQ670" s="1">
        <v>13876073</v>
      </c>
      <c r="AR670" s="1">
        <v>2081411</v>
      </c>
      <c r="AS670" s="1">
        <v>0</v>
      </c>
      <c r="AT670" s="1">
        <f t="shared" si="71"/>
        <v>92445358</v>
      </c>
    </row>
    <row r="671" spans="1:46">
      <c r="A671" s="1" t="str">
        <f>"00760"</f>
        <v>00760</v>
      </c>
      <c r="B671" s="1" t="str">
        <f>"محمدرضا"</f>
        <v>محمدرضا</v>
      </c>
      <c r="C671" s="1" t="str">
        <f>"ميهن دوست"</f>
        <v>ميهن دوست</v>
      </c>
      <c r="D671" s="1" t="str">
        <f>"قراردادي کارگري"</f>
        <v>قراردادي کارگري</v>
      </c>
      <c r="E671" s="1" t="str">
        <f>"پروژه تعميرات نيروگاه بوشهر"</f>
        <v>پروژه تعميرات نيروگاه بوشهر</v>
      </c>
      <c r="F671" s="1">
        <v>8717441</v>
      </c>
      <c r="G671" s="1">
        <v>4316331</v>
      </c>
      <c r="H671" s="1">
        <v>0</v>
      </c>
      <c r="I671" s="1">
        <v>7496999</v>
      </c>
      <c r="J671" s="1">
        <v>0</v>
      </c>
      <c r="K671" s="1">
        <v>0</v>
      </c>
      <c r="L671" s="1">
        <v>3460800</v>
      </c>
      <c r="M671" s="1">
        <v>400000</v>
      </c>
      <c r="N671" s="1">
        <v>4649302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2582454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1111269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33834596</v>
      </c>
      <c r="AO671" s="1">
        <v>5224543</v>
      </c>
      <c r="AP671" s="1">
        <v>28610053</v>
      </c>
      <c r="AQ671" s="1">
        <v>6544665</v>
      </c>
      <c r="AR671" s="1">
        <v>981700</v>
      </c>
      <c r="AS671" s="1">
        <v>795000</v>
      </c>
      <c r="AT671" s="1">
        <f t="shared" si="71"/>
        <v>42155961</v>
      </c>
    </row>
    <row r="672" spans="1:46">
      <c r="A672" s="1" t="str">
        <f>"00761"</f>
        <v>00761</v>
      </c>
      <c r="B672" s="1" t="str">
        <f>"محمود"</f>
        <v>محمود</v>
      </c>
      <c r="C672" s="1" t="str">
        <f>"كره بندي"</f>
        <v>كره بندي</v>
      </c>
      <c r="D672" s="1" t="str">
        <f>"قراردادي کارگري"</f>
        <v>قراردادي کارگري</v>
      </c>
      <c r="E672" s="1" t="str">
        <f>"پروژه تعميرات نيروگاه بوشهر"</f>
        <v>پروژه تعميرات نيروگاه بوشهر</v>
      </c>
      <c r="F672" s="1">
        <v>7389564</v>
      </c>
      <c r="G672" s="1">
        <v>7030062</v>
      </c>
      <c r="H672" s="1">
        <v>0</v>
      </c>
      <c r="I672" s="1">
        <v>4581530</v>
      </c>
      <c r="J672" s="1">
        <v>0</v>
      </c>
      <c r="K672" s="1">
        <v>0</v>
      </c>
      <c r="L672" s="1">
        <v>4880700</v>
      </c>
      <c r="M672" s="1">
        <v>400000</v>
      </c>
      <c r="N672" s="1">
        <v>3694783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6999788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3081987</v>
      </c>
      <c r="AE672" s="1">
        <v>0</v>
      </c>
      <c r="AF672" s="1">
        <v>3333807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42492221</v>
      </c>
      <c r="AO672" s="1">
        <v>10650135</v>
      </c>
      <c r="AP672" s="1">
        <v>31842086</v>
      </c>
      <c r="AQ672" s="1">
        <v>7831683</v>
      </c>
      <c r="AR672" s="1">
        <v>1174752</v>
      </c>
      <c r="AS672" s="1">
        <v>795000</v>
      </c>
      <c r="AT672" s="1">
        <f t="shared" si="71"/>
        <v>52293656</v>
      </c>
    </row>
    <row r="673" spans="1:46">
      <c r="A673" s="1" t="str">
        <f>"00762"</f>
        <v>00762</v>
      </c>
      <c r="B673" s="1" t="str">
        <f>"صديقه"</f>
        <v>صديقه</v>
      </c>
      <c r="C673" s="1" t="str">
        <f>"سالمي زاده"</f>
        <v>سالمي زاده</v>
      </c>
      <c r="D673" s="1" t="str">
        <f>"قراردادي بهره بردار"</f>
        <v>قراردادي بهره بردار</v>
      </c>
      <c r="E673" s="1" t="str">
        <f>"پروژه بهره برداري نيروگاه بوشهر"</f>
        <v>پروژه بهره برداري نيروگاه بوشهر</v>
      </c>
      <c r="F673" s="1">
        <v>15278417</v>
      </c>
      <c r="G673" s="1">
        <v>576862</v>
      </c>
      <c r="H673" s="1">
        <v>0</v>
      </c>
      <c r="I673" s="1">
        <v>11547841</v>
      </c>
      <c r="J673" s="1">
        <v>0</v>
      </c>
      <c r="K673" s="1">
        <v>4125000</v>
      </c>
      <c r="L673" s="1">
        <v>0</v>
      </c>
      <c r="M673" s="1">
        <v>400000</v>
      </c>
      <c r="N673" s="1">
        <v>2523499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1270000</v>
      </c>
      <c r="U673" s="1">
        <v>0</v>
      </c>
      <c r="V673" s="1">
        <v>5159513</v>
      </c>
      <c r="W673" s="1">
        <v>1100000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1802499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3244499</v>
      </c>
      <c r="AM673" s="1">
        <v>0</v>
      </c>
      <c r="AN673" s="1">
        <v>47028130</v>
      </c>
      <c r="AO673" s="1">
        <v>10588263</v>
      </c>
      <c r="AP673" s="1">
        <v>36439867</v>
      </c>
      <c r="AQ673" s="1">
        <v>9151626</v>
      </c>
      <c r="AR673" s="1">
        <v>1372744</v>
      </c>
      <c r="AS673" s="1">
        <v>0</v>
      </c>
      <c r="AT673" s="1">
        <f t="shared" si="71"/>
        <v>57552500</v>
      </c>
    </row>
    <row r="674" spans="1:46">
      <c r="A674" s="1" t="str">
        <f>"00763"</f>
        <v>00763</v>
      </c>
      <c r="B674" s="1" t="str">
        <f>"داوود"</f>
        <v>داوود</v>
      </c>
      <c r="C674" s="1" t="str">
        <f>"حاجي نژاد"</f>
        <v>حاجي نژاد</v>
      </c>
      <c r="D674" s="1" t="str">
        <f>"قراردادي بهره بردار"</f>
        <v>قراردادي بهره بردار</v>
      </c>
      <c r="E674" s="1" t="str">
        <f>"پروژه بهره برداري نيروگاه بوشهر"</f>
        <v>پروژه بهره برداري نيروگاه بوشهر</v>
      </c>
      <c r="F674" s="1">
        <v>15006305</v>
      </c>
      <c r="G674" s="1">
        <v>6902286</v>
      </c>
      <c r="H674" s="1">
        <v>5031600</v>
      </c>
      <c r="I674" s="1">
        <v>11814367</v>
      </c>
      <c r="J674" s="1">
        <v>0</v>
      </c>
      <c r="K674" s="1">
        <v>5500000</v>
      </c>
      <c r="L674" s="1">
        <v>0</v>
      </c>
      <c r="M674" s="1">
        <v>400000</v>
      </c>
      <c r="N674" s="1">
        <v>2479224</v>
      </c>
      <c r="O674" s="1">
        <v>0</v>
      </c>
      <c r="P674" s="1">
        <v>0</v>
      </c>
      <c r="Q674" s="1">
        <v>0</v>
      </c>
      <c r="R674" s="1">
        <v>0</v>
      </c>
      <c r="S674" s="1">
        <v>2034000</v>
      </c>
      <c r="T674" s="1">
        <v>1270000</v>
      </c>
      <c r="U674" s="1">
        <v>0</v>
      </c>
      <c r="V674" s="1">
        <v>12009094</v>
      </c>
      <c r="W674" s="1">
        <v>1100000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1770874</v>
      </c>
      <c r="AF674" s="1">
        <v>2222538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4250098</v>
      </c>
      <c r="AM674" s="1">
        <v>0</v>
      </c>
      <c r="AN674" s="1">
        <v>71790386</v>
      </c>
      <c r="AO674" s="1">
        <v>12816835</v>
      </c>
      <c r="AP674" s="1">
        <v>58973551</v>
      </c>
      <c r="AQ674" s="1">
        <v>12246450</v>
      </c>
      <c r="AR674" s="1">
        <v>1836967</v>
      </c>
      <c r="AS674" s="1">
        <v>0</v>
      </c>
      <c r="AT674" s="1">
        <f t="shared" si="71"/>
        <v>85873803</v>
      </c>
    </row>
    <row r="675" spans="1:46">
      <c r="A675" s="1" t="str">
        <f>"00765"</f>
        <v>00765</v>
      </c>
      <c r="B675" s="1" t="str">
        <f>"فرخ"</f>
        <v>فرخ</v>
      </c>
      <c r="C675" s="1" t="str">
        <f>"يگانه"</f>
        <v>يگانه</v>
      </c>
      <c r="D675" s="1" t="str">
        <f>"قراردادي کارگري"</f>
        <v>قراردادي کارگري</v>
      </c>
      <c r="E675" s="1" t="str">
        <f>"پروژه تعميرات نيروگاه بوشهر"</f>
        <v>پروژه تعميرات نيروگاه بوشهر</v>
      </c>
      <c r="F675" s="1">
        <v>7759739</v>
      </c>
      <c r="G675" s="1">
        <v>8028404</v>
      </c>
      <c r="H675" s="1">
        <v>0</v>
      </c>
      <c r="I675" s="1">
        <v>5587012</v>
      </c>
      <c r="J675" s="1">
        <v>0</v>
      </c>
      <c r="K675" s="1">
        <v>0</v>
      </c>
      <c r="L675" s="1">
        <v>3620700</v>
      </c>
      <c r="M675" s="1">
        <v>400000</v>
      </c>
      <c r="N675" s="1">
        <v>4111120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5136625</v>
      </c>
      <c r="W675" s="1">
        <v>1100000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2222538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37966138</v>
      </c>
      <c r="AO675" s="1">
        <v>8981560</v>
      </c>
      <c r="AP675" s="1">
        <v>28984578</v>
      </c>
      <c r="AQ675" s="1">
        <v>7148720</v>
      </c>
      <c r="AR675" s="1">
        <v>1072308</v>
      </c>
      <c r="AS675" s="1">
        <v>1060000</v>
      </c>
      <c r="AT675" s="1">
        <f t="shared" si="71"/>
        <v>47247166</v>
      </c>
    </row>
    <row r="676" spans="1:46">
      <c r="A676" s="1" t="str">
        <f>"00767"</f>
        <v>00767</v>
      </c>
      <c r="B676" s="1" t="str">
        <f>"محمد سعيد"</f>
        <v>محمد سعيد</v>
      </c>
      <c r="C676" s="1" t="str">
        <f>"احتشامي نيا"</f>
        <v>احتشامي نيا</v>
      </c>
      <c r="D676" s="1" t="str">
        <f t="shared" ref="D676:D687" si="75">"قراردادي بهره بردار"</f>
        <v>قراردادي بهره بردار</v>
      </c>
      <c r="E676" s="1" t="str">
        <f t="shared" ref="E676:E687" si="76">"پروژه بهره برداري نيروگاه بوشهر"</f>
        <v>پروژه بهره برداري نيروگاه بوشهر</v>
      </c>
      <c r="F676" s="1">
        <v>11490972</v>
      </c>
      <c r="G676" s="1">
        <v>23841989</v>
      </c>
      <c r="H676" s="1">
        <v>0</v>
      </c>
      <c r="I676" s="1">
        <v>9502349</v>
      </c>
      <c r="J676" s="1">
        <v>0</v>
      </c>
      <c r="K676" s="1">
        <v>3465000</v>
      </c>
      <c r="L676" s="1">
        <v>0</v>
      </c>
      <c r="M676" s="1">
        <v>400000</v>
      </c>
      <c r="N676" s="1">
        <v>2124145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1270000</v>
      </c>
      <c r="U676" s="1">
        <v>0</v>
      </c>
      <c r="V676" s="1">
        <v>10520459</v>
      </c>
      <c r="W676" s="1">
        <v>1100000</v>
      </c>
      <c r="X676" s="1">
        <v>1723646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1517245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9030756</v>
      </c>
      <c r="AM676" s="1">
        <v>0</v>
      </c>
      <c r="AN676" s="1">
        <v>75986561</v>
      </c>
      <c r="AO676" s="1">
        <v>11747279</v>
      </c>
      <c r="AP676" s="1">
        <v>64239282</v>
      </c>
      <c r="AQ676" s="1">
        <v>14943312</v>
      </c>
      <c r="AR676" s="1">
        <v>2241497</v>
      </c>
      <c r="AS676" s="1">
        <v>0</v>
      </c>
      <c r="AT676" s="1">
        <f t="shared" si="71"/>
        <v>93171370</v>
      </c>
    </row>
    <row r="677" spans="1:46">
      <c r="A677" s="1" t="str">
        <f>"00768"</f>
        <v>00768</v>
      </c>
      <c r="B677" s="1" t="str">
        <f>"کسري"</f>
        <v>کسري</v>
      </c>
      <c r="C677" s="1" t="str">
        <f>"اشتري"</f>
        <v>اشتري</v>
      </c>
      <c r="D677" s="1" t="str">
        <f t="shared" si="75"/>
        <v>قراردادي بهره بردار</v>
      </c>
      <c r="E677" s="1" t="str">
        <f t="shared" si="76"/>
        <v>پروژه بهره برداري نيروگاه بوشهر</v>
      </c>
      <c r="F677" s="1">
        <v>11133016</v>
      </c>
      <c r="G677" s="1">
        <v>2640845</v>
      </c>
      <c r="H677" s="1">
        <v>0</v>
      </c>
      <c r="I677" s="1">
        <v>8246739</v>
      </c>
      <c r="J677" s="1">
        <v>0</v>
      </c>
      <c r="K677" s="1">
        <v>3465000</v>
      </c>
      <c r="L677" s="1">
        <v>0</v>
      </c>
      <c r="M677" s="1">
        <v>400000</v>
      </c>
      <c r="N677" s="1">
        <v>1963869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1270000</v>
      </c>
      <c r="U677" s="1">
        <v>0</v>
      </c>
      <c r="V677" s="1">
        <v>6652158</v>
      </c>
      <c r="W677" s="1">
        <v>1100000</v>
      </c>
      <c r="X677" s="1">
        <v>1669952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1402764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6818759</v>
      </c>
      <c r="AM677" s="1">
        <v>0</v>
      </c>
      <c r="AN677" s="1">
        <v>46763102</v>
      </c>
      <c r="AO677" s="1">
        <v>8231507</v>
      </c>
      <c r="AP677" s="1">
        <v>38531595</v>
      </c>
      <c r="AQ677" s="1">
        <v>9098620</v>
      </c>
      <c r="AR677" s="1">
        <v>1364793</v>
      </c>
      <c r="AS677" s="1">
        <v>0</v>
      </c>
      <c r="AT677" s="1">
        <f t="shared" si="71"/>
        <v>57226515</v>
      </c>
    </row>
    <row r="678" spans="1:46">
      <c r="A678" s="1" t="str">
        <f>"00769"</f>
        <v>00769</v>
      </c>
      <c r="B678" s="1" t="str">
        <f>"مرتضي"</f>
        <v>مرتضي</v>
      </c>
      <c r="C678" s="1" t="str">
        <f>"ايمري"</f>
        <v>ايمري</v>
      </c>
      <c r="D678" s="1" t="str">
        <f t="shared" si="75"/>
        <v>قراردادي بهره بردار</v>
      </c>
      <c r="E678" s="1" t="str">
        <f t="shared" si="76"/>
        <v>پروژه بهره برداري نيروگاه بوشهر</v>
      </c>
      <c r="F678" s="1">
        <v>11055695</v>
      </c>
      <c r="G678" s="1">
        <v>3685903</v>
      </c>
      <c r="H678" s="1">
        <v>0</v>
      </c>
      <c r="I678" s="1">
        <v>8080642</v>
      </c>
      <c r="J678" s="1">
        <v>0</v>
      </c>
      <c r="K678" s="1">
        <v>4620000</v>
      </c>
      <c r="L678" s="1">
        <v>0</v>
      </c>
      <c r="M678" s="1">
        <v>400000</v>
      </c>
      <c r="N678" s="1">
        <v>1962629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12718250</v>
      </c>
      <c r="W678" s="1">
        <v>1100000</v>
      </c>
      <c r="X678" s="1">
        <v>1658354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1401878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6905516</v>
      </c>
      <c r="AM678" s="1">
        <v>0</v>
      </c>
      <c r="AN678" s="1">
        <v>53588867</v>
      </c>
      <c r="AO678" s="1">
        <v>13203190</v>
      </c>
      <c r="AP678" s="1">
        <v>40385677</v>
      </c>
      <c r="AQ678" s="1">
        <v>10717773</v>
      </c>
      <c r="AR678" s="1">
        <v>1607666</v>
      </c>
      <c r="AS678" s="1">
        <v>0</v>
      </c>
      <c r="AT678" s="1">
        <f t="shared" si="71"/>
        <v>65914306</v>
      </c>
    </row>
    <row r="679" spans="1:46">
      <c r="A679" s="1" t="str">
        <f>"00770"</f>
        <v>00770</v>
      </c>
      <c r="B679" s="1" t="str">
        <f>"حميد"</f>
        <v>حميد</v>
      </c>
      <c r="C679" s="1" t="str">
        <f>"آل عبدي"</f>
        <v>آل عبدي</v>
      </c>
      <c r="D679" s="1" t="str">
        <f t="shared" si="75"/>
        <v>قراردادي بهره بردار</v>
      </c>
      <c r="E679" s="1" t="str">
        <f t="shared" si="76"/>
        <v>پروژه بهره برداري نيروگاه بوشهر</v>
      </c>
      <c r="F679" s="1">
        <v>15432552</v>
      </c>
      <c r="G679" s="1">
        <v>2833292</v>
      </c>
      <c r="H679" s="1">
        <v>0</v>
      </c>
      <c r="I679" s="1">
        <v>12125720</v>
      </c>
      <c r="J679" s="1">
        <v>0</v>
      </c>
      <c r="K679" s="1">
        <v>5500000</v>
      </c>
      <c r="L679" s="1">
        <v>0</v>
      </c>
      <c r="M679" s="1">
        <v>400000</v>
      </c>
      <c r="N679" s="1">
        <v>2636950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8095119</v>
      </c>
      <c r="W679" s="1">
        <v>1100000</v>
      </c>
      <c r="X679" s="1">
        <v>2314883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1883535</v>
      </c>
      <c r="AF679" s="1">
        <v>1111269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8396838</v>
      </c>
      <c r="AM679" s="1">
        <v>0</v>
      </c>
      <c r="AN679" s="1">
        <v>61830158</v>
      </c>
      <c r="AO679" s="1">
        <v>8496797</v>
      </c>
      <c r="AP679" s="1">
        <v>53333361</v>
      </c>
      <c r="AQ679" s="1">
        <v>12143778</v>
      </c>
      <c r="AR679" s="1">
        <v>1821567</v>
      </c>
      <c r="AS679" s="1">
        <v>0</v>
      </c>
      <c r="AT679" s="1">
        <f t="shared" si="71"/>
        <v>75795503</v>
      </c>
    </row>
    <row r="680" spans="1:46">
      <c r="A680" s="1" t="str">
        <f>"00771"</f>
        <v>00771</v>
      </c>
      <c r="B680" s="1" t="str">
        <f>"عبيد"</f>
        <v>عبيد</v>
      </c>
      <c r="C680" s="1" t="str">
        <f>"بابائي"</f>
        <v>بابائي</v>
      </c>
      <c r="D680" s="1" t="str">
        <f t="shared" si="75"/>
        <v>قراردادي بهره بردار</v>
      </c>
      <c r="E680" s="1" t="str">
        <f t="shared" si="76"/>
        <v>پروژه بهره برداري نيروگاه بوشهر</v>
      </c>
      <c r="F680" s="1">
        <v>11112690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400000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>
        <v>1100000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-2386729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-2688050</v>
      </c>
      <c r="AK680" s="1">
        <v>0</v>
      </c>
      <c r="AL680" s="1">
        <v>0</v>
      </c>
      <c r="AM680" s="1">
        <v>0</v>
      </c>
      <c r="AN680" s="1">
        <v>7537911</v>
      </c>
      <c r="AO680" s="1">
        <v>1170139</v>
      </c>
      <c r="AP680" s="1">
        <v>6367772</v>
      </c>
      <c r="AQ680" s="1">
        <v>1507582</v>
      </c>
      <c r="AR680" s="1">
        <v>226138</v>
      </c>
      <c r="AS680" s="1">
        <v>265000</v>
      </c>
      <c r="AT680" s="1">
        <f t="shared" si="71"/>
        <v>9536631</v>
      </c>
    </row>
    <row r="681" spans="1:46">
      <c r="A681" s="1" t="str">
        <f>"00772"</f>
        <v>00772</v>
      </c>
      <c r="B681" s="1" t="str">
        <f>"عباس"</f>
        <v>عباس</v>
      </c>
      <c r="C681" s="1" t="str">
        <f>"بيات"</f>
        <v>بيات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11495790</v>
      </c>
      <c r="G681" s="1">
        <v>14269781</v>
      </c>
      <c r="H681" s="1">
        <v>0</v>
      </c>
      <c r="I681" s="1">
        <v>9769698</v>
      </c>
      <c r="J681" s="1">
        <v>0</v>
      </c>
      <c r="K681" s="1">
        <v>4620000</v>
      </c>
      <c r="L681" s="1">
        <v>0</v>
      </c>
      <c r="M681" s="1">
        <v>400000</v>
      </c>
      <c r="N681" s="1">
        <v>2127140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1270000</v>
      </c>
      <c r="U681" s="1">
        <v>0</v>
      </c>
      <c r="V681" s="1">
        <v>10525148</v>
      </c>
      <c r="W681" s="1">
        <v>1100000</v>
      </c>
      <c r="X681" s="1">
        <v>1724369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1519385</v>
      </c>
      <c r="AF681" s="1">
        <v>1111269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9040077</v>
      </c>
      <c r="AM681" s="1">
        <v>0</v>
      </c>
      <c r="AN681" s="1">
        <v>68972657</v>
      </c>
      <c r="AO681" s="1">
        <v>12095526</v>
      </c>
      <c r="AP681" s="1">
        <v>56877131</v>
      </c>
      <c r="AQ681" s="1">
        <v>13318278</v>
      </c>
      <c r="AR681" s="1">
        <v>1997742</v>
      </c>
      <c r="AS681" s="1">
        <v>0</v>
      </c>
      <c r="AT681" s="1">
        <f t="shared" si="71"/>
        <v>84288677</v>
      </c>
    </row>
    <row r="682" spans="1:46">
      <c r="A682" s="1" t="str">
        <f>"00773"</f>
        <v>00773</v>
      </c>
      <c r="B682" s="1" t="str">
        <f>"بهنام"</f>
        <v>بهنام</v>
      </c>
      <c r="C682" s="1" t="str">
        <f>"داسمه"</f>
        <v>داسمه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11839050</v>
      </c>
      <c r="G682" s="1">
        <v>11721446</v>
      </c>
      <c r="H682" s="1">
        <v>0</v>
      </c>
      <c r="I682" s="1">
        <v>9881427</v>
      </c>
      <c r="J682" s="1">
        <v>0</v>
      </c>
      <c r="K682" s="1">
        <v>4620000</v>
      </c>
      <c r="L682" s="1">
        <v>0</v>
      </c>
      <c r="M682" s="1">
        <v>400000</v>
      </c>
      <c r="N682" s="1">
        <v>2253830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1270000</v>
      </c>
      <c r="U682" s="1">
        <v>0</v>
      </c>
      <c r="V682" s="1">
        <v>10868679</v>
      </c>
      <c r="W682" s="1">
        <v>1100000</v>
      </c>
      <c r="X682" s="1">
        <v>1775858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1609878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9476067</v>
      </c>
      <c r="AM682" s="1">
        <v>0</v>
      </c>
      <c r="AN682" s="1">
        <v>66816235</v>
      </c>
      <c r="AO682" s="1">
        <v>15518187</v>
      </c>
      <c r="AP682" s="1">
        <v>51298048</v>
      </c>
      <c r="AQ682" s="1">
        <v>13109247</v>
      </c>
      <c r="AR682" s="1">
        <v>1966387</v>
      </c>
      <c r="AS682" s="1">
        <v>0</v>
      </c>
      <c r="AT682" s="1">
        <f t="shared" si="71"/>
        <v>81891869</v>
      </c>
    </row>
    <row r="683" spans="1:46">
      <c r="A683" s="1" t="str">
        <f>"00774"</f>
        <v>00774</v>
      </c>
      <c r="B683" s="1" t="str">
        <f>"رضا"</f>
        <v>رضا</v>
      </c>
      <c r="C683" s="1" t="str">
        <f>"درکهء"</f>
        <v>درکهء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10825167</v>
      </c>
      <c r="G683" s="1">
        <v>3633988</v>
      </c>
      <c r="H683" s="1">
        <v>0</v>
      </c>
      <c r="I683" s="1">
        <v>7941923</v>
      </c>
      <c r="J683" s="1">
        <v>0</v>
      </c>
      <c r="K683" s="1">
        <v>4620000</v>
      </c>
      <c r="L683" s="1">
        <v>0</v>
      </c>
      <c r="M683" s="1">
        <v>400000</v>
      </c>
      <c r="N683" s="1">
        <v>1843398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1270000</v>
      </c>
      <c r="U683" s="1">
        <v>0</v>
      </c>
      <c r="V683" s="1">
        <v>7716371</v>
      </c>
      <c r="W683" s="1">
        <v>1100000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1316714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3581460</v>
      </c>
      <c r="AM683" s="1">
        <v>0</v>
      </c>
      <c r="AN683" s="1">
        <v>44249021</v>
      </c>
      <c r="AO683" s="1">
        <v>9537141</v>
      </c>
      <c r="AP683" s="1">
        <v>34711880</v>
      </c>
      <c r="AQ683" s="1">
        <v>8595804</v>
      </c>
      <c r="AR683" s="1">
        <v>1289371</v>
      </c>
      <c r="AS683" s="1">
        <v>0</v>
      </c>
      <c r="AT683" s="1">
        <f t="shared" si="71"/>
        <v>54134196</v>
      </c>
    </row>
    <row r="684" spans="1:46">
      <c r="A684" s="1" t="str">
        <f>"00775"</f>
        <v>00775</v>
      </c>
      <c r="B684" s="1" t="str">
        <f>"محسن"</f>
        <v>محسن</v>
      </c>
      <c r="C684" s="1" t="str">
        <f>"رشيدي کوچي"</f>
        <v>رشيدي کوچي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11529733</v>
      </c>
      <c r="G684" s="1">
        <v>8651046</v>
      </c>
      <c r="H684" s="1">
        <v>0</v>
      </c>
      <c r="I684" s="1">
        <v>9448344</v>
      </c>
      <c r="J684" s="1">
        <v>0</v>
      </c>
      <c r="K684" s="1">
        <v>4620000</v>
      </c>
      <c r="L684" s="1">
        <v>0</v>
      </c>
      <c r="M684" s="1">
        <v>400000</v>
      </c>
      <c r="N684" s="1">
        <v>2117315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1270000</v>
      </c>
      <c r="U684" s="1">
        <v>0</v>
      </c>
      <c r="V684" s="1">
        <v>9979311</v>
      </c>
      <c r="W684" s="1">
        <v>1100000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1512368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4960567</v>
      </c>
      <c r="AM684" s="1">
        <v>0</v>
      </c>
      <c r="AN684" s="1">
        <v>55588684</v>
      </c>
      <c r="AO684" s="1">
        <v>11401888</v>
      </c>
      <c r="AP684" s="1">
        <v>44186796</v>
      </c>
      <c r="AQ684" s="1">
        <v>10863737</v>
      </c>
      <c r="AR684" s="1">
        <v>1629561</v>
      </c>
      <c r="AS684" s="1">
        <v>0</v>
      </c>
      <c r="AT684" s="1">
        <f t="shared" si="71"/>
        <v>68081982</v>
      </c>
    </row>
    <row r="685" spans="1:46">
      <c r="A685" s="1" t="str">
        <f>"00776"</f>
        <v>00776</v>
      </c>
      <c r="B685" s="1" t="str">
        <f>"مرتضي"</f>
        <v>مرتضي</v>
      </c>
      <c r="C685" s="1" t="str">
        <f>"زائري"</f>
        <v>زائري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10282511</v>
      </c>
      <c r="G685" s="1">
        <v>5481579</v>
      </c>
      <c r="H685" s="1">
        <v>0</v>
      </c>
      <c r="I685" s="1">
        <v>6947859</v>
      </c>
      <c r="J685" s="1">
        <v>0</v>
      </c>
      <c r="K685" s="1">
        <v>4620000</v>
      </c>
      <c r="L685" s="1">
        <v>0</v>
      </c>
      <c r="M685" s="1">
        <v>400000</v>
      </c>
      <c r="N685" s="1">
        <v>1672180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1270000</v>
      </c>
      <c r="U685" s="1">
        <v>0</v>
      </c>
      <c r="V685" s="1">
        <v>11348549</v>
      </c>
      <c r="W685" s="1">
        <v>1100000</v>
      </c>
      <c r="X685" s="1">
        <v>1542377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1194415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6142455</v>
      </c>
      <c r="AM685" s="1">
        <v>0</v>
      </c>
      <c r="AN685" s="1">
        <v>52001925</v>
      </c>
      <c r="AO685" s="1">
        <v>10140963</v>
      </c>
      <c r="AP685" s="1">
        <v>41860962</v>
      </c>
      <c r="AQ685" s="1">
        <v>10146385</v>
      </c>
      <c r="AR685" s="1">
        <v>1521958</v>
      </c>
      <c r="AS685" s="1">
        <v>0</v>
      </c>
      <c r="AT685" s="1">
        <f t="shared" si="71"/>
        <v>63670268</v>
      </c>
    </row>
    <row r="686" spans="1:46">
      <c r="A686" s="1" t="str">
        <f>"00777"</f>
        <v>00777</v>
      </c>
      <c r="B686" s="1" t="str">
        <f>"محمدجواد"</f>
        <v>محمدجواد</v>
      </c>
      <c r="C686" s="1" t="str">
        <f>"صابري نژاد"</f>
        <v>صابري نژاد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13279621</v>
      </c>
      <c r="G686" s="1">
        <v>4170682</v>
      </c>
      <c r="H686" s="1">
        <v>0</v>
      </c>
      <c r="I686" s="1">
        <v>11367842</v>
      </c>
      <c r="J686" s="1">
        <v>0</v>
      </c>
      <c r="K686" s="1">
        <v>0</v>
      </c>
      <c r="L686" s="1">
        <v>0</v>
      </c>
      <c r="M686" s="1">
        <v>400000</v>
      </c>
      <c r="N686" s="1">
        <v>2566827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1270000</v>
      </c>
      <c r="U686" s="1">
        <v>0</v>
      </c>
      <c r="V686" s="1">
        <v>8912956</v>
      </c>
      <c r="W686" s="1">
        <v>1100000</v>
      </c>
      <c r="X686" s="1">
        <v>1991943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1833447</v>
      </c>
      <c r="AF686" s="1">
        <v>2222538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9704243</v>
      </c>
      <c r="AM686" s="1">
        <v>0</v>
      </c>
      <c r="AN686" s="1">
        <v>58820099</v>
      </c>
      <c r="AO686" s="1">
        <v>10792347</v>
      </c>
      <c r="AP686" s="1">
        <v>48027752</v>
      </c>
      <c r="AQ686" s="1">
        <v>11065512</v>
      </c>
      <c r="AR686" s="1">
        <v>1659827</v>
      </c>
      <c r="AS686" s="1">
        <v>0</v>
      </c>
      <c r="AT686" s="1">
        <f t="shared" si="71"/>
        <v>71545438</v>
      </c>
    </row>
    <row r="687" spans="1:46">
      <c r="A687" s="1" t="str">
        <f>"00778"</f>
        <v>00778</v>
      </c>
      <c r="B687" s="1" t="str">
        <f>"محمود"</f>
        <v>محمود</v>
      </c>
      <c r="C687" s="1" t="str">
        <f>"عبدلي نديکي"</f>
        <v>عبدلي نديکي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11100887</v>
      </c>
      <c r="G687" s="1">
        <v>5633622</v>
      </c>
      <c r="H687" s="1">
        <v>0</v>
      </c>
      <c r="I687" s="1">
        <v>8510483</v>
      </c>
      <c r="J687" s="1">
        <v>0</v>
      </c>
      <c r="K687" s="1">
        <v>4620000</v>
      </c>
      <c r="L687" s="1">
        <v>0</v>
      </c>
      <c r="M687" s="1">
        <v>400000</v>
      </c>
      <c r="N687" s="1">
        <v>1982001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1270000</v>
      </c>
      <c r="U687" s="1">
        <v>0</v>
      </c>
      <c r="V687" s="1">
        <v>12959250</v>
      </c>
      <c r="W687" s="1">
        <v>1100000</v>
      </c>
      <c r="X687" s="1">
        <v>1665133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1415715</v>
      </c>
      <c r="AF687" s="1">
        <v>2222538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6954497</v>
      </c>
      <c r="AM687" s="1">
        <v>0</v>
      </c>
      <c r="AN687" s="1">
        <v>59834126</v>
      </c>
      <c r="AO687" s="1">
        <v>9418537</v>
      </c>
      <c r="AP687" s="1">
        <v>50415589</v>
      </c>
      <c r="AQ687" s="1">
        <v>11268318</v>
      </c>
      <c r="AR687" s="1">
        <v>1690248</v>
      </c>
      <c r="AS687" s="1">
        <v>0</v>
      </c>
      <c r="AT687" s="1">
        <f t="shared" si="71"/>
        <v>72792692</v>
      </c>
    </row>
    <row r="688" spans="1:46">
      <c r="A688" s="1" t="str">
        <f>"00779"</f>
        <v>00779</v>
      </c>
      <c r="B688" s="1" t="str">
        <f>"سيدمجتبي"</f>
        <v>سيدمجتبي</v>
      </c>
      <c r="C688" s="1" t="str">
        <f>"علي زاده"</f>
        <v>علي زاده</v>
      </c>
      <c r="D688" s="1" t="str">
        <f>"قراردادي کارگري"</f>
        <v>قراردادي کارگري</v>
      </c>
      <c r="E688" s="1" t="str">
        <f>"پروژه تعميرات نيروگاه بوشهر"</f>
        <v>پروژه تعميرات نيروگاه بوشهر</v>
      </c>
      <c r="F688" s="1">
        <v>5181927</v>
      </c>
      <c r="G688" s="1">
        <v>2369806</v>
      </c>
      <c r="H688" s="1">
        <v>0</v>
      </c>
      <c r="I688" s="1">
        <v>3782807</v>
      </c>
      <c r="J688" s="1">
        <v>0</v>
      </c>
      <c r="K688" s="1">
        <v>0</v>
      </c>
      <c r="L688" s="1">
        <v>3620700</v>
      </c>
      <c r="M688" s="1">
        <v>400000</v>
      </c>
      <c r="N688" s="1">
        <v>2745392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3786936</v>
      </c>
      <c r="W688" s="1">
        <v>1100000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2299624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2676487</v>
      </c>
      <c r="AK688" s="1">
        <v>0</v>
      </c>
      <c r="AL688" s="1">
        <v>0</v>
      </c>
      <c r="AM688" s="1">
        <v>0</v>
      </c>
      <c r="AN688" s="1">
        <v>27963679</v>
      </c>
      <c r="AO688" s="1">
        <v>5519021</v>
      </c>
      <c r="AP688" s="1">
        <v>22444658</v>
      </c>
      <c r="AQ688" s="1">
        <v>5592736</v>
      </c>
      <c r="AR688" s="1">
        <v>838910</v>
      </c>
      <c r="AS688" s="1">
        <v>300000</v>
      </c>
      <c r="AT688" s="1">
        <f t="shared" si="71"/>
        <v>34695325</v>
      </c>
    </row>
    <row r="689" spans="1:46">
      <c r="A689" s="1" t="str">
        <f>"00780"</f>
        <v>00780</v>
      </c>
      <c r="B689" s="1" t="str">
        <f>"حسين"</f>
        <v>حسين</v>
      </c>
      <c r="C689" s="1" t="str">
        <f>"فردين پور"</f>
        <v>فردين پور</v>
      </c>
      <c r="D689" s="1" t="str">
        <f t="shared" ref="D689:D718" si="77">"قراردادي بهره بردار"</f>
        <v>قراردادي بهره بردار</v>
      </c>
      <c r="E689" s="1" t="str">
        <f t="shared" ref="E689:E717" si="78">"پروژه بهره برداري نيروگاه بوشهر"</f>
        <v>پروژه بهره برداري نيروگاه بوشهر</v>
      </c>
      <c r="F689" s="1">
        <v>10220626</v>
      </c>
      <c r="G689" s="1">
        <v>4721483</v>
      </c>
      <c r="H689" s="1">
        <v>0</v>
      </c>
      <c r="I689" s="1">
        <v>7114525</v>
      </c>
      <c r="J689" s="1">
        <v>0</v>
      </c>
      <c r="K689" s="1">
        <v>3465000</v>
      </c>
      <c r="L689" s="1">
        <v>0</v>
      </c>
      <c r="M689" s="1">
        <v>400000</v>
      </c>
      <c r="N689" s="1">
        <v>1652766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11312984</v>
      </c>
      <c r="W689" s="1">
        <v>1100000</v>
      </c>
      <c r="X689" s="1">
        <v>1533094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1180547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6607829</v>
      </c>
      <c r="AM689" s="1">
        <v>0</v>
      </c>
      <c r="AN689" s="1">
        <v>49308854</v>
      </c>
      <c r="AO689" s="1">
        <v>9539451</v>
      </c>
      <c r="AP689" s="1">
        <v>39769403</v>
      </c>
      <c r="AQ689" s="1">
        <v>9861771</v>
      </c>
      <c r="AR689" s="1">
        <v>1479266</v>
      </c>
      <c r="AS689" s="1">
        <v>0</v>
      </c>
      <c r="AT689" s="1">
        <f t="shared" si="71"/>
        <v>60649891</v>
      </c>
    </row>
    <row r="690" spans="1:46">
      <c r="A690" s="1" t="str">
        <f>"00781"</f>
        <v>00781</v>
      </c>
      <c r="B690" s="1" t="str">
        <f>"محسن"</f>
        <v>محسن</v>
      </c>
      <c r="C690" s="1" t="str">
        <f>"فلاح زاده ابرقويي"</f>
        <v>فلاح زاده ابرقويي</v>
      </c>
      <c r="D690" s="1" t="str">
        <f t="shared" si="77"/>
        <v>قراردادي بهره بردار</v>
      </c>
      <c r="E690" s="1" t="str">
        <f t="shared" si="78"/>
        <v>پروژه بهره برداري نيروگاه بوشهر</v>
      </c>
      <c r="F690" s="1">
        <v>11224098</v>
      </c>
      <c r="G690" s="1">
        <v>2388433</v>
      </c>
      <c r="H690" s="1">
        <v>0</v>
      </c>
      <c r="I690" s="1">
        <v>8159145</v>
      </c>
      <c r="J690" s="1">
        <v>0</v>
      </c>
      <c r="K690" s="1">
        <v>4620000</v>
      </c>
      <c r="L690" s="1">
        <v>0</v>
      </c>
      <c r="M690" s="1">
        <v>400000</v>
      </c>
      <c r="N690" s="1">
        <v>1996683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1270000</v>
      </c>
      <c r="U690" s="1">
        <v>0</v>
      </c>
      <c r="V690" s="1">
        <v>6684826</v>
      </c>
      <c r="W690" s="1">
        <v>1100000</v>
      </c>
      <c r="X690" s="1">
        <v>1683615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1426203</v>
      </c>
      <c r="AF690" s="1">
        <v>1111269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6904211</v>
      </c>
      <c r="AM690" s="1">
        <v>0</v>
      </c>
      <c r="AN690" s="1">
        <v>48968483</v>
      </c>
      <c r="AO690" s="1">
        <v>11438205</v>
      </c>
      <c r="AP690" s="1">
        <v>37530278</v>
      </c>
      <c r="AQ690" s="1">
        <v>9317443</v>
      </c>
      <c r="AR690" s="1">
        <v>1397616</v>
      </c>
      <c r="AS690" s="1">
        <v>0</v>
      </c>
      <c r="AT690" s="1">
        <f t="shared" si="71"/>
        <v>59683542</v>
      </c>
    </row>
    <row r="691" spans="1:46">
      <c r="A691" s="1" t="str">
        <f>"00782"</f>
        <v>00782</v>
      </c>
      <c r="B691" s="1" t="str">
        <f>"ميثم"</f>
        <v>ميثم</v>
      </c>
      <c r="C691" s="1" t="str">
        <f>"قلاوند"</f>
        <v>قلاوند</v>
      </c>
      <c r="D691" s="1" t="str">
        <f t="shared" si="77"/>
        <v>قراردادي بهره بردار</v>
      </c>
      <c r="E691" s="1" t="str">
        <f t="shared" si="78"/>
        <v>پروژه بهره برداري نيروگاه بوشهر</v>
      </c>
      <c r="F691" s="1">
        <v>10477641</v>
      </c>
      <c r="G691" s="1">
        <v>6806785</v>
      </c>
      <c r="H691" s="1">
        <v>0</v>
      </c>
      <c r="I691" s="1">
        <v>7345396</v>
      </c>
      <c r="J691" s="1">
        <v>0</v>
      </c>
      <c r="K691" s="1">
        <v>4620000</v>
      </c>
      <c r="L691" s="1">
        <v>0</v>
      </c>
      <c r="M691" s="1">
        <v>400000</v>
      </c>
      <c r="N691" s="1">
        <v>1746089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1270000</v>
      </c>
      <c r="U691" s="1">
        <v>0</v>
      </c>
      <c r="V691" s="1">
        <v>11743445</v>
      </c>
      <c r="W691" s="1">
        <v>1100000</v>
      </c>
      <c r="X691" s="1">
        <v>1571646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1247206</v>
      </c>
      <c r="AF691" s="1">
        <v>1111269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6336140</v>
      </c>
      <c r="AM691" s="1">
        <v>0</v>
      </c>
      <c r="AN691" s="1">
        <v>55775617</v>
      </c>
      <c r="AO691" s="1">
        <v>13115410</v>
      </c>
      <c r="AP691" s="1">
        <v>42660207</v>
      </c>
      <c r="AQ691" s="1">
        <v>10678870</v>
      </c>
      <c r="AR691" s="1">
        <v>1601830</v>
      </c>
      <c r="AS691" s="1">
        <v>0</v>
      </c>
      <c r="AT691" s="1">
        <f t="shared" si="71"/>
        <v>68056317</v>
      </c>
    </row>
    <row r="692" spans="1:46">
      <c r="A692" s="1" t="str">
        <f>"00783"</f>
        <v>00783</v>
      </c>
      <c r="B692" s="1" t="str">
        <f>"رضا"</f>
        <v>رضا</v>
      </c>
      <c r="C692" s="1" t="str">
        <f>"قيطاسي"</f>
        <v>قيطاسي</v>
      </c>
      <c r="D692" s="1" t="str">
        <f t="shared" si="77"/>
        <v>قراردادي بهره بردار</v>
      </c>
      <c r="E692" s="1" t="str">
        <f t="shared" si="78"/>
        <v>پروژه بهره برداري نيروگاه بوشهر</v>
      </c>
      <c r="F692" s="1">
        <v>11009450</v>
      </c>
      <c r="G692" s="1">
        <v>2661206</v>
      </c>
      <c r="H692" s="1">
        <v>0</v>
      </c>
      <c r="I692" s="1">
        <v>7747105</v>
      </c>
      <c r="J692" s="1">
        <v>0</v>
      </c>
      <c r="K692" s="1">
        <v>3465000</v>
      </c>
      <c r="L692" s="1">
        <v>0</v>
      </c>
      <c r="M692" s="1">
        <v>400000</v>
      </c>
      <c r="N692" s="1">
        <v>1939519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11842533</v>
      </c>
      <c r="W692" s="1">
        <v>1100000</v>
      </c>
      <c r="X692" s="1">
        <v>1651418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1385371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6627726</v>
      </c>
      <c r="AM692" s="1">
        <v>0</v>
      </c>
      <c r="AN692" s="1">
        <v>49829328</v>
      </c>
      <c r="AO692" s="1">
        <v>8086224</v>
      </c>
      <c r="AP692" s="1">
        <v>41743104</v>
      </c>
      <c r="AQ692" s="1">
        <v>9965866</v>
      </c>
      <c r="AR692" s="1">
        <v>1494880</v>
      </c>
      <c r="AS692" s="1">
        <v>0</v>
      </c>
      <c r="AT692" s="1">
        <f t="shared" si="71"/>
        <v>61290074</v>
      </c>
    </row>
    <row r="693" spans="1:46">
      <c r="A693" s="1" t="str">
        <f>"00784"</f>
        <v>00784</v>
      </c>
      <c r="B693" s="1" t="str">
        <f>"عباس"</f>
        <v>عباس</v>
      </c>
      <c r="C693" s="1" t="str">
        <f>"كاظمي"</f>
        <v>كاظمي</v>
      </c>
      <c r="D693" s="1" t="str">
        <f t="shared" si="77"/>
        <v>قراردادي بهره بردار</v>
      </c>
      <c r="E693" s="1" t="str">
        <f t="shared" si="78"/>
        <v>پروژه بهره برداري نيروگاه بوشهر</v>
      </c>
      <c r="F693" s="1">
        <v>11390532</v>
      </c>
      <c r="G693" s="1">
        <v>11362280</v>
      </c>
      <c r="H693" s="1">
        <v>0</v>
      </c>
      <c r="I693" s="1">
        <v>8871915</v>
      </c>
      <c r="J693" s="1">
        <v>0</v>
      </c>
      <c r="K693" s="1">
        <v>3465000</v>
      </c>
      <c r="L693" s="1">
        <v>0</v>
      </c>
      <c r="M693" s="1">
        <v>400000</v>
      </c>
      <c r="N693" s="1">
        <v>2065975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1270000</v>
      </c>
      <c r="U693" s="1">
        <v>0</v>
      </c>
      <c r="V693" s="1">
        <v>10311985</v>
      </c>
      <c r="W693" s="1">
        <v>1100000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1475696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4840284</v>
      </c>
      <c r="AM693" s="1">
        <v>0</v>
      </c>
      <c r="AN693" s="1">
        <v>56553667</v>
      </c>
      <c r="AO693" s="1">
        <v>10517763</v>
      </c>
      <c r="AP693" s="1">
        <v>46035904</v>
      </c>
      <c r="AQ693" s="1">
        <v>11056733</v>
      </c>
      <c r="AR693" s="1">
        <v>1658510</v>
      </c>
      <c r="AS693" s="1">
        <v>0</v>
      </c>
      <c r="AT693" s="1">
        <f t="shared" si="71"/>
        <v>69268910</v>
      </c>
    </row>
    <row r="694" spans="1:46">
      <c r="A694" s="1" t="str">
        <f>"00785"</f>
        <v>00785</v>
      </c>
      <c r="B694" s="1" t="str">
        <f>"عليرضا"</f>
        <v>عليرضا</v>
      </c>
      <c r="C694" s="1" t="str">
        <f>"كهن"</f>
        <v>كهن</v>
      </c>
      <c r="D694" s="1" t="str">
        <f t="shared" si="77"/>
        <v>قراردادي بهره بردار</v>
      </c>
      <c r="E694" s="1" t="str">
        <f t="shared" si="78"/>
        <v>پروژه بهره برداري نيروگاه بوشهر</v>
      </c>
      <c r="F694" s="1">
        <v>10696664</v>
      </c>
      <c r="G694" s="1">
        <v>2335618</v>
      </c>
      <c r="H694" s="1">
        <v>0</v>
      </c>
      <c r="I694" s="1">
        <v>7673705</v>
      </c>
      <c r="J694" s="1">
        <v>0</v>
      </c>
      <c r="K694" s="1">
        <v>4620000</v>
      </c>
      <c r="L694" s="1">
        <v>0</v>
      </c>
      <c r="M694" s="1">
        <v>400000</v>
      </c>
      <c r="N694" s="1">
        <v>1827799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12088615</v>
      </c>
      <c r="W694" s="1">
        <v>1100000</v>
      </c>
      <c r="X694" s="1">
        <v>1604500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1305571</v>
      </c>
      <c r="AF694" s="1">
        <v>1111269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6446814</v>
      </c>
      <c r="AM694" s="1">
        <v>0</v>
      </c>
      <c r="AN694" s="1">
        <v>51210555</v>
      </c>
      <c r="AO694" s="1">
        <v>9759968</v>
      </c>
      <c r="AP694" s="1">
        <v>41450587</v>
      </c>
      <c r="AQ694" s="1">
        <v>10019857</v>
      </c>
      <c r="AR694" s="1">
        <v>1502979</v>
      </c>
      <c r="AS694" s="1">
        <v>0</v>
      </c>
      <c r="AT694" s="1">
        <f t="shared" si="71"/>
        <v>62733391</v>
      </c>
    </row>
    <row r="695" spans="1:46">
      <c r="A695" s="1" t="str">
        <f>"00786"</f>
        <v>00786</v>
      </c>
      <c r="B695" s="1" t="str">
        <f>"اميد"</f>
        <v>اميد</v>
      </c>
      <c r="C695" s="1" t="str">
        <f>"گلمرزي الاصل"</f>
        <v>گلمرزي الاصل</v>
      </c>
      <c r="D695" s="1" t="str">
        <f t="shared" si="77"/>
        <v>قراردادي بهره بردار</v>
      </c>
      <c r="E695" s="1" t="str">
        <f t="shared" si="78"/>
        <v>پروژه بهره برداري نيروگاه بوشهر</v>
      </c>
      <c r="F695" s="1">
        <v>10501400</v>
      </c>
      <c r="G695" s="1">
        <v>12660075</v>
      </c>
      <c r="H695" s="1">
        <v>0</v>
      </c>
      <c r="I695" s="1">
        <v>7171482</v>
      </c>
      <c r="J695" s="1">
        <v>0</v>
      </c>
      <c r="K695" s="1">
        <v>4620000</v>
      </c>
      <c r="L695" s="1">
        <v>0</v>
      </c>
      <c r="M695" s="1">
        <v>400000</v>
      </c>
      <c r="N695" s="1">
        <v>1753095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1270000</v>
      </c>
      <c r="U695" s="1">
        <v>0</v>
      </c>
      <c r="V695" s="1">
        <v>11648994</v>
      </c>
      <c r="W695" s="1">
        <v>1100000</v>
      </c>
      <c r="X695" s="1">
        <v>1575210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1252211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6255903</v>
      </c>
      <c r="AM695" s="1">
        <v>0</v>
      </c>
      <c r="AN695" s="1">
        <v>60208370</v>
      </c>
      <c r="AO695" s="1">
        <v>11058063</v>
      </c>
      <c r="AP695" s="1">
        <v>49150307</v>
      </c>
      <c r="AQ695" s="1">
        <v>11787674</v>
      </c>
      <c r="AR695" s="1">
        <v>1768151</v>
      </c>
      <c r="AS695" s="1">
        <v>0</v>
      </c>
      <c r="AT695" s="1">
        <f t="shared" si="71"/>
        <v>73764195</v>
      </c>
    </row>
    <row r="696" spans="1:46">
      <c r="A696" s="1" t="str">
        <f>"00787"</f>
        <v>00787</v>
      </c>
      <c r="B696" s="1" t="str">
        <f>"سجاد"</f>
        <v>سجاد</v>
      </c>
      <c r="C696" s="1" t="str">
        <f>"مرادي عبداليوسفي"</f>
        <v>مرادي عبداليوسفي</v>
      </c>
      <c r="D696" s="1" t="str">
        <f t="shared" si="77"/>
        <v>قراردادي بهره بردار</v>
      </c>
      <c r="E696" s="1" t="str">
        <f t="shared" si="78"/>
        <v>پروژه بهره برداري نيروگاه بوشهر</v>
      </c>
      <c r="F696" s="1">
        <v>10566967</v>
      </c>
      <c r="G696" s="1">
        <v>10026568</v>
      </c>
      <c r="H696" s="1">
        <v>0</v>
      </c>
      <c r="I696" s="1">
        <v>7391703</v>
      </c>
      <c r="J696" s="1">
        <v>0</v>
      </c>
      <c r="K696" s="1">
        <v>4620000</v>
      </c>
      <c r="L696" s="1">
        <v>0</v>
      </c>
      <c r="M696" s="1">
        <v>400000</v>
      </c>
      <c r="N696" s="1">
        <v>1779224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1270000</v>
      </c>
      <c r="U696" s="1">
        <v>0</v>
      </c>
      <c r="V696" s="1">
        <v>11957150</v>
      </c>
      <c r="W696" s="1">
        <v>1100000</v>
      </c>
      <c r="X696" s="1">
        <v>1585045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1270875</v>
      </c>
      <c r="AF696" s="1">
        <v>1111269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6321859</v>
      </c>
      <c r="AM696" s="1">
        <v>0</v>
      </c>
      <c r="AN696" s="1">
        <v>59400660</v>
      </c>
      <c r="AO696" s="1">
        <v>12560264</v>
      </c>
      <c r="AP696" s="1">
        <v>46840396</v>
      </c>
      <c r="AQ696" s="1">
        <v>11403878</v>
      </c>
      <c r="AR696" s="1">
        <v>1710582</v>
      </c>
      <c r="AS696" s="1">
        <v>0</v>
      </c>
      <c r="AT696" s="1">
        <f t="shared" si="71"/>
        <v>72515120</v>
      </c>
    </row>
    <row r="697" spans="1:46">
      <c r="A697" s="1" t="str">
        <f>"00788"</f>
        <v>00788</v>
      </c>
      <c r="B697" s="1" t="str">
        <f>"مرتضي"</f>
        <v>مرتضي</v>
      </c>
      <c r="C697" s="1" t="str">
        <f>"مرادي کوچي"</f>
        <v>مرادي کوچي</v>
      </c>
      <c r="D697" s="1" t="str">
        <f t="shared" si="77"/>
        <v>قراردادي بهره بردار</v>
      </c>
      <c r="E697" s="1" t="str">
        <f t="shared" si="78"/>
        <v>پروژه بهره برداري نيروگاه بوشهر</v>
      </c>
      <c r="F697" s="1">
        <v>11299828</v>
      </c>
      <c r="G697" s="1">
        <v>6924183</v>
      </c>
      <c r="H697" s="1">
        <v>0</v>
      </c>
      <c r="I697" s="1">
        <v>9589414</v>
      </c>
      <c r="J697" s="1">
        <v>0</v>
      </c>
      <c r="K697" s="1">
        <v>4620000</v>
      </c>
      <c r="L697" s="1">
        <v>0</v>
      </c>
      <c r="M697" s="1">
        <v>400000</v>
      </c>
      <c r="N697" s="1">
        <v>2023563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8695991</v>
      </c>
      <c r="W697" s="1">
        <v>1100000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1445402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3468965</v>
      </c>
      <c r="AM697" s="1">
        <v>0</v>
      </c>
      <c r="AN697" s="1">
        <v>49567346</v>
      </c>
      <c r="AO697" s="1">
        <v>11238878</v>
      </c>
      <c r="AP697" s="1">
        <v>38328468</v>
      </c>
      <c r="AQ697" s="1">
        <v>9913469</v>
      </c>
      <c r="AR697" s="1">
        <v>1487020</v>
      </c>
      <c r="AS697" s="1">
        <v>0</v>
      </c>
      <c r="AT697" s="1">
        <f t="shared" si="71"/>
        <v>60967835</v>
      </c>
    </row>
    <row r="698" spans="1:46">
      <c r="A698" s="1" t="str">
        <f>"00789"</f>
        <v>00789</v>
      </c>
      <c r="B698" s="1" t="str">
        <f>"وحيد"</f>
        <v>وحيد</v>
      </c>
      <c r="C698" s="1" t="str">
        <f>"مسعودي مقدم"</f>
        <v>مسعودي مقدم</v>
      </c>
      <c r="D698" s="1" t="str">
        <f t="shared" si="77"/>
        <v>قراردادي بهره بردار</v>
      </c>
      <c r="E698" s="1" t="str">
        <f t="shared" si="78"/>
        <v>پروژه بهره برداري نيروگاه بوشهر</v>
      </c>
      <c r="F698" s="1">
        <v>11406022</v>
      </c>
      <c r="G698" s="1">
        <v>4717452</v>
      </c>
      <c r="H698" s="1">
        <v>0</v>
      </c>
      <c r="I698" s="1">
        <v>8542580</v>
      </c>
      <c r="J698" s="1">
        <v>0</v>
      </c>
      <c r="K698" s="1">
        <v>4620000</v>
      </c>
      <c r="L698" s="1">
        <v>0</v>
      </c>
      <c r="M698" s="1">
        <v>400000</v>
      </c>
      <c r="N698" s="1">
        <v>2089734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12595775</v>
      </c>
      <c r="W698" s="1">
        <v>1100000</v>
      </c>
      <c r="X698" s="1">
        <v>1710903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1492667</v>
      </c>
      <c r="AF698" s="1">
        <v>1111269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7004208</v>
      </c>
      <c r="AM698" s="1">
        <v>0</v>
      </c>
      <c r="AN698" s="1">
        <v>56790610</v>
      </c>
      <c r="AO698" s="1">
        <v>12687067</v>
      </c>
      <c r="AP698" s="1">
        <v>44103543</v>
      </c>
      <c r="AQ698" s="1">
        <v>11135868</v>
      </c>
      <c r="AR698" s="1">
        <v>1670380</v>
      </c>
      <c r="AS698" s="1">
        <v>0</v>
      </c>
      <c r="AT698" s="1">
        <f t="shared" si="71"/>
        <v>69596858</v>
      </c>
    </row>
    <row r="699" spans="1:46">
      <c r="A699" s="1" t="str">
        <f>"00790"</f>
        <v>00790</v>
      </c>
      <c r="B699" s="1" t="str">
        <f>"محمد"</f>
        <v>محمد</v>
      </c>
      <c r="C699" s="1" t="str">
        <f>"مقدس زاده"</f>
        <v>مقدس زاده</v>
      </c>
      <c r="D699" s="1" t="str">
        <f t="shared" si="77"/>
        <v>قراردادي بهره بردار</v>
      </c>
      <c r="E699" s="1" t="str">
        <f t="shared" si="78"/>
        <v>پروژه بهره برداري نيروگاه بوشهر</v>
      </c>
      <c r="F699" s="1">
        <v>10504694</v>
      </c>
      <c r="G699" s="1">
        <v>3106395</v>
      </c>
      <c r="H699" s="1">
        <v>0</v>
      </c>
      <c r="I699" s="1">
        <v>7162201</v>
      </c>
      <c r="J699" s="1">
        <v>0</v>
      </c>
      <c r="K699" s="1">
        <v>4620000</v>
      </c>
      <c r="L699" s="1">
        <v>0</v>
      </c>
      <c r="M699" s="1">
        <v>400000</v>
      </c>
      <c r="N699" s="1">
        <v>1754996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11693072</v>
      </c>
      <c r="W699" s="1">
        <v>1100000</v>
      </c>
      <c r="X699" s="1">
        <v>1575704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1253569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6360544</v>
      </c>
      <c r="AM699" s="1">
        <v>0</v>
      </c>
      <c r="AN699" s="1">
        <v>49531175</v>
      </c>
      <c r="AO699" s="1">
        <v>9566134</v>
      </c>
      <c r="AP699" s="1">
        <v>39965041</v>
      </c>
      <c r="AQ699" s="1">
        <v>9906235</v>
      </c>
      <c r="AR699" s="1">
        <v>1485935</v>
      </c>
      <c r="AS699" s="1">
        <v>0</v>
      </c>
      <c r="AT699" s="1">
        <f t="shared" si="71"/>
        <v>60923345</v>
      </c>
    </row>
    <row r="700" spans="1:46">
      <c r="A700" s="1" t="str">
        <f>"00791"</f>
        <v>00791</v>
      </c>
      <c r="B700" s="1" t="str">
        <f>"علي"</f>
        <v>علي</v>
      </c>
      <c r="C700" s="1" t="str">
        <f>"ملائي محلي"</f>
        <v>ملائي محلي</v>
      </c>
      <c r="D700" s="1" t="str">
        <f t="shared" si="77"/>
        <v>قراردادي بهره بردار</v>
      </c>
      <c r="E700" s="1" t="str">
        <f t="shared" si="78"/>
        <v>پروژه بهره برداري نيروگاه بوشهر</v>
      </c>
      <c r="F700" s="1">
        <v>11399676</v>
      </c>
      <c r="G700" s="1">
        <v>1530394</v>
      </c>
      <c r="H700" s="1">
        <v>0</v>
      </c>
      <c r="I700" s="1">
        <v>9808146</v>
      </c>
      <c r="J700" s="1">
        <v>0</v>
      </c>
      <c r="K700" s="1">
        <v>4620000</v>
      </c>
      <c r="L700" s="1">
        <v>0</v>
      </c>
      <c r="M700" s="1">
        <v>400000</v>
      </c>
      <c r="N700" s="1">
        <v>2082461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1270000</v>
      </c>
      <c r="U700" s="1">
        <v>0</v>
      </c>
      <c r="V700" s="1">
        <v>7709972</v>
      </c>
      <c r="W700" s="1">
        <v>1100000</v>
      </c>
      <c r="X700" s="1">
        <v>1709951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1487472</v>
      </c>
      <c r="AF700" s="1">
        <v>2222538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9488787</v>
      </c>
      <c r="AM700" s="1">
        <v>0</v>
      </c>
      <c r="AN700" s="1">
        <v>54829397</v>
      </c>
      <c r="AO700" s="1">
        <v>10719280</v>
      </c>
      <c r="AP700" s="1">
        <v>44110117</v>
      </c>
      <c r="AQ700" s="1">
        <v>10267372</v>
      </c>
      <c r="AR700" s="1">
        <v>1540106</v>
      </c>
      <c r="AS700" s="1">
        <v>0</v>
      </c>
      <c r="AT700" s="1">
        <f t="shared" si="71"/>
        <v>66636875</v>
      </c>
    </row>
    <row r="701" spans="1:46">
      <c r="A701" s="1" t="str">
        <f>"00792"</f>
        <v>00792</v>
      </c>
      <c r="B701" s="1" t="str">
        <f>"محمدعلي"</f>
        <v>محمدعلي</v>
      </c>
      <c r="C701" s="1" t="str">
        <f>"نجاتي"</f>
        <v>نجاتي</v>
      </c>
      <c r="D701" s="1" t="str">
        <f t="shared" si="77"/>
        <v>قراردادي بهره بردار</v>
      </c>
      <c r="E701" s="1" t="str">
        <f t="shared" si="78"/>
        <v>پروژه بهره برداري نيروگاه بوشهر</v>
      </c>
      <c r="F701" s="1">
        <v>11415827</v>
      </c>
      <c r="G701" s="1">
        <v>7150032</v>
      </c>
      <c r="H701" s="1">
        <v>0</v>
      </c>
      <c r="I701" s="1">
        <v>10213618</v>
      </c>
      <c r="J701" s="1">
        <v>0</v>
      </c>
      <c r="K701" s="1">
        <v>4620000</v>
      </c>
      <c r="L701" s="1">
        <v>0</v>
      </c>
      <c r="M701" s="1">
        <v>400000</v>
      </c>
      <c r="N701" s="1">
        <v>2090920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1270000</v>
      </c>
      <c r="U701" s="1">
        <v>0</v>
      </c>
      <c r="V701" s="1">
        <v>7901568</v>
      </c>
      <c r="W701" s="1">
        <v>1100000</v>
      </c>
      <c r="X701" s="1">
        <v>1712374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1493514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9518286</v>
      </c>
      <c r="AM701" s="1">
        <v>0</v>
      </c>
      <c r="AN701" s="1">
        <v>58886139</v>
      </c>
      <c r="AO701" s="1">
        <v>11846279</v>
      </c>
      <c r="AP701" s="1">
        <v>47039860</v>
      </c>
      <c r="AQ701" s="1">
        <v>11523228</v>
      </c>
      <c r="AR701" s="1">
        <v>1728484</v>
      </c>
      <c r="AS701" s="1">
        <v>0</v>
      </c>
      <c r="AT701" s="1">
        <f t="shared" si="71"/>
        <v>72137851</v>
      </c>
    </row>
    <row r="702" spans="1:46">
      <c r="A702" s="1" t="str">
        <f>"00793"</f>
        <v>00793</v>
      </c>
      <c r="B702" s="1" t="str">
        <f>"حسين"</f>
        <v>حسين</v>
      </c>
      <c r="C702" s="1" t="str">
        <f>"نصيري"</f>
        <v>نصيري</v>
      </c>
      <c r="D702" s="1" t="str">
        <f t="shared" si="77"/>
        <v>قراردادي بهره بردار</v>
      </c>
      <c r="E702" s="1" t="str">
        <f t="shared" si="78"/>
        <v>پروژه بهره برداري نيروگاه بوشهر</v>
      </c>
      <c r="F702" s="1">
        <v>10675644</v>
      </c>
      <c r="G702" s="1">
        <v>4008135</v>
      </c>
      <c r="H702" s="1">
        <v>0</v>
      </c>
      <c r="I702" s="1">
        <v>7371744</v>
      </c>
      <c r="J702" s="1">
        <v>0</v>
      </c>
      <c r="K702" s="1">
        <v>4620000</v>
      </c>
      <c r="L702" s="1">
        <v>0</v>
      </c>
      <c r="M702" s="1">
        <v>400000</v>
      </c>
      <c r="N702" s="1">
        <v>1787324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1270000</v>
      </c>
      <c r="U702" s="1">
        <v>0</v>
      </c>
      <c r="V702" s="1">
        <v>8159183</v>
      </c>
      <c r="W702" s="1">
        <v>1100000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1276660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3063983</v>
      </c>
      <c r="AM702" s="1">
        <v>0</v>
      </c>
      <c r="AN702" s="1">
        <v>43732673</v>
      </c>
      <c r="AO702" s="1">
        <v>8849292</v>
      </c>
      <c r="AP702" s="1">
        <v>34883381</v>
      </c>
      <c r="AQ702" s="1">
        <v>8492535</v>
      </c>
      <c r="AR702" s="1">
        <v>1273880</v>
      </c>
      <c r="AS702" s="1">
        <v>0</v>
      </c>
      <c r="AT702" s="1">
        <f t="shared" si="71"/>
        <v>53499088</v>
      </c>
    </row>
    <row r="703" spans="1:46">
      <c r="A703" s="1" t="str">
        <f>"00794"</f>
        <v>00794</v>
      </c>
      <c r="B703" s="1" t="str">
        <f>"علي"</f>
        <v>علي</v>
      </c>
      <c r="C703" s="1" t="str">
        <f>"نظري سينا"</f>
        <v>نظري سينا</v>
      </c>
      <c r="D703" s="1" t="str">
        <f t="shared" si="77"/>
        <v>قراردادي بهره بردار</v>
      </c>
      <c r="E703" s="1" t="str">
        <f t="shared" si="78"/>
        <v>پروژه بهره برداري نيروگاه بوشهر</v>
      </c>
      <c r="F703" s="1">
        <v>11821887</v>
      </c>
      <c r="G703" s="1">
        <v>3917793</v>
      </c>
      <c r="H703" s="1">
        <v>0</v>
      </c>
      <c r="I703" s="1">
        <v>9451200</v>
      </c>
      <c r="J703" s="1">
        <v>0</v>
      </c>
      <c r="K703" s="1">
        <v>4620000</v>
      </c>
      <c r="L703" s="1">
        <v>0</v>
      </c>
      <c r="M703" s="1">
        <v>400000</v>
      </c>
      <c r="N703" s="1">
        <v>2227428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7728479</v>
      </c>
      <c r="W703" s="1">
        <v>1100000</v>
      </c>
      <c r="X703" s="1">
        <v>1773283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1591020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8510548</v>
      </c>
      <c r="AM703" s="1">
        <v>0</v>
      </c>
      <c r="AN703" s="1">
        <v>53141638</v>
      </c>
      <c r="AO703" s="1">
        <v>8642692</v>
      </c>
      <c r="AP703" s="1">
        <v>44498946</v>
      </c>
      <c r="AQ703" s="1">
        <v>10628328</v>
      </c>
      <c r="AR703" s="1">
        <v>1594249</v>
      </c>
      <c r="AS703" s="1">
        <v>0</v>
      </c>
      <c r="AT703" s="1">
        <f t="shared" si="71"/>
        <v>65364215</v>
      </c>
    </row>
    <row r="704" spans="1:46">
      <c r="A704" s="1" t="str">
        <f>"00795"</f>
        <v>00795</v>
      </c>
      <c r="B704" s="1" t="str">
        <f>"فرهاد"</f>
        <v>فرهاد</v>
      </c>
      <c r="C704" s="1" t="str">
        <f>"رزمي"</f>
        <v>رزمي</v>
      </c>
      <c r="D704" s="1" t="str">
        <f t="shared" si="77"/>
        <v>قراردادي بهره بردار</v>
      </c>
      <c r="E704" s="1" t="str">
        <f t="shared" si="78"/>
        <v>پروژه بهره برداري نيروگاه بوشهر</v>
      </c>
      <c r="F704" s="1">
        <v>16849454</v>
      </c>
      <c r="G704" s="1">
        <v>14500674</v>
      </c>
      <c r="H704" s="1">
        <v>0</v>
      </c>
      <c r="I704" s="1">
        <v>12986119</v>
      </c>
      <c r="J704" s="1">
        <v>0</v>
      </c>
      <c r="K704" s="1">
        <v>5500000</v>
      </c>
      <c r="L704" s="1">
        <v>0</v>
      </c>
      <c r="M704" s="1">
        <v>400000</v>
      </c>
      <c r="N704" s="1">
        <v>2795304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1270000</v>
      </c>
      <c r="U704" s="1">
        <v>0</v>
      </c>
      <c r="V704" s="1">
        <v>6975422</v>
      </c>
      <c r="W704" s="1">
        <v>1100000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1996646</v>
      </c>
      <c r="AF704" s="1">
        <v>1111269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3593962</v>
      </c>
      <c r="AM704" s="1">
        <v>0</v>
      </c>
      <c r="AN704" s="1">
        <v>69078850</v>
      </c>
      <c r="AO704" s="1">
        <v>17019238</v>
      </c>
      <c r="AP704" s="1">
        <v>52059612</v>
      </c>
      <c r="AQ704" s="1">
        <v>13339516</v>
      </c>
      <c r="AR704" s="1">
        <v>2000927</v>
      </c>
      <c r="AS704" s="1">
        <v>0</v>
      </c>
      <c r="AT704" s="1">
        <f t="shared" si="71"/>
        <v>84419293</v>
      </c>
    </row>
    <row r="705" spans="1:46">
      <c r="A705" s="1" t="str">
        <f>"00796"</f>
        <v>00796</v>
      </c>
      <c r="B705" s="1" t="str">
        <f>"حميدرضا"</f>
        <v>حميدرضا</v>
      </c>
      <c r="C705" s="1" t="str">
        <f>"محبي"</f>
        <v>محبي</v>
      </c>
      <c r="D705" s="1" t="str">
        <f t="shared" si="77"/>
        <v>قراردادي بهره بردار</v>
      </c>
      <c r="E705" s="1" t="str">
        <f t="shared" si="78"/>
        <v>پروژه بهره برداري نيروگاه بوشهر</v>
      </c>
      <c r="F705" s="1">
        <v>13344381</v>
      </c>
      <c r="G705" s="1">
        <v>8637766</v>
      </c>
      <c r="H705" s="1">
        <v>0</v>
      </c>
      <c r="I705" s="1">
        <v>9263498</v>
      </c>
      <c r="J705" s="1">
        <v>0</v>
      </c>
      <c r="K705" s="1">
        <v>5500000</v>
      </c>
      <c r="L705" s="1">
        <v>0</v>
      </c>
      <c r="M705" s="1">
        <v>400000</v>
      </c>
      <c r="N705" s="1">
        <v>1957157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5758023</v>
      </c>
      <c r="W705" s="1">
        <v>1100000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1397969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2124913</v>
      </c>
      <c r="AM705" s="1">
        <v>0</v>
      </c>
      <c r="AN705" s="1">
        <v>49483707</v>
      </c>
      <c r="AO705" s="1">
        <v>9558159</v>
      </c>
      <c r="AP705" s="1">
        <v>39925548</v>
      </c>
      <c r="AQ705" s="1">
        <v>9896741</v>
      </c>
      <c r="AR705" s="1">
        <v>1484511</v>
      </c>
      <c r="AS705" s="1">
        <v>0</v>
      </c>
      <c r="AT705" s="1">
        <f t="shared" si="71"/>
        <v>60864959</v>
      </c>
    </row>
    <row r="706" spans="1:46">
      <c r="A706" s="1" t="str">
        <f>"00797"</f>
        <v>00797</v>
      </c>
      <c r="B706" s="1" t="str">
        <f>"مسعود"</f>
        <v>مسعود</v>
      </c>
      <c r="C706" s="1" t="str">
        <f>"احمدپور"</f>
        <v>احمدپور</v>
      </c>
      <c r="D706" s="1" t="str">
        <f t="shared" si="77"/>
        <v>قراردادي بهره بردار</v>
      </c>
      <c r="E706" s="1" t="str">
        <f t="shared" si="78"/>
        <v>پروژه بهره برداري نيروگاه بوشهر</v>
      </c>
      <c r="F706" s="1">
        <v>11658437</v>
      </c>
      <c r="G706" s="1">
        <v>2351562</v>
      </c>
      <c r="H706" s="1">
        <v>0</v>
      </c>
      <c r="I706" s="1">
        <v>9695071</v>
      </c>
      <c r="J706" s="1">
        <v>0</v>
      </c>
      <c r="K706" s="1">
        <v>3465000</v>
      </c>
      <c r="L706" s="1">
        <v>0</v>
      </c>
      <c r="M706" s="1">
        <v>400000</v>
      </c>
      <c r="N706" s="1">
        <v>2165730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1270000</v>
      </c>
      <c r="U706" s="1">
        <v>0</v>
      </c>
      <c r="V706" s="1">
        <v>10172311</v>
      </c>
      <c r="W706" s="1">
        <v>1100000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1546949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5073994</v>
      </c>
      <c r="AM706" s="1">
        <v>0</v>
      </c>
      <c r="AN706" s="1">
        <v>48899054</v>
      </c>
      <c r="AO706" s="1">
        <v>12839244</v>
      </c>
      <c r="AP706" s="1">
        <v>36059810</v>
      </c>
      <c r="AQ706" s="1">
        <v>9525811</v>
      </c>
      <c r="AR706" s="1">
        <v>1428872</v>
      </c>
      <c r="AS706" s="1">
        <v>0</v>
      </c>
      <c r="AT706" s="1">
        <f t="shared" si="71"/>
        <v>59853737</v>
      </c>
    </row>
    <row r="707" spans="1:46">
      <c r="A707" s="1" t="str">
        <f>"00798"</f>
        <v>00798</v>
      </c>
      <c r="B707" s="1" t="str">
        <f>"محمدصادق"</f>
        <v>محمدصادق</v>
      </c>
      <c r="C707" s="1" t="str">
        <f>"الماسي"</f>
        <v>الماسي</v>
      </c>
      <c r="D707" s="1" t="str">
        <f t="shared" si="77"/>
        <v>قراردادي بهره بردار</v>
      </c>
      <c r="E707" s="1" t="str">
        <f t="shared" si="78"/>
        <v>پروژه بهره برداري نيروگاه بوشهر</v>
      </c>
      <c r="F707" s="1">
        <v>14836032</v>
      </c>
      <c r="G707" s="1">
        <v>10436348</v>
      </c>
      <c r="H707" s="1">
        <v>0</v>
      </c>
      <c r="I707" s="1">
        <v>12044361</v>
      </c>
      <c r="J707" s="1">
        <v>0</v>
      </c>
      <c r="K707" s="1">
        <v>4125000</v>
      </c>
      <c r="L707" s="1">
        <v>0</v>
      </c>
      <c r="M707" s="1">
        <v>400000</v>
      </c>
      <c r="N707" s="1">
        <v>2437810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17004198</v>
      </c>
      <c r="W707" s="1">
        <v>1100000</v>
      </c>
      <c r="X707" s="1">
        <v>2225405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1741293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9187127</v>
      </c>
      <c r="AM707" s="1">
        <v>0</v>
      </c>
      <c r="AN707" s="1">
        <v>75537574</v>
      </c>
      <c r="AO707" s="1">
        <v>13743876</v>
      </c>
      <c r="AP707" s="1">
        <v>61793698</v>
      </c>
      <c r="AQ707" s="1">
        <v>15107515</v>
      </c>
      <c r="AR707" s="1">
        <v>2266127</v>
      </c>
      <c r="AS707" s="1">
        <v>0</v>
      </c>
      <c r="AT707" s="1">
        <f t="shared" ref="AT707:AT770" si="79">AS707+AR707+AQ707+AN707</f>
        <v>92911216</v>
      </c>
    </row>
    <row r="708" spans="1:46">
      <c r="A708" s="1" t="str">
        <f>"00799"</f>
        <v>00799</v>
      </c>
      <c r="B708" s="1" t="str">
        <f>"حسين"</f>
        <v>حسين</v>
      </c>
      <c r="C708" s="1" t="str">
        <f>"پرواز"</f>
        <v>پرواز</v>
      </c>
      <c r="D708" s="1" t="str">
        <f t="shared" si="77"/>
        <v>قراردادي بهره بردار</v>
      </c>
      <c r="E708" s="1" t="str">
        <f t="shared" si="78"/>
        <v>پروژه بهره برداري نيروگاه بوشهر</v>
      </c>
      <c r="F708" s="1">
        <v>15867510</v>
      </c>
      <c r="G708" s="1">
        <v>15325610</v>
      </c>
      <c r="H708" s="1">
        <v>0</v>
      </c>
      <c r="I708" s="1">
        <v>13910407</v>
      </c>
      <c r="J708" s="1">
        <v>0</v>
      </c>
      <c r="K708" s="1">
        <v>5500000</v>
      </c>
      <c r="L708" s="1">
        <v>0</v>
      </c>
      <c r="M708" s="1">
        <v>400000</v>
      </c>
      <c r="N708" s="1">
        <v>2798828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1270000</v>
      </c>
      <c r="U708" s="1">
        <v>0</v>
      </c>
      <c r="V708" s="1">
        <v>18916965</v>
      </c>
      <c r="W708" s="1">
        <v>1100000</v>
      </c>
      <c r="X708" s="1">
        <v>2380127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1999162</v>
      </c>
      <c r="AF708" s="1">
        <v>2222538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10197975</v>
      </c>
      <c r="AM708" s="1">
        <v>0</v>
      </c>
      <c r="AN708" s="1">
        <v>91889122</v>
      </c>
      <c r="AO708" s="1">
        <v>18614749</v>
      </c>
      <c r="AP708" s="1">
        <v>73274373</v>
      </c>
      <c r="AQ708" s="1">
        <v>15557766</v>
      </c>
      <c r="AR708" s="1">
        <v>2333665</v>
      </c>
      <c r="AS708" s="1">
        <v>0</v>
      </c>
      <c r="AT708" s="1">
        <f t="shared" si="79"/>
        <v>109780553</v>
      </c>
    </row>
    <row r="709" spans="1:46">
      <c r="A709" s="1" t="str">
        <f>"00800"</f>
        <v>00800</v>
      </c>
      <c r="B709" s="1" t="str">
        <f>"بهمن"</f>
        <v>بهمن</v>
      </c>
      <c r="C709" s="1" t="str">
        <f>"خدادوستان شهرکي"</f>
        <v>خدادوستان شهرکي</v>
      </c>
      <c r="D709" s="1" t="str">
        <f t="shared" si="77"/>
        <v>قراردادي بهره بردار</v>
      </c>
      <c r="E709" s="1" t="str">
        <f t="shared" si="78"/>
        <v>پروژه بهره برداري نيروگاه بوشهر</v>
      </c>
      <c r="F709" s="1">
        <v>14937399</v>
      </c>
      <c r="G709" s="1">
        <v>1682226</v>
      </c>
      <c r="H709" s="1">
        <v>0</v>
      </c>
      <c r="I709" s="1">
        <v>11022687</v>
      </c>
      <c r="J709" s="1">
        <v>0</v>
      </c>
      <c r="K709" s="1">
        <v>4125000</v>
      </c>
      <c r="L709" s="1">
        <v>0</v>
      </c>
      <c r="M709" s="1">
        <v>400000</v>
      </c>
      <c r="N709" s="1">
        <v>2447393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8007954</v>
      </c>
      <c r="W709" s="1">
        <v>1100000</v>
      </c>
      <c r="X709" s="1">
        <v>1009336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1748138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7977496</v>
      </c>
      <c r="AM709" s="1">
        <v>0</v>
      </c>
      <c r="AN709" s="1">
        <v>54457629</v>
      </c>
      <c r="AO709" s="1">
        <v>10725779</v>
      </c>
      <c r="AP709" s="1">
        <v>43731850</v>
      </c>
      <c r="AQ709" s="1">
        <v>10891526</v>
      </c>
      <c r="AR709" s="1">
        <v>1633729</v>
      </c>
      <c r="AS709" s="1">
        <v>0</v>
      </c>
      <c r="AT709" s="1">
        <f t="shared" si="79"/>
        <v>66982884</v>
      </c>
    </row>
    <row r="710" spans="1:46">
      <c r="A710" s="1" t="str">
        <f>"00801"</f>
        <v>00801</v>
      </c>
      <c r="B710" s="1" t="str">
        <f>"عليرضا"</f>
        <v>عليرضا</v>
      </c>
      <c r="C710" s="1" t="str">
        <f>"رزمي"</f>
        <v>رزمي</v>
      </c>
      <c r="D710" s="1" t="str">
        <f t="shared" si="77"/>
        <v>قراردادي بهره بردار</v>
      </c>
      <c r="E710" s="1" t="str">
        <f t="shared" si="78"/>
        <v>پروژه بهره برداري نيروگاه بوشهر</v>
      </c>
      <c r="F710" s="1">
        <v>10530409</v>
      </c>
      <c r="G710" s="1">
        <v>2011841</v>
      </c>
      <c r="H710" s="1">
        <v>0</v>
      </c>
      <c r="I710" s="1">
        <v>7524284</v>
      </c>
      <c r="J710" s="1">
        <v>0</v>
      </c>
      <c r="K710" s="1">
        <v>4620000</v>
      </c>
      <c r="L710" s="1">
        <v>0</v>
      </c>
      <c r="M710" s="1">
        <v>400000</v>
      </c>
      <c r="N710" s="1">
        <v>1745659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1270000</v>
      </c>
      <c r="U710" s="1">
        <v>0</v>
      </c>
      <c r="V710" s="1">
        <v>6392000</v>
      </c>
      <c r="W710" s="1">
        <v>1100000</v>
      </c>
      <c r="X710" s="1">
        <v>1579561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1246899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7049449</v>
      </c>
      <c r="AM710" s="1">
        <v>0</v>
      </c>
      <c r="AN710" s="1">
        <v>45470102</v>
      </c>
      <c r="AO710" s="1">
        <v>6970514</v>
      </c>
      <c r="AP710" s="1">
        <v>38499588</v>
      </c>
      <c r="AQ710" s="1">
        <v>8840020</v>
      </c>
      <c r="AR710" s="1">
        <v>1326003</v>
      </c>
      <c r="AS710" s="1">
        <v>0</v>
      </c>
      <c r="AT710" s="1">
        <f t="shared" si="79"/>
        <v>55636125</v>
      </c>
    </row>
    <row r="711" spans="1:46">
      <c r="A711" s="1" t="str">
        <f>"00802"</f>
        <v>00802</v>
      </c>
      <c r="B711" s="1" t="str">
        <f>"محمدباقر"</f>
        <v>محمدباقر</v>
      </c>
      <c r="C711" s="1" t="str">
        <f>"رنجبر"</f>
        <v>رنجبر</v>
      </c>
      <c r="D711" s="1" t="str">
        <f t="shared" si="77"/>
        <v>قراردادي بهره بردار</v>
      </c>
      <c r="E711" s="1" t="str">
        <f t="shared" si="78"/>
        <v>پروژه بهره برداري نيروگاه بوشهر</v>
      </c>
      <c r="F711" s="1">
        <v>11087644</v>
      </c>
      <c r="G711" s="1">
        <v>10045591</v>
      </c>
      <c r="H711" s="1">
        <v>0</v>
      </c>
      <c r="I711" s="1">
        <v>7585924</v>
      </c>
      <c r="J711" s="1">
        <v>0</v>
      </c>
      <c r="K711" s="1">
        <v>4620000</v>
      </c>
      <c r="L711" s="1">
        <v>0</v>
      </c>
      <c r="M711" s="1">
        <v>400000</v>
      </c>
      <c r="N711" s="1">
        <v>1924226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5674089</v>
      </c>
      <c r="W711" s="1">
        <v>1100000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1374447</v>
      </c>
      <c r="AF711" s="1">
        <v>1111269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2968806</v>
      </c>
      <c r="AM711" s="1">
        <v>0</v>
      </c>
      <c r="AN711" s="1">
        <v>47891996</v>
      </c>
      <c r="AO711" s="1">
        <v>12803852</v>
      </c>
      <c r="AP711" s="1">
        <v>35088144</v>
      </c>
      <c r="AQ711" s="1">
        <v>9356145</v>
      </c>
      <c r="AR711" s="1">
        <v>1403422</v>
      </c>
      <c r="AS711" s="1">
        <v>0</v>
      </c>
      <c r="AT711" s="1">
        <f t="shared" si="79"/>
        <v>58651563</v>
      </c>
    </row>
    <row r="712" spans="1:46">
      <c r="A712" s="1" t="str">
        <f>"00803"</f>
        <v>00803</v>
      </c>
      <c r="B712" s="1" t="str">
        <f>"قادر"</f>
        <v>قادر</v>
      </c>
      <c r="C712" s="1" t="str">
        <f>"شجاعي"</f>
        <v>شجاعي</v>
      </c>
      <c r="D712" s="1" t="str">
        <f t="shared" si="77"/>
        <v>قراردادي بهره بردار</v>
      </c>
      <c r="E712" s="1" t="str">
        <f t="shared" si="78"/>
        <v>پروژه بهره برداري نيروگاه بوشهر</v>
      </c>
      <c r="F712" s="1">
        <v>11349583</v>
      </c>
      <c r="G712" s="1">
        <v>5122573</v>
      </c>
      <c r="H712" s="1">
        <v>0</v>
      </c>
      <c r="I712" s="1">
        <v>8950357</v>
      </c>
      <c r="J712" s="1">
        <v>0</v>
      </c>
      <c r="K712" s="1">
        <v>3465000</v>
      </c>
      <c r="L712" s="1">
        <v>0</v>
      </c>
      <c r="M712" s="1">
        <v>400000</v>
      </c>
      <c r="N712" s="1">
        <v>2052017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1270000</v>
      </c>
      <c r="U712" s="1">
        <v>0</v>
      </c>
      <c r="V712" s="1">
        <v>7233505</v>
      </c>
      <c r="W712" s="1">
        <v>1100000</v>
      </c>
      <c r="X712" s="1">
        <v>1702437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1465727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7977941</v>
      </c>
      <c r="AM712" s="1">
        <v>0</v>
      </c>
      <c r="AN712" s="1">
        <v>52089140</v>
      </c>
      <c r="AO712" s="1">
        <v>9089667</v>
      </c>
      <c r="AP712" s="1">
        <v>42999473</v>
      </c>
      <c r="AQ712" s="1">
        <v>10163828</v>
      </c>
      <c r="AR712" s="1">
        <v>1524574</v>
      </c>
      <c r="AS712" s="1">
        <v>0</v>
      </c>
      <c r="AT712" s="1">
        <f t="shared" si="79"/>
        <v>63777542</v>
      </c>
    </row>
    <row r="713" spans="1:46">
      <c r="A713" s="1" t="str">
        <f>"00804"</f>
        <v>00804</v>
      </c>
      <c r="B713" s="1" t="str">
        <f>"علي"</f>
        <v>علي</v>
      </c>
      <c r="C713" s="1" t="str">
        <f>"گلابي"</f>
        <v>گلابي</v>
      </c>
      <c r="D713" s="1" t="str">
        <f t="shared" si="77"/>
        <v>قراردادي بهره بردار</v>
      </c>
      <c r="E713" s="1" t="str">
        <f t="shared" si="78"/>
        <v>پروژه بهره برداري نيروگاه بوشهر</v>
      </c>
      <c r="F713" s="1">
        <v>11572105</v>
      </c>
      <c r="G713" s="1">
        <v>1448380</v>
      </c>
      <c r="H713" s="1">
        <v>0</v>
      </c>
      <c r="I713" s="1">
        <v>8544135</v>
      </c>
      <c r="J713" s="1">
        <v>0</v>
      </c>
      <c r="K713" s="1">
        <v>4620000</v>
      </c>
      <c r="L713" s="1">
        <v>0</v>
      </c>
      <c r="M713" s="1">
        <v>400000</v>
      </c>
      <c r="N713" s="1">
        <v>2104265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1270000</v>
      </c>
      <c r="U713" s="1">
        <v>0</v>
      </c>
      <c r="V713" s="1">
        <v>6135705</v>
      </c>
      <c r="W713" s="1">
        <v>1100000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1503046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3246580</v>
      </c>
      <c r="AM713" s="1">
        <v>0</v>
      </c>
      <c r="AN713" s="1">
        <v>41944216</v>
      </c>
      <c r="AO713" s="1">
        <v>10668832</v>
      </c>
      <c r="AP713" s="1">
        <v>31275384</v>
      </c>
      <c r="AQ713" s="1">
        <v>8134843</v>
      </c>
      <c r="AR713" s="1">
        <v>1220226</v>
      </c>
      <c r="AS713" s="1">
        <v>0</v>
      </c>
      <c r="AT713" s="1">
        <f t="shared" si="79"/>
        <v>51299285</v>
      </c>
    </row>
    <row r="714" spans="1:46">
      <c r="A714" s="1" t="str">
        <f>"00805"</f>
        <v>00805</v>
      </c>
      <c r="B714" s="1" t="str">
        <f>"حميد"</f>
        <v>حميد</v>
      </c>
      <c r="C714" s="1" t="str">
        <f>"محمودي پيام"</f>
        <v>محمودي پيام</v>
      </c>
      <c r="D714" s="1" t="str">
        <f t="shared" si="77"/>
        <v>قراردادي بهره بردار</v>
      </c>
      <c r="E714" s="1" t="str">
        <f t="shared" si="78"/>
        <v>پروژه بهره برداري نيروگاه بوشهر</v>
      </c>
      <c r="F714" s="1">
        <v>10947922</v>
      </c>
      <c r="G714" s="1">
        <v>14959056</v>
      </c>
      <c r="H714" s="1">
        <v>0</v>
      </c>
      <c r="I714" s="1">
        <v>9052317</v>
      </c>
      <c r="J714" s="1">
        <v>0</v>
      </c>
      <c r="K714" s="1">
        <v>4620000</v>
      </c>
      <c r="L714" s="1">
        <v>0</v>
      </c>
      <c r="M714" s="1">
        <v>400000</v>
      </c>
      <c r="N714" s="1">
        <v>1913307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1270000</v>
      </c>
      <c r="U714" s="1">
        <v>0</v>
      </c>
      <c r="V714" s="1">
        <v>7311962</v>
      </c>
      <c r="W714" s="1">
        <v>1100000</v>
      </c>
      <c r="X714" s="1">
        <v>1642188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1366648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8860299</v>
      </c>
      <c r="AM714" s="1">
        <v>0</v>
      </c>
      <c r="AN714" s="1">
        <v>63443699</v>
      </c>
      <c r="AO714" s="1">
        <v>9943181</v>
      </c>
      <c r="AP714" s="1">
        <v>53500518</v>
      </c>
      <c r="AQ714" s="1">
        <v>12434740</v>
      </c>
      <c r="AR714" s="1">
        <v>1865211</v>
      </c>
      <c r="AS714" s="1">
        <v>0</v>
      </c>
      <c r="AT714" s="1">
        <f t="shared" si="79"/>
        <v>77743650</v>
      </c>
    </row>
    <row r="715" spans="1:46">
      <c r="A715" s="1" t="str">
        <f>"00806"</f>
        <v>00806</v>
      </c>
      <c r="B715" s="1" t="str">
        <f>"مصطفي"</f>
        <v>مصطفي</v>
      </c>
      <c r="C715" s="1" t="str">
        <f>"مرادي"</f>
        <v>مرادي</v>
      </c>
      <c r="D715" s="1" t="str">
        <f t="shared" si="77"/>
        <v>قراردادي بهره بردار</v>
      </c>
      <c r="E715" s="1" t="str">
        <f t="shared" si="78"/>
        <v>پروژه بهره برداري نيروگاه بوشهر</v>
      </c>
      <c r="F715" s="1">
        <v>10866089</v>
      </c>
      <c r="G715" s="1">
        <v>4550248</v>
      </c>
      <c r="H715" s="1">
        <v>0</v>
      </c>
      <c r="I715" s="1">
        <v>8394925</v>
      </c>
      <c r="J715" s="1">
        <v>0</v>
      </c>
      <c r="K715" s="1">
        <v>4620000</v>
      </c>
      <c r="L715" s="1">
        <v>0</v>
      </c>
      <c r="M715" s="1">
        <v>400000</v>
      </c>
      <c r="N715" s="1">
        <v>1872690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1270000</v>
      </c>
      <c r="U715" s="1">
        <v>0</v>
      </c>
      <c r="V715" s="1">
        <v>6803294</v>
      </c>
      <c r="W715" s="1">
        <v>1100000</v>
      </c>
      <c r="X715" s="1">
        <v>1629913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1337636</v>
      </c>
      <c r="AF715" s="1">
        <v>1111269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7433250</v>
      </c>
      <c r="AM715" s="1">
        <v>0</v>
      </c>
      <c r="AN715" s="1">
        <v>51389314</v>
      </c>
      <c r="AO715" s="1">
        <v>10060042</v>
      </c>
      <c r="AP715" s="1">
        <v>41329272</v>
      </c>
      <c r="AQ715" s="1">
        <v>9801609</v>
      </c>
      <c r="AR715" s="1">
        <v>1470241</v>
      </c>
      <c r="AS715" s="1">
        <v>0</v>
      </c>
      <c r="AT715" s="1">
        <f t="shared" si="79"/>
        <v>62661164</v>
      </c>
    </row>
    <row r="716" spans="1:46">
      <c r="A716" s="1" t="str">
        <f>"00807"</f>
        <v>00807</v>
      </c>
      <c r="B716" s="1" t="str">
        <f>"محسن"</f>
        <v>محسن</v>
      </c>
      <c r="C716" s="1" t="str">
        <f>"ملکي"</f>
        <v>ملکي</v>
      </c>
      <c r="D716" s="1" t="str">
        <f t="shared" si="77"/>
        <v>قراردادي بهره بردار</v>
      </c>
      <c r="E716" s="1" t="str">
        <f t="shared" si="78"/>
        <v>پروژه بهره برداري نيروگاه بوشهر</v>
      </c>
      <c r="F716" s="1">
        <v>11088554</v>
      </c>
      <c r="G716" s="1">
        <v>2559099</v>
      </c>
      <c r="H716" s="1">
        <v>0</v>
      </c>
      <c r="I716" s="1">
        <v>8780328</v>
      </c>
      <c r="J716" s="1">
        <v>0</v>
      </c>
      <c r="K716" s="1">
        <v>4620000</v>
      </c>
      <c r="L716" s="1">
        <v>0</v>
      </c>
      <c r="M716" s="1">
        <v>400000</v>
      </c>
      <c r="N716" s="1">
        <v>1981988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1270000</v>
      </c>
      <c r="U716" s="1">
        <v>0</v>
      </c>
      <c r="V716" s="1">
        <v>13030009</v>
      </c>
      <c r="W716" s="1">
        <v>1100000</v>
      </c>
      <c r="X716" s="1">
        <v>1663283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1415705</v>
      </c>
      <c r="AF716" s="1">
        <v>1111269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7573683</v>
      </c>
      <c r="AM716" s="1">
        <v>0</v>
      </c>
      <c r="AN716" s="1">
        <v>56593918</v>
      </c>
      <c r="AO716" s="1">
        <v>9177518</v>
      </c>
      <c r="AP716" s="1">
        <v>47416400</v>
      </c>
      <c r="AQ716" s="1">
        <v>10842530</v>
      </c>
      <c r="AR716" s="1">
        <v>1626379</v>
      </c>
      <c r="AS716" s="1">
        <v>0</v>
      </c>
      <c r="AT716" s="1">
        <f t="shared" si="79"/>
        <v>69062827</v>
      </c>
    </row>
    <row r="717" spans="1:46">
      <c r="A717" s="1" t="str">
        <f>"00808"</f>
        <v>00808</v>
      </c>
      <c r="B717" s="1" t="str">
        <f>"رضا"</f>
        <v>رضا</v>
      </c>
      <c r="C717" s="1" t="str">
        <f>"نگهبان"</f>
        <v>نگهبان</v>
      </c>
      <c r="D717" s="1" t="str">
        <f t="shared" si="77"/>
        <v>قراردادي بهره بردار</v>
      </c>
      <c r="E717" s="1" t="str">
        <f t="shared" si="78"/>
        <v>پروژه بهره برداري نيروگاه بوشهر</v>
      </c>
      <c r="F717" s="1">
        <v>10957782</v>
      </c>
      <c r="G717" s="1">
        <v>6517030</v>
      </c>
      <c r="H717" s="1">
        <v>0</v>
      </c>
      <c r="I717" s="1">
        <v>8228284</v>
      </c>
      <c r="J717" s="1">
        <v>0</v>
      </c>
      <c r="K717" s="1">
        <v>3465000</v>
      </c>
      <c r="L717" s="1">
        <v>0</v>
      </c>
      <c r="M717" s="1">
        <v>400000</v>
      </c>
      <c r="N717" s="1">
        <v>1930417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12640903</v>
      </c>
      <c r="W717" s="1">
        <v>1100000</v>
      </c>
      <c r="X717" s="1">
        <v>1643667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1378870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7423943</v>
      </c>
      <c r="AM717" s="1">
        <v>0</v>
      </c>
      <c r="AN717" s="1">
        <v>55685896</v>
      </c>
      <c r="AO717" s="1">
        <v>10160794</v>
      </c>
      <c r="AP717" s="1">
        <v>45525102</v>
      </c>
      <c r="AQ717" s="1">
        <v>11137179</v>
      </c>
      <c r="AR717" s="1">
        <v>1670577</v>
      </c>
      <c r="AS717" s="1">
        <v>0</v>
      </c>
      <c r="AT717" s="1">
        <f t="shared" si="79"/>
        <v>68493652</v>
      </c>
    </row>
    <row r="718" spans="1:46">
      <c r="A718" s="1" t="str">
        <f>"00809"</f>
        <v>00809</v>
      </c>
      <c r="B718" s="1" t="str">
        <f>"حسين"</f>
        <v>حسين</v>
      </c>
      <c r="C718" s="1" t="str">
        <f>"سماواتي"</f>
        <v>سماواتي</v>
      </c>
      <c r="D718" s="1" t="str">
        <f t="shared" si="77"/>
        <v>قراردادي بهره بردار</v>
      </c>
      <c r="E718" s="1" t="str">
        <f t="shared" ref="E718:E733" si="80">"پروژه تعميرات نيروگاه بوشهر"</f>
        <v>پروژه تعميرات نيروگاه بوشهر</v>
      </c>
      <c r="F718" s="1">
        <v>19898389</v>
      </c>
      <c r="G718" s="1">
        <v>7053000</v>
      </c>
      <c r="H718" s="1">
        <v>0</v>
      </c>
      <c r="I718" s="1">
        <v>16573138</v>
      </c>
      <c r="J718" s="1">
        <v>0</v>
      </c>
      <c r="K718" s="1">
        <v>5500000</v>
      </c>
      <c r="L718" s="1">
        <v>0</v>
      </c>
      <c r="M718" s="1">
        <v>400000</v>
      </c>
      <c r="N718" s="1">
        <v>2761400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4396676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1972428</v>
      </c>
      <c r="AF718" s="1">
        <v>3333807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2761400</v>
      </c>
      <c r="AM718" s="1">
        <v>0</v>
      </c>
      <c r="AN718" s="1">
        <v>65750238</v>
      </c>
      <c r="AO718" s="1">
        <v>17108991</v>
      </c>
      <c r="AP718" s="1">
        <v>48641247</v>
      </c>
      <c r="AQ718" s="1">
        <v>12483286</v>
      </c>
      <c r="AR718" s="1">
        <v>1872493</v>
      </c>
      <c r="AS718" s="1">
        <v>0</v>
      </c>
      <c r="AT718" s="1">
        <f t="shared" si="79"/>
        <v>80106017</v>
      </c>
    </row>
    <row r="719" spans="1:46">
      <c r="A719" s="1" t="str">
        <f>"00811"</f>
        <v>00811</v>
      </c>
      <c r="B719" s="1" t="str">
        <f>"حسين"</f>
        <v>حسين</v>
      </c>
      <c r="C719" s="1" t="str">
        <f>"اسماعيلي مطلق"</f>
        <v>اسماعيلي مطلق</v>
      </c>
      <c r="D719" s="1" t="str">
        <f t="shared" ref="D719:D733" si="81">"قراردادي کارگري"</f>
        <v>قراردادي کارگري</v>
      </c>
      <c r="E719" s="1" t="str">
        <f t="shared" si="80"/>
        <v>پروژه تعميرات نيروگاه بوشهر</v>
      </c>
      <c r="F719" s="1">
        <v>6710184</v>
      </c>
      <c r="G719" s="1">
        <v>5869046</v>
      </c>
      <c r="H719" s="1">
        <v>0</v>
      </c>
      <c r="I719" s="1">
        <v>4093212</v>
      </c>
      <c r="J719" s="1">
        <v>0</v>
      </c>
      <c r="K719" s="1">
        <v>0</v>
      </c>
      <c r="L719" s="1">
        <v>4962830</v>
      </c>
      <c r="M719" s="1">
        <v>400000</v>
      </c>
      <c r="N719" s="1">
        <v>3355093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6031736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2868198</v>
      </c>
      <c r="AE719" s="1">
        <v>0</v>
      </c>
      <c r="AF719" s="1">
        <v>1111269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36501568</v>
      </c>
      <c r="AO719" s="1">
        <v>6309690</v>
      </c>
      <c r="AP719" s="1">
        <v>30191878</v>
      </c>
      <c r="AQ719" s="1">
        <v>7078060</v>
      </c>
      <c r="AR719" s="1">
        <v>1061709</v>
      </c>
      <c r="AS719" s="1">
        <v>795000</v>
      </c>
      <c r="AT719" s="1">
        <f t="shared" si="79"/>
        <v>45436337</v>
      </c>
    </row>
    <row r="720" spans="1:46">
      <c r="A720" s="1" t="str">
        <f>"00812"</f>
        <v>00812</v>
      </c>
      <c r="B720" s="1" t="str">
        <f>"نجف"</f>
        <v>نجف</v>
      </c>
      <c r="C720" s="1" t="str">
        <f>"انصاري"</f>
        <v>انصاري</v>
      </c>
      <c r="D720" s="1" t="str">
        <f t="shared" si="81"/>
        <v>قراردادي کارگري</v>
      </c>
      <c r="E720" s="1" t="str">
        <f t="shared" si="80"/>
        <v>پروژه تعميرات نيروگاه بوشهر</v>
      </c>
      <c r="F720" s="1">
        <v>5802707</v>
      </c>
      <c r="G720" s="1">
        <v>7322615</v>
      </c>
      <c r="H720" s="1">
        <v>0</v>
      </c>
      <c r="I720" s="1">
        <v>3655705</v>
      </c>
      <c r="J720" s="1">
        <v>0</v>
      </c>
      <c r="K720" s="1">
        <v>0</v>
      </c>
      <c r="L720" s="1">
        <v>5641282</v>
      </c>
      <c r="M720" s="1">
        <v>400000</v>
      </c>
      <c r="N720" s="1">
        <v>2882139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4334708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2697275</v>
      </c>
      <c r="AE720" s="1">
        <v>0</v>
      </c>
      <c r="AF720" s="1">
        <v>3333807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37170238</v>
      </c>
      <c r="AO720" s="1">
        <v>8731464</v>
      </c>
      <c r="AP720" s="1">
        <v>28438774</v>
      </c>
      <c r="AQ720" s="1">
        <v>6767286</v>
      </c>
      <c r="AR720" s="1">
        <v>1015093</v>
      </c>
      <c r="AS720" s="1">
        <v>1590000</v>
      </c>
      <c r="AT720" s="1">
        <f t="shared" si="79"/>
        <v>46542617</v>
      </c>
    </row>
    <row r="721" spans="1:46">
      <c r="A721" s="1" t="str">
        <f>"00813"</f>
        <v>00813</v>
      </c>
      <c r="B721" s="1" t="str">
        <f>"غلامرضا"</f>
        <v>غلامرضا</v>
      </c>
      <c r="C721" s="1" t="str">
        <f>"برخ"</f>
        <v>برخ</v>
      </c>
      <c r="D721" s="1" t="str">
        <f t="shared" si="81"/>
        <v>قراردادي کارگري</v>
      </c>
      <c r="E721" s="1" t="str">
        <f t="shared" si="80"/>
        <v>پروژه تعميرات نيروگاه بوشهر</v>
      </c>
      <c r="F721" s="1">
        <v>4619784</v>
      </c>
      <c r="G721" s="1">
        <v>13873205</v>
      </c>
      <c r="H721" s="1">
        <v>0</v>
      </c>
      <c r="I721" s="1">
        <v>2910464</v>
      </c>
      <c r="J721" s="1">
        <v>0</v>
      </c>
      <c r="K721" s="1">
        <v>0</v>
      </c>
      <c r="L721" s="1">
        <v>5218200</v>
      </c>
      <c r="M721" s="1">
        <v>400000</v>
      </c>
      <c r="N721" s="1">
        <v>2309893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4760523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2222538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37414607</v>
      </c>
      <c r="AO721" s="1">
        <v>8363100</v>
      </c>
      <c r="AP721" s="1">
        <v>29051507</v>
      </c>
      <c r="AQ721" s="1">
        <v>7038414</v>
      </c>
      <c r="AR721" s="1">
        <v>1055762</v>
      </c>
      <c r="AS721" s="1">
        <v>1060000</v>
      </c>
      <c r="AT721" s="1">
        <f t="shared" si="79"/>
        <v>46568783</v>
      </c>
    </row>
    <row r="722" spans="1:46">
      <c r="A722" s="1" t="str">
        <f>"00814"</f>
        <v>00814</v>
      </c>
      <c r="B722" s="1" t="str">
        <f>"مرتضي"</f>
        <v>مرتضي</v>
      </c>
      <c r="C722" s="1" t="str">
        <f>"پيش خورد"</f>
        <v>پيش خورد</v>
      </c>
      <c r="D722" s="1" t="str">
        <f t="shared" si="81"/>
        <v>قراردادي کارگري</v>
      </c>
      <c r="E722" s="1" t="str">
        <f t="shared" si="80"/>
        <v>پروژه تعميرات نيروگاه بوشهر</v>
      </c>
      <c r="F722" s="1">
        <v>8338431</v>
      </c>
      <c r="G722" s="1">
        <v>3701744</v>
      </c>
      <c r="H722" s="1">
        <v>0</v>
      </c>
      <c r="I722" s="1">
        <v>5836902</v>
      </c>
      <c r="J722" s="1">
        <v>0</v>
      </c>
      <c r="K722" s="1">
        <v>0</v>
      </c>
      <c r="L722" s="1">
        <v>3620700</v>
      </c>
      <c r="M722" s="1">
        <v>400000</v>
      </c>
      <c r="N722" s="1">
        <v>4417712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4505612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3333807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35254908</v>
      </c>
      <c r="AO722" s="1">
        <v>8624890</v>
      </c>
      <c r="AP722" s="1">
        <v>26630018</v>
      </c>
      <c r="AQ722" s="1">
        <v>6384220</v>
      </c>
      <c r="AR722" s="1">
        <v>957633</v>
      </c>
      <c r="AS722" s="1">
        <v>1325000</v>
      </c>
      <c r="AT722" s="1">
        <f t="shared" si="79"/>
        <v>43921761</v>
      </c>
    </row>
    <row r="723" spans="1:46">
      <c r="A723" s="1" t="str">
        <f>"00815"</f>
        <v>00815</v>
      </c>
      <c r="B723" s="1" t="str">
        <f>"امير"</f>
        <v>امير</v>
      </c>
      <c r="C723" s="1" t="str">
        <f>"جاودانيان"</f>
        <v>جاودانيان</v>
      </c>
      <c r="D723" s="1" t="str">
        <f t="shared" si="81"/>
        <v>قراردادي کارگري</v>
      </c>
      <c r="E723" s="1" t="str">
        <f t="shared" si="80"/>
        <v>پروژه تعميرات نيروگاه بوشهر</v>
      </c>
      <c r="F723" s="1">
        <v>5393232</v>
      </c>
      <c r="G723" s="1">
        <v>5575638</v>
      </c>
      <c r="H723" s="1">
        <v>0</v>
      </c>
      <c r="I723" s="1">
        <v>3235939</v>
      </c>
      <c r="J723" s="1">
        <v>0</v>
      </c>
      <c r="K723" s="1">
        <v>0</v>
      </c>
      <c r="L723" s="1">
        <v>5344467</v>
      </c>
      <c r="M723" s="1">
        <v>400000</v>
      </c>
      <c r="N723" s="1">
        <v>2696616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3452348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1111269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28309509</v>
      </c>
      <c r="AO723" s="1">
        <v>6572994</v>
      </c>
      <c r="AP723" s="1">
        <v>21736515</v>
      </c>
      <c r="AQ723" s="1">
        <v>5439648</v>
      </c>
      <c r="AR723" s="1">
        <v>815947</v>
      </c>
      <c r="AS723" s="1">
        <v>795000</v>
      </c>
      <c r="AT723" s="1">
        <f t="shared" si="79"/>
        <v>35360104</v>
      </c>
    </row>
    <row r="724" spans="1:46">
      <c r="A724" s="1" t="str">
        <f>"00816"</f>
        <v>00816</v>
      </c>
      <c r="B724" s="1" t="str">
        <f>"علي"</f>
        <v>علي</v>
      </c>
      <c r="C724" s="1" t="str">
        <f>"جاودانيان"</f>
        <v>جاودانيان</v>
      </c>
      <c r="D724" s="1" t="str">
        <f t="shared" si="81"/>
        <v>قراردادي کارگري</v>
      </c>
      <c r="E724" s="1" t="str">
        <f t="shared" si="80"/>
        <v>پروژه تعميرات نيروگاه بوشهر</v>
      </c>
      <c r="F724" s="1">
        <v>8800584</v>
      </c>
      <c r="G724" s="1">
        <v>13003844</v>
      </c>
      <c r="H724" s="1">
        <v>0</v>
      </c>
      <c r="I724" s="1">
        <v>6424426</v>
      </c>
      <c r="J724" s="1">
        <v>0</v>
      </c>
      <c r="K724" s="1">
        <v>0</v>
      </c>
      <c r="L724" s="1">
        <v>3620700</v>
      </c>
      <c r="M724" s="1">
        <v>400000</v>
      </c>
      <c r="N724" s="1">
        <v>4693645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5696453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1111269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44850921</v>
      </c>
      <c r="AO724" s="1">
        <v>10940137</v>
      </c>
      <c r="AP724" s="1">
        <v>33910784</v>
      </c>
      <c r="AQ724" s="1">
        <v>8747930</v>
      </c>
      <c r="AR724" s="1">
        <v>1312190</v>
      </c>
      <c r="AS724" s="1">
        <v>795000</v>
      </c>
      <c r="AT724" s="1">
        <f t="shared" si="79"/>
        <v>55706041</v>
      </c>
    </row>
    <row r="725" spans="1:46">
      <c r="A725" s="1" t="str">
        <f>"00817"</f>
        <v>00817</v>
      </c>
      <c r="B725" s="1" t="str">
        <f>"علي"</f>
        <v>علي</v>
      </c>
      <c r="C725" s="1" t="str">
        <f>"دهقاندوست"</f>
        <v>دهقاندوست</v>
      </c>
      <c r="D725" s="1" t="str">
        <f t="shared" si="81"/>
        <v>قراردادي کارگري</v>
      </c>
      <c r="E725" s="1" t="str">
        <f t="shared" si="80"/>
        <v>پروژه تعميرات نيروگاه بوشهر</v>
      </c>
      <c r="F725" s="1">
        <v>5302927</v>
      </c>
      <c r="G725" s="1">
        <v>14828258</v>
      </c>
      <c r="H725" s="1">
        <v>0</v>
      </c>
      <c r="I725" s="1">
        <v>3340844</v>
      </c>
      <c r="J725" s="1">
        <v>0</v>
      </c>
      <c r="K725" s="1">
        <v>0</v>
      </c>
      <c r="L725" s="1">
        <v>4837960</v>
      </c>
      <c r="M725" s="1">
        <v>400000</v>
      </c>
      <c r="N725" s="1">
        <v>2809498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5114978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3333807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41068272</v>
      </c>
      <c r="AO725" s="1">
        <v>8279334</v>
      </c>
      <c r="AP725" s="1">
        <v>32788938</v>
      </c>
      <c r="AQ725" s="1">
        <v>7546893</v>
      </c>
      <c r="AR725" s="1">
        <v>1132034</v>
      </c>
      <c r="AS725" s="1">
        <v>975000</v>
      </c>
      <c r="AT725" s="1">
        <f t="shared" si="79"/>
        <v>50722199</v>
      </c>
    </row>
    <row r="726" spans="1:46">
      <c r="A726" s="1" t="str">
        <f>"00819"</f>
        <v>00819</v>
      </c>
      <c r="B726" s="1" t="str">
        <f>"عبدالرضا"</f>
        <v>عبدالرضا</v>
      </c>
      <c r="C726" s="1" t="str">
        <f>"سليماني"</f>
        <v>سليماني</v>
      </c>
      <c r="D726" s="1" t="str">
        <f t="shared" si="81"/>
        <v>قراردادي کارگري</v>
      </c>
      <c r="E726" s="1" t="str">
        <f t="shared" si="80"/>
        <v>پروژه تعميرات نيروگاه بوشهر</v>
      </c>
      <c r="F726" s="1">
        <v>7332078</v>
      </c>
      <c r="G726" s="1">
        <v>9839397</v>
      </c>
      <c r="H726" s="1">
        <v>0</v>
      </c>
      <c r="I726" s="1">
        <v>5352417</v>
      </c>
      <c r="J726" s="1">
        <v>0</v>
      </c>
      <c r="K726" s="1">
        <v>0</v>
      </c>
      <c r="L726" s="1">
        <v>3620700</v>
      </c>
      <c r="M726" s="1">
        <v>400000</v>
      </c>
      <c r="N726" s="1">
        <v>3910442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6243246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4445076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42243356</v>
      </c>
      <c r="AO726" s="1">
        <v>8401182</v>
      </c>
      <c r="AP726" s="1">
        <v>33842174</v>
      </c>
      <c r="AQ726" s="1">
        <v>7559656</v>
      </c>
      <c r="AR726" s="1">
        <v>1133948</v>
      </c>
      <c r="AS726" s="1">
        <v>975000</v>
      </c>
      <c r="AT726" s="1">
        <f t="shared" si="79"/>
        <v>51911960</v>
      </c>
    </row>
    <row r="727" spans="1:46">
      <c r="A727" s="1" t="str">
        <f>"00821"</f>
        <v>00821</v>
      </c>
      <c r="B727" s="1" t="str">
        <f>"حمادي"</f>
        <v>حمادي</v>
      </c>
      <c r="C727" s="1" t="str">
        <f>"شعباني"</f>
        <v>شعباني</v>
      </c>
      <c r="D727" s="1" t="str">
        <f t="shared" si="81"/>
        <v>قراردادي کارگري</v>
      </c>
      <c r="E727" s="1" t="str">
        <f t="shared" si="80"/>
        <v>پروژه تعميرات نيروگاه بوشهر</v>
      </c>
      <c r="F727" s="1">
        <v>9013247</v>
      </c>
      <c r="G727" s="1">
        <v>0</v>
      </c>
      <c r="H727" s="1">
        <v>0</v>
      </c>
      <c r="I727" s="1">
        <v>6489538</v>
      </c>
      <c r="J727" s="1">
        <v>0</v>
      </c>
      <c r="K727" s="1">
        <v>0</v>
      </c>
      <c r="L727" s="1">
        <v>3620700</v>
      </c>
      <c r="M727" s="1">
        <v>400000</v>
      </c>
      <c r="N727" s="1">
        <v>4743814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10590848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4445076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40403223</v>
      </c>
      <c r="AO727" s="1">
        <v>6578373</v>
      </c>
      <c r="AP727" s="1">
        <v>33824850</v>
      </c>
      <c r="AQ727" s="1">
        <v>7191629</v>
      </c>
      <c r="AR727" s="1">
        <v>1078744</v>
      </c>
      <c r="AS727" s="1">
        <v>1060000</v>
      </c>
      <c r="AT727" s="1">
        <f t="shared" si="79"/>
        <v>49733596</v>
      </c>
    </row>
    <row r="728" spans="1:46">
      <c r="A728" s="1" t="str">
        <f>"00822"</f>
        <v>00822</v>
      </c>
      <c r="B728" s="1" t="str">
        <f>"محمد"</f>
        <v>محمد</v>
      </c>
      <c r="C728" s="1" t="str">
        <f>"مقاتلي"</f>
        <v>مقاتلي</v>
      </c>
      <c r="D728" s="1" t="str">
        <f t="shared" si="81"/>
        <v>قراردادي کارگري</v>
      </c>
      <c r="E728" s="1" t="str">
        <f t="shared" si="80"/>
        <v>پروژه تعميرات نيروگاه بوشهر</v>
      </c>
      <c r="F728" s="1">
        <v>8455668</v>
      </c>
      <c r="G728" s="1">
        <v>12258271</v>
      </c>
      <c r="H728" s="1">
        <v>0</v>
      </c>
      <c r="I728" s="1">
        <v>5242514</v>
      </c>
      <c r="J728" s="1">
        <v>0</v>
      </c>
      <c r="K728" s="1">
        <v>0</v>
      </c>
      <c r="L728" s="1">
        <v>4389193</v>
      </c>
      <c r="M728" s="1">
        <v>400000</v>
      </c>
      <c r="N728" s="1">
        <v>4509690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5421840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2222538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43999714</v>
      </c>
      <c r="AO728" s="1">
        <v>10198312</v>
      </c>
      <c r="AP728" s="1">
        <v>33801402</v>
      </c>
      <c r="AQ728" s="1">
        <v>8355435</v>
      </c>
      <c r="AR728" s="1">
        <v>1253315</v>
      </c>
      <c r="AS728" s="1">
        <v>780000</v>
      </c>
      <c r="AT728" s="1">
        <f t="shared" si="79"/>
        <v>54388464</v>
      </c>
    </row>
    <row r="729" spans="1:46">
      <c r="A729" s="1" t="str">
        <f>"00827"</f>
        <v>00827</v>
      </c>
      <c r="B729" s="1" t="str">
        <f>"رضا"</f>
        <v>رضا</v>
      </c>
      <c r="C729" s="1" t="str">
        <f>"غفاري"</f>
        <v>غفاري</v>
      </c>
      <c r="D729" s="1" t="str">
        <f t="shared" si="81"/>
        <v>قراردادي کارگري</v>
      </c>
      <c r="E729" s="1" t="str">
        <f t="shared" si="80"/>
        <v>پروژه تعميرات نيروگاه بوشهر</v>
      </c>
      <c r="F729" s="1">
        <v>7593378</v>
      </c>
      <c r="G729" s="1">
        <v>1990751</v>
      </c>
      <c r="H729" s="1">
        <v>0</v>
      </c>
      <c r="I729" s="1">
        <v>5391298</v>
      </c>
      <c r="J729" s="1">
        <v>0</v>
      </c>
      <c r="K729" s="1">
        <v>0</v>
      </c>
      <c r="L729" s="1">
        <v>3620700</v>
      </c>
      <c r="M729" s="1">
        <v>400000</v>
      </c>
      <c r="N729" s="1">
        <v>4049802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6646553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3098277</v>
      </c>
      <c r="AE729" s="1">
        <v>0</v>
      </c>
      <c r="AF729" s="1">
        <v>2222538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36113297</v>
      </c>
      <c r="AO729" s="1">
        <v>7068798</v>
      </c>
      <c r="AP729" s="1">
        <v>29044499</v>
      </c>
      <c r="AQ729" s="1">
        <v>6778152</v>
      </c>
      <c r="AR729" s="1">
        <v>1016723</v>
      </c>
      <c r="AS729" s="1">
        <v>1060000</v>
      </c>
      <c r="AT729" s="1">
        <f t="shared" si="79"/>
        <v>44968172</v>
      </c>
    </row>
    <row r="730" spans="1:46">
      <c r="A730" s="1" t="str">
        <f>"00828"</f>
        <v>00828</v>
      </c>
      <c r="B730" s="1" t="str">
        <f>"علي"</f>
        <v>علي</v>
      </c>
      <c r="C730" s="1" t="str">
        <f>"كابلي"</f>
        <v>كابلي</v>
      </c>
      <c r="D730" s="1" t="str">
        <f t="shared" si="81"/>
        <v>قراردادي کارگري</v>
      </c>
      <c r="E730" s="1" t="str">
        <f t="shared" si="80"/>
        <v>پروژه تعميرات نيروگاه بوشهر</v>
      </c>
      <c r="F730" s="1">
        <v>8575866</v>
      </c>
      <c r="G730" s="1">
        <v>3519483</v>
      </c>
      <c r="H730" s="1">
        <v>0</v>
      </c>
      <c r="I730" s="1">
        <v>6088865</v>
      </c>
      <c r="J730" s="1">
        <v>0</v>
      </c>
      <c r="K730" s="1">
        <v>0</v>
      </c>
      <c r="L730" s="1">
        <v>3620700</v>
      </c>
      <c r="M730" s="1">
        <v>400000</v>
      </c>
      <c r="N730" s="1">
        <v>4573795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7307768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3428884</v>
      </c>
      <c r="AE730" s="1">
        <v>0</v>
      </c>
      <c r="AF730" s="1">
        <v>3333807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41949168</v>
      </c>
      <c r="AO730" s="1">
        <v>8184841</v>
      </c>
      <c r="AP730" s="1">
        <v>33764327</v>
      </c>
      <c r="AQ730" s="1">
        <v>7723072</v>
      </c>
      <c r="AR730" s="1">
        <v>1158461</v>
      </c>
      <c r="AS730" s="1">
        <v>1325000</v>
      </c>
      <c r="AT730" s="1">
        <f t="shared" si="79"/>
        <v>52155701</v>
      </c>
    </row>
    <row r="731" spans="1:46">
      <c r="A731" s="1" t="str">
        <f>"00831"</f>
        <v>00831</v>
      </c>
      <c r="B731" s="1" t="str">
        <f>"مرتضي"</f>
        <v>مرتضي</v>
      </c>
      <c r="C731" s="1" t="str">
        <f>"كهن"</f>
        <v>كهن</v>
      </c>
      <c r="D731" s="1" t="str">
        <f t="shared" si="81"/>
        <v>قراردادي کارگري</v>
      </c>
      <c r="E731" s="1" t="str">
        <f t="shared" si="80"/>
        <v>پروژه تعميرات نيروگاه بوشهر</v>
      </c>
      <c r="F731" s="1">
        <v>6913998</v>
      </c>
      <c r="G731" s="1">
        <v>8350229</v>
      </c>
      <c r="H731" s="1">
        <v>0</v>
      </c>
      <c r="I731" s="1">
        <v>4978079</v>
      </c>
      <c r="J731" s="1">
        <v>0</v>
      </c>
      <c r="K731" s="1">
        <v>0</v>
      </c>
      <c r="L731" s="1">
        <v>3620700</v>
      </c>
      <c r="M731" s="1">
        <v>400000</v>
      </c>
      <c r="N731" s="1">
        <v>3687466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4657554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2222538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35930564</v>
      </c>
      <c r="AO731" s="1">
        <v>7368343</v>
      </c>
      <c r="AP731" s="1">
        <v>28562221</v>
      </c>
      <c r="AQ731" s="1">
        <v>6741605</v>
      </c>
      <c r="AR731" s="1">
        <v>1011241</v>
      </c>
      <c r="AS731" s="1">
        <v>585000</v>
      </c>
      <c r="AT731" s="1">
        <f t="shared" si="79"/>
        <v>44268410</v>
      </c>
    </row>
    <row r="732" spans="1:46">
      <c r="A732" s="1" t="str">
        <f>"00832"</f>
        <v>00832</v>
      </c>
      <c r="B732" s="1" t="str">
        <f>"ابراهيم"</f>
        <v>ابراهيم</v>
      </c>
      <c r="C732" s="1" t="str">
        <f>"عبدالهي"</f>
        <v>عبدالهي</v>
      </c>
      <c r="D732" s="1" t="str">
        <f t="shared" si="81"/>
        <v>قراردادي کارگري</v>
      </c>
      <c r="E732" s="1" t="str">
        <f t="shared" si="80"/>
        <v>پروژه تعميرات نيروگاه بوشهر</v>
      </c>
      <c r="F732" s="1">
        <v>6976710</v>
      </c>
      <c r="G732" s="1">
        <v>939275</v>
      </c>
      <c r="H732" s="1">
        <v>0</v>
      </c>
      <c r="I732" s="1">
        <v>4953464</v>
      </c>
      <c r="J732" s="1">
        <v>0</v>
      </c>
      <c r="K732" s="1">
        <v>0</v>
      </c>
      <c r="L732" s="1">
        <v>3620700</v>
      </c>
      <c r="M732" s="1">
        <v>400000</v>
      </c>
      <c r="N732" s="1">
        <v>3720912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6491183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28202244</v>
      </c>
      <c r="AO732" s="1">
        <v>4902875</v>
      </c>
      <c r="AP732" s="1">
        <v>23299369</v>
      </c>
      <c r="AQ732" s="1">
        <v>5640449</v>
      </c>
      <c r="AR732" s="1">
        <v>846067</v>
      </c>
      <c r="AS732" s="1">
        <v>600000</v>
      </c>
      <c r="AT732" s="1">
        <f t="shared" si="79"/>
        <v>35288760</v>
      </c>
    </row>
    <row r="733" spans="1:46">
      <c r="A733" s="1" t="str">
        <f>"00834"</f>
        <v>00834</v>
      </c>
      <c r="B733" s="1" t="str">
        <f>"محمد"</f>
        <v>محمد</v>
      </c>
      <c r="C733" s="1" t="str">
        <f>"عساکره"</f>
        <v>عساکره</v>
      </c>
      <c r="D733" s="1" t="str">
        <f t="shared" si="81"/>
        <v>قراردادي کارگري</v>
      </c>
      <c r="E733" s="1" t="str">
        <f t="shared" si="80"/>
        <v>پروژه تعميرات نيروگاه بوشهر</v>
      </c>
      <c r="F733" s="1">
        <v>4982015</v>
      </c>
      <c r="G733" s="1">
        <v>2028306</v>
      </c>
      <c r="H733" s="1">
        <v>0</v>
      </c>
      <c r="I733" s="1">
        <v>3138670</v>
      </c>
      <c r="J733" s="1">
        <v>0</v>
      </c>
      <c r="K733" s="1">
        <v>0</v>
      </c>
      <c r="L733" s="1">
        <v>5350529</v>
      </c>
      <c r="M733" s="1">
        <v>400000</v>
      </c>
      <c r="N733" s="1">
        <v>2474511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5451789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3333807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28259627</v>
      </c>
      <c r="AO733" s="1">
        <v>6254480</v>
      </c>
      <c r="AP733" s="1">
        <v>22005147</v>
      </c>
      <c r="AQ733" s="1">
        <v>4985164</v>
      </c>
      <c r="AR733" s="1">
        <v>747775</v>
      </c>
      <c r="AS733" s="1">
        <v>390000</v>
      </c>
      <c r="AT733" s="1">
        <f t="shared" si="79"/>
        <v>34382566</v>
      </c>
    </row>
    <row r="734" spans="1:46">
      <c r="A734" s="1" t="str">
        <f>"00835"</f>
        <v>00835</v>
      </c>
      <c r="B734" s="1" t="str">
        <f>"صادق"</f>
        <v>صادق</v>
      </c>
      <c r="C734" s="1" t="str">
        <f>"عباسي"</f>
        <v>عباسي</v>
      </c>
      <c r="D734" s="1" t="str">
        <f>"قراردادي بهره بردار"</f>
        <v>قراردادي بهره بردار</v>
      </c>
      <c r="E734" s="1" t="str">
        <f>"پروژه بهره برداري نيروگاه بوشهر"</f>
        <v>پروژه بهره برداري نيروگاه بوشهر</v>
      </c>
      <c r="F734" s="1">
        <v>17327979</v>
      </c>
      <c r="G734" s="1">
        <v>19126267</v>
      </c>
      <c r="H734" s="1">
        <v>3773700</v>
      </c>
      <c r="I734" s="1">
        <v>13375012</v>
      </c>
      <c r="J734" s="1">
        <v>0</v>
      </c>
      <c r="K734" s="1">
        <v>5500000</v>
      </c>
      <c r="L734" s="1">
        <v>0</v>
      </c>
      <c r="M734" s="1">
        <v>400000</v>
      </c>
      <c r="N734" s="1">
        <v>2353425</v>
      </c>
      <c r="O734" s="1">
        <v>0</v>
      </c>
      <c r="P734" s="1">
        <v>0</v>
      </c>
      <c r="Q734" s="1">
        <v>0</v>
      </c>
      <c r="R734" s="1">
        <v>0</v>
      </c>
      <c r="S734" s="1">
        <v>1525500</v>
      </c>
      <c r="T734" s="1">
        <v>1270000</v>
      </c>
      <c r="U734" s="1">
        <v>0</v>
      </c>
      <c r="V734" s="1">
        <v>3725896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1681018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2521527</v>
      </c>
      <c r="AM734" s="1">
        <v>0</v>
      </c>
      <c r="AN734" s="1">
        <v>73680324</v>
      </c>
      <c r="AO734" s="1">
        <v>11323567</v>
      </c>
      <c r="AP734" s="1">
        <v>62356757</v>
      </c>
      <c r="AQ734" s="1">
        <v>13422225</v>
      </c>
      <c r="AR734" s="1">
        <v>2013334</v>
      </c>
      <c r="AS734" s="1">
        <v>0</v>
      </c>
      <c r="AT734" s="1">
        <f t="shared" si="79"/>
        <v>89115883</v>
      </c>
    </row>
    <row r="735" spans="1:46">
      <c r="A735" s="1" t="str">
        <f>"00836"</f>
        <v>00836</v>
      </c>
      <c r="B735" s="1" t="str">
        <f>"حميد"</f>
        <v>حميد</v>
      </c>
      <c r="C735" s="1" t="str">
        <f>"گزدرازي"</f>
        <v>گزدرازي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8293662</v>
      </c>
      <c r="G735" s="1">
        <v>10846144</v>
      </c>
      <c r="H735" s="1">
        <v>0</v>
      </c>
      <c r="I735" s="1">
        <v>5971437</v>
      </c>
      <c r="J735" s="1">
        <v>0</v>
      </c>
      <c r="K735" s="1">
        <v>0</v>
      </c>
      <c r="L735" s="1">
        <v>3620700</v>
      </c>
      <c r="M735" s="1">
        <v>400000</v>
      </c>
      <c r="N735" s="1">
        <v>4423286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7440339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3333807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45429375</v>
      </c>
      <c r="AO735" s="1">
        <v>12946282</v>
      </c>
      <c r="AP735" s="1">
        <v>32483093</v>
      </c>
      <c r="AQ735" s="1">
        <v>8419114</v>
      </c>
      <c r="AR735" s="1">
        <v>1262867</v>
      </c>
      <c r="AS735" s="1">
        <v>1590000</v>
      </c>
      <c r="AT735" s="1">
        <f t="shared" si="79"/>
        <v>56701356</v>
      </c>
    </row>
    <row r="736" spans="1:46">
      <c r="A736" s="1" t="str">
        <f>"00837"</f>
        <v>00837</v>
      </c>
      <c r="B736" s="1" t="str">
        <f>"فرشيد"</f>
        <v>فرشيد</v>
      </c>
      <c r="C736" s="1" t="str">
        <f>"عباسيان"</f>
        <v>عباسيان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5058768</v>
      </c>
      <c r="G736" s="1">
        <v>3381767</v>
      </c>
      <c r="H736" s="1">
        <v>0</v>
      </c>
      <c r="I736" s="1">
        <v>4047014</v>
      </c>
      <c r="J736" s="1">
        <v>0</v>
      </c>
      <c r="K736" s="1">
        <v>0</v>
      </c>
      <c r="L736" s="1">
        <v>5675700</v>
      </c>
      <c r="M736" s="1">
        <v>400000</v>
      </c>
      <c r="N736" s="1">
        <v>2529384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5878396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2222538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30293567</v>
      </c>
      <c r="AO736" s="1">
        <v>8112662</v>
      </c>
      <c r="AP736" s="1">
        <v>22180905</v>
      </c>
      <c r="AQ736" s="1">
        <v>5614206</v>
      </c>
      <c r="AR736" s="1">
        <v>842131</v>
      </c>
      <c r="AS736" s="1">
        <v>1060000</v>
      </c>
      <c r="AT736" s="1">
        <f t="shared" si="79"/>
        <v>37809904</v>
      </c>
    </row>
    <row r="737" spans="1:46">
      <c r="A737" s="1" t="str">
        <f>"00838"</f>
        <v>00838</v>
      </c>
      <c r="B737" s="1" t="str">
        <f>"حسن"</f>
        <v>حسن</v>
      </c>
      <c r="C737" s="1" t="str">
        <f>"رستمي"</f>
        <v>رستمي</v>
      </c>
      <c r="D737" s="1" t="str">
        <f>"قراردادي کارگري"</f>
        <v>قراردادي کارگري</v>
      </c>
      <c r="E737" s="1" t="str">
        <f>"پروژه تعميرات نيروگاه بوشهر"</f>
        <v>پروژه تعميرات نيروگاه بوشهر</v>
      </c>
      <c r="F737" s="1">
        <v>8227954</v>
      </c>
      <c r="G737" s="1">
        <v>7317744</v>
      </c>
      <c r="H737" s="1">
        <v>0</v>
      </c>
      <c r="I737" s="1">
        <v>5924127</v>
      </c>
      <c r="J737" s="1">
        <v>0</v>
      </c>
      <c r="K737" s="1">
        <v>0</v>
      </c>
      <c r="L737" s="1">
        <v>3620700</v>
      </c>
      <c r="M737" s="1">
        <v>400000</v>
      </c>
      <c r="N737" s="1">
        <v>4359181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7384988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3333807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41668501</v>
      </c>
      <c r="AO737" s="1">
        <v>10896930</v>
      </c>
      <c r="AP737" s="1">
        <v>30771571</v>
      </c>
      <c r="AQ737" s="1">
        <v>7666939</v>
      </c>
      <c r="AR737" s="1">
        <v>1150041</v>
      </c>
      <c r="AS737" s="1">
        <v>975000</v>
      </c>
      <c r="AT737" s="1">
        <f t="shared" si="79"/>
        <v>51460481</v>
      </c>
    </row>
    <row r="738" spans="1:46">
      <c r="A738" s="1" t="str">
        <f>"00839"</f>
        <v>00839</v>
      </c>
      <c r="B738" s="1" t="str">
        <f>"اکبر"</f>
        <v>اکبر</v>
      </c>
      <c r="C738" s="1" t="str">
        <f>"يزدان پناه"</f>
        <v>يزدان پناه</v>
      </c>
      <c r="D738" s="1" t="str">
        <f>"قراردادي کارگري"</f>
        <v>قراردادي کارگري</v>
      </c>
      <c r="E738" s="1" t="str">
        <f>"پروژه تعميرات نيروگاه بوشهر"</f>
        <v>پروژه تعميرات نيروگاه بوشهر</v>
      </c>
      <c r="F738" s="1">
        <v>7112586</v>
      </c>
      <c r="G738" s="1">
        <v>8423926</v>
      </c>
      <c r="H738" s="1">
        <v>0</v>
      </c>
      <c r="I738" s="1">
        <v>5121062</v>
      </c>
      <c r="J738" s="1">
        <v>0</v>
      </c>
      <c r="K738" s="1">
        <v>0</v>
      </c>
      <c r="L738" s="1">
        <v>3620700</v>
      </c>
      <c r="M738" s="1">
        <v>400000</v>
      </c>
      <c r="N738" s="1">
        <v>3793379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6608665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2222538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38402856</v>
      </c>
      <c r="AO738" s="1">
        <v>6870444</v>
      </c>
      <c r="AP738" s="1">
        <v>31532412</v>
      </c>
      <c r="AQ738" s="1">
        <v>7236064</v>
      </c>
      <c r="AR738" s="1">
        <v>1085410</v>
      </c>
      <c r="AS738" s="1">
        <v>1325000</v>
      </c>
      <c r="AT738" s="1">
        <f t="shared" si="79"/>
        <v>48049330</v>
      </c>
    </row>
    <row r="739" spans="1:46">
      <c r="A739" s="1" t="str">
        <f>"00840"</f>
        <v>00840</v>
      </c>
      <c r="B739" s="1" t="str">
        <f>"سعيد"</f>
        <v>سعيد</v>
      </c>
      <c r="C739" s="1" t="str">
        <f>"اکبري"</f>
        <v>اکبري</v>
      </c>
      <c r="D739" s="1" t="str">
        <f t="shared" ref="D739:D760" si="82">"قراردادي بهره بردار"</f>
        <v>قراردادي بهره بردار</v>
      </c>
      <c r="E739" s="1" t="str">
        <f>"پروژه بهره برداري نيروگاه بوشهر"</f>
        <v>پروژه بهره برداري نيروگاه بوشهر</v>
      </c>
      <c r="F739" s="1">
        <v>15201639</v>
      </c>
      <c r="G739" s="1">
        <v>2774222</v>
      </c>
      <c r="H739" s="1">
        <v>0</v>
      </c>
      <c r="I739" s="1">
        <v>11530169</v>
      </c>
      <c r="J739" s="1">
        <v>0</v>
      </c>
      <c r="K739" s="1">
        <v>4125000</v>
      </c>
      <c r="L739" s="1">
        <v>0</v>
      </c>
      <c r="M739" s="1">
        <v>400000</v>
      </c>
      <c r="N739" s="1">
        <v>2549244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8253884</v>
      </c>
      <c r="W739" s="1">
        <v>1100000</v>
      </c>
      <c r="X739" s="1">
        <v>2280246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1820888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8202268</v>
      </c>
      <c r="AM739" s="1">
        <v>0</v>
      </c>
      <c r="AN739" s="1">
        <v>58237560</v>
      </c>
      <c r="AO739" s="1">
        <v>9325910</v>
      </c>
      <c r="AP739" s="1">
        <v>48911650</v>
      </c>
      <c r="AQ739" s="1">
        <v>11647512</v>
      </c>
      <c r="AR739" s="1">
        <v>1747127</v>
      </c>
      <c r="AS739" s="1">
        <v>0</v>
      </c>
      <c r="AT739" s="1">
        <f t="shared" si="79"/>
        <v>71632199</v>
      </c>
    </row>
    <row r="740" spans="1:46">
      <c r="A740" s="1" t="str">
        <f>"00841"</f>
        <v>00841</v>
      </c>
      <c r="B740" s="1" t="str">
        <f>"يوسف"</f>
        <v>يوسف</v>
      </c>
      <c r="C740" s="1" t="str">
        <f>"آهنين جان"</f>
        <v>آهنين جان</v>
      </c>
      <c r="D740" s="1" t="str">
        <f t="shared" si="82"/>
        <v>قراردادي بهره بردار</v>
      </c>
      <c r="E740" s="1" t="str">
        <f t="shared" ref="E740:E760" si="83">"پروژه تعميرات نيروگاه بوشهر"</f>
        <v>پروژه تعميرات نيروگاه بوشهر</v>
      </c>
      <c r="F740" s="1">
        <v>11003470</v>
      </c>
      <c r="G740" s="1">
        <v>0</v>
      </c>
      <c r="H740" s="1">
        <v>0</v>
      </c>
      <c r="I740" s="1">
        <v>8192868</v>
      </c>
      <c r="J740" s="1">
        <v>0</v>
      </c>
      <c r="K740" s="1">
        <v>5390000</v>
      </c>
      <c r="L740" s="1">
        <v>0</v>
      </c>
      <c r="M740" s="1">
        <v>400000</v>
      </c>
      <c r="N740" s="1">
        <v>1905991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4770271</v>
      </c>
      <c r="W740" s="1">
        <v>1100000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1361423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6015479</v>
      </c>
      <c r="AM740" s="1">
        <v>0</v>
      </c>
      <c r="AN740" s="1">
        <v>40139502</v>
      </c>
      <c r="AO740" s="1">
        <v>6419020</v>
      </c>
      <c r="AP740" s="1">
        <v>33720482</v>
      </c>
      <c r="AQ740" s="1">
        <v>8027900</v>
      </c>
      <c r="AR740" s="1">
        <v>1204185</v>
      </c>
      <c r="AS740" s="1">
        <v>0</v>
      </c>
      <c r="AT740" s="1">
        <f t="shared" si="79"/>
        <v>49371587</v>
      </c>
    </row>
    <row r="741" spans="1:46">
      <c r="A741" s="1" t="str">
        <f>"00842"</f>
        <v>00842</v>
      </c>
      <c r="B741" s="1" t="str">
        <f>"نعمت اله"</f>
        <v>نعمت اله</v>
      </c>
      <c r="C741" s="1" t="str">
        <f>"احمدي ديرين"</f>
        <v>احمدي ديرين</v>
      </c>
      <c r="D741" s="1" t="str">
        <f t="shared" si="82"/>
        <v>قراردادي بهره بردار</v>
      </c>
      <c r="E741" s="1" t="str">
        <f t="shared" si="83"/>
        <v>پروژه تعميرات نيروگاه بوشهر</v>
      </c>
      <c r="F741" s="1">
        <v>10694105</v>
      </c>
      <c r="G741" s="1">
        <v>0</v>
      </c>
      <c r="H741" s="1">
        <v>0</v>
      </c>
      <c r="I741" s="1">
        <v>8264027</v>
      </c>
      <c r="J741" s="1">
        <v>0</v>
      </c>
      <c r="K741" s="1">
        <v>3465000</v>
      </c>
      <c r="L741" s="1">
        <v>0</v>
      </c>
      <c r="M741" s="1">
        <v>400000</v>
      </c>
      <c r="N741" s="1">
        <v>1816425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10359480</v>
      </c>
      <c r="W741" s="1">
        <v>1100000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1297446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5189786</v>
      </c>
      <c r="AM741" s="1">
        <v>0</v>
      </c>
      <c r="AN741" s="1">
        <v>42586269</v>
      </c>
      <c r="AO741" s="1">
        <v>7874070</v>
      </c>
      <c r="AP741" s="1">
        <v>34712199</v>
      </c>
      <c r="AQ741" s="1">
        <v>8517254</v>
      </c>
      <c r="AR741" s="1">
        <v>1277588</v>
      </c>
      <c r="AS741" s="1">
        <v>0</v>
      </c>
      <c r="AT741" s="1">
        <f t="shared" si="79"/>
        <v>52381111</v>
      </c>
    </row>
    <row r="742" spans="1:46">
      <c r="A742" s="1" t="str">
        <f>"00843"</f>
        <v>00843</v>
      </c>
      <c r="B742" s="1" t="str">
        <f>"رضا"</f>
        <v>رضا</v>
      </c>
      <c r="C742" s="1" t="str">
        <f>"الياسي"</f>
        <v>الياسي</v>
      </c>
      <c r="D742" s="1" t="str">
        <f t="shared" si="82"/>
        <v>قراردادي بهره بردار</v>
      </c>
      <c r="E742" s="1" t="str">
        <f t="shared" si="83"/>
        <v>پروژه تعميرات نيروگاه بوشهر</v>
      </c>
      <c r="F742" s="1">
        <v>12914165</v>
      </c>
      <c r="G742" s="1">
        <v>0</v>
      </c>
      <c r="H742" s="1">
        <v>0</v>
      </c>
      <c r="I742" s="1">
        <v>10461288</v>
      </c>
      <c r="J742" s="1">
        <v>0</v>
      </c>
      <c r="K742" s="1">
        <v>4620000</v>
      </c>
      <c r="L742" s="1">
        <v>0</v>
      </c>
      <c r="M742" s="1">
        <v>400000</v>
      </c>
      <c r="N742" s="1">
        <v>2431674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12737224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1736911</v>
      </c>
      <c r="AF742" s="1">
        <v>1111269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5974973</v>
      </c>
      <c r="AM742" s="1">
        <v>0</v>
      </c>
      <c r="AN742" s="1">
        <v>53487504</v>
      </c>
      <c r="AO742" s="1">
        <v>15467800</v>
      </c>
      <c r="AP742" s="1">
        <v>38019704</v>
      </c>
      <c r="AQ742" s="1">
        <v>10475247</v>
      </c>
      <c r="AR742" s="1">
        <v>1571287</v>
      </c>
      <c r="AS742" s="1">
        <v>0</v>
      </c>
      <c r="AT742" s="1">
        <f t="shared" si="79"/>
        <v>65534038</v>
      </c>
    </row>
    <row r="743" spans="1:46">
      <c r="A743" s="1" t="str">
        <f>"00844"</f>
        <v>00844</v>
      </c>
      <c r="B743" s="1" t="str">
        <f>"محمدرضا"</f>
        <v>محمدرضا</v>
      </c>
      <c r="C743" s="1" t="str">
        <f>"چاووشيان نائيني"</f>
        <v>چاووشيان نائيني</v>
      </c>
      <c r="D743" s="1" t="str">
        <f t="shared" si="82"/>
        <v>قراردادي بهره بردار</v>
      </c>
      <c r="E743" s="1" t="str">
        <f t="shared" si="83"/>
        <v>پروژه تعميرات نيروگاه بوشهر</v>
      </c>
      <c r="F743" s="1">
        <v>16198282</v>
      </c>
      <c r="G743" s="1">
        <v>4861530</v>
      </c>
      <c r="H743" s="1">
        <v>0</v>
      </c>
      <c r="I743" s="1">
        <v>12698112</v>
      </c>
      <c r="J743" s="1">
        <v>0</v>
      </c>
      <c r="K743" s="1">
        <v>5500000</v>
      </c>
      <c r="L743" s="1">
        <v>0</v>
      </c>
      <c r="M743" s="1">
        <v>400000</v>
      </c>
      <c r="N743" s="1">
        <v>2877408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7330717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2055291</v>
      </c>
      <c r="AF743" s="1">
        <v>1111269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3288466</v>
      </c>
      <c r="AM743" s="1">
        <v>0</v>
      </c>
      <c r="AN743" s="1">
        <v>57421075</v>
      </c>
      <c r="AO743" s="1">
        <v>12538520</v>
      </c>
      <c r="AP743" s="1">
        <v>44882555</v>
      </c>
      <c r="AQ743" s="1">
        <v>11261961</v>
      </c>
      <c r="AR743" s="1">
        <v>1689294</v>
      </c>
      <c r="AS743" s="1">
        <v>0</v>
      </c>
      <c r="AT743" s="1">
        <f t="shared" si="79"/>
        <v>70372330</v>
      </c>
    </row>
    <row r="744" spans="1:46">
      <c r="A744" s="1" t="str">
        <f>"00845"</f>
        <v>00845</v>
      </c>
      <c r="B744" s="1" t="str">
        <f>"مهدي"</f>
        <v>مهدي</v>
      </c>
      <c r="C744" s="1" t="str">
        <f>"حسيني"</f>
        <v>حسيني</v>
      </c>
      <c r="D744" s="1" t="str">
        <f t="shared" si="82"/>
        <v>قراردادي بهره بردار</v>
      </c>
      <c r="E744" s="1" t="str">
        <f t="shared" si="83"/>
        <v>پروژه تعميرات نيروگاه بوشهر</v>
      </c>
      <c r="F744" s="1">
        <v>15768481</v>
      </c>
      <c r="G744" s="1">
        <v>0</v>
      </c>
      <c r="H744" s="1">
        <v>0</v>
      </c>
      <c r="I744" s="1">
        <v>11520940</v>
      </c>
      <c r="J744" s="1">
        <v>0</v>
      </c>
      <c r="K744" s="1">
        <v>5500000</v>
      </c>
      <c r="L744" s="1">
        <v>0</v>
      </c>
      <c r="M744" s="1">
        <v>400000</v>
      </c>
      <c r="N744" s="1">
        <v>2703562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5864826</v>
      </c>
      <c r="W744" s="1">
        <v>1100000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1931116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3089785</v>
      </c>
      <c r="AM744" s="1">
        <v>0</v>
      </c>
      <c r="AN744" s="1">
        <v>47878710</v>
      </c>
      <c r="AO744" s="1">
        <v>12688521</v>
      </c>
      <c r="AP744" s="1">
        <v>35190189</v>
      </c>
      <c r="AQ744" s="1">
        <v>9575742</v>
      </c>
      <c r="AR744" s="1">
        <v>1436361</v>
      </c>
      <c r="AS744" s="1">
        <v>0</v>
      </c>
      <c r="AT744" s="1">
        <f t="shared" si="79"/>
        <v>58890813</v>
      </c>
    </row>
    <row r="745" spans="1:46">
      <c r="A745" s="1" t="str">
        <f>"00846"</f>
        <v>00846</v>
      </c>
      <c r="B745" s="1" t="str">
        <f>"حميد"</f>
        <v>حميد</v>
      </c>
      <c r="C745" s="1" t="str">
        <f>"رضايي"</f>
        <v>رضايي</v>
      </c>
      <c r="D745" s="1" t="str">
        <f t="shared" si="82"/>
        <v>قراردادي بهره بردار</v>
      </c>
      <c r="E745" s="1" t="str">
        <f t="shared" si="83"/>
        <v>پروژه تعميرات نيروگاه بوشهر</v>
      </c>
      <c r="F745" s="1">
        <v>10182472</v>
      </c>
      <c r="G745" s="1">
        <v>0</v>
      </c>
      <c r="H745" s="1">
        <v>0</v>
      </c>
      <c r="I745" s="1">
        <v>7661929</v>
      </c>
      <c r="J745" s="1">
        <v>0</v>
      </c>
      <c r="K745" s="1">
        <v>3465000</v>
      </c>
      <c r="L745" s="1">
        <v>0</v>
      </c>
      <c r="M745" s="1">
        <v>400000</v>
      </c>
      <c r="N745" s="1">
        <v>1625565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9604713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1161119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4644473</v>
      </c>
      <c r="AM745" s="1">
        <v>0</v>
      </c>
      <c r="AN745" s="1">
        <v>39845271</v>
      </c>
      <c r="AO745" s="1">
        <v>4878902</v>
      </c>
      <c r="AP745" s="1">
        <v>34966369</v>
      </c>
      <c r="AQ745" s="1">
        <v>7969054</v>
      </c>
      <c r="AR745" s="1">
        <v>1195358</v>
      </c>
      <c r="AS745" s="1">
        <v>0</v>
      </c>
      <c r="AT745" s="1">
        <f t="shared" si="79"/>
        <v>49009683</v>
      </c>
    </row>
    <row r="746" spans="1:46">
      <c r="A746" s="1" t="str">
        <f>"00847"</f>
        <v>00847</v>
      </c>
      <c r="B746" s="1" t="str">
        <f>"امين"</f>
        <v>امين</v>
      </c>
      <c r="C746" s="1" t="str">
        <f>"رودحله پور"</f>
        <v>رودحله پور</v>
      </c>
      <c r="D746" s="1" t="str">
        <f t="shared" si="82"/>
        <v>قراردادي بهره بردار</v>
      </c>
      <c r="E746" s="1" t="str">
        <f t="shared" si="83"/>
        <v>پروژه تعميرات نيروگاه بوشهر</v>
      </c>
      <c r="F746" s="1">
        <v>14890934</v>
      </c>
      <c r="G746" s="1">
        <v>5044615</v>
      </c>
      <c r="H746" s="1">
        <v>0</v>
      </c>
      <c r="I746" s="1">
        <v>11084697</v>
      </c>
      <c r="J746" s="1">
        <v>0</v>
      </c>
      <c r="K746" s="1">
        <v>5500000</v>
      </c>
      <c r="L746" s="1">
        <v>0</v>
      </c>
      <c r="M746" s="1">
        <v>400000</v>
      </c>
      <c r="N746" s="1">
        <v>2395319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7876655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1710941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2737507</v>
      </c>
      <c r="AM746" s="1">
        <v>0</v>
      </c>
      <c r="AN746" s="1">
        <v>52740668</v>
      </c>
      <c r="AO746" s="1">
        <v>10619995</v>
      </c>
      <c r="AP746" s="1">
        <v>42120673</v>
      </c>
      <c r="AQ746" s="1">
        <v>10548134</v>
      </c>
      <c r="AR746" s="1">
        <v>1582220</v>
      </c>
      <c r="AS746" s="1">
        <v>0</v>
      </c>
      <c r="AT746" s="1">
        <f t="shared" si="79"/>
        <v>64871022</v>
      </c>
    </row>
    <row r="747" spans="1:46">
      <c r="A747" s="1" t="str">
        <f>"00848"</f>
        <v>00848</v>
      </c>
      <c r="B747" s="1" t="str">
        <f>"سلمان"</f>
        <v>سلمان</v>
      </c>
      <c r="C747" s="1" t="str">
        <f>"شجاعي خو"</f>
        <v>شجاعي خو</v>
      </c>
      <c r="D747" s="1" t="str">
        <f t="shared" si="82"/>
        <v>قراردادي بهره بردار</v>
      </c>
      <c r="E747" s="1" t="str">
        <f t="shared" si="83"/>
        <v>پروژه تعميرات نيروگاه بوشهر</v>
      </c>
      <c r="F747" s="1">
        <v>10449441</v>
      </c>
      <c r="G747" s="1">
        <v>0</v>
      </c>
      <c r="H747" s="1">
        <v>0</v>
      </c>
      <c r="I747" s="1">
        <v>7719904</v>
      </c>
      <c r="J747" s="1">
        <v>0</v>
      </c>
      <c r="K747" s="1">
        <v>3465000</v>
      </c>
      <c r="L747" s="1">
        <v>0</v>
      </c>
      <c r="M747" s="1">
        <v>400000</v>
      </c>
      <c r="N747" s="1">
        <v>1701791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5347174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1215564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4376032</v>
      </c>
      <c r="AM747" s="1">
        <v>0</v>
      </c>
      <c r="AN747" s="1">
        <v>35774906</v>
      </c>
      <c r="AO747" s="1">
        <v>7605578</v>
      </c>
      <c r="AP747" s="1">
        <v>28169328</v>
      </c>
      <c r="AQ747" s="1">
        <v>7154981</v>
      </c>
      <c r="AR747" s="1">
        <v>1073247</v>
      </c>
      <c r="AS747" s="1">
        <v>0</v>
      </c>
      <c r="AT747" s="1">
        <f t="shared" si="79"/>
        <v>44003134</v>
      </c>
    </row>
    <row r="748" spans="1:46">
      <c r="A748" s="1" t="str">
        <f>"00849"</f>
        <v>00849</v>
      </c>
      <c r="B748" s="1" t="str">
        <f>"مرتضي"</f>
        <v>مرتضي</v>
      </c>
      <c r="C748" s="1" t="str">
        <f>"شريفيان"</f>
        <v>شريفيان</v>
      </c>
      <c r="D748" s="1" t="str">
        <f t="shared" si="82"/>
        <v>قراردادي بهره بردار</v>
      </c>
      <c r="E748" s="1" t="str">
        <f t="shared" si="83"/>
        <v>پروژه تعميرات نيروگاه بوشهر</v>
      </c>
      <c r="F748" s="1">
        <v>10629349</v>
      </c>
      <c r="G748" s="1">
        <v>0</v>
      </c>
      <c r="H748" s="1">
        <v>0</v>
      </c>
      <c r="I748" s="1">
        <v>8287674</v>
      </c>
      <c r="J748" s="1">
        <v>0</v>
      </c>
      <c r="K748" s="1">
        <v>4620000</v>
      </c>
      <c r="L748" s="1">
        <v>0</v>
      </c>
      <c r="M748" s="1">
        <v>400000</v>
      </c>
      <c r="N748" s="1">
        <v>1769997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5786097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1264284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4349136</v>
      </c>
      <c r="AM748" s="1">
        <v>0</v>
      </c>
      <c r="AN748" s="1">
        <v>38206537</v>
      </c>
      <c r="AO748" s="1">
        <v>6511595</v>
      </c>
      <c r="AP748" s="1">
        <v>31694942</v>
      </c>
      <c r="AQ748" s="1">
        <v>7641307</v>
      </c>
      <c r="AR748" s="1">
        <v>1146196</v>
      </c>
      <c r="AS748" s="1">
        <v>0</v>
      </c>
      <c r="AT748" s="1">
        <f t="shared" si="79"/>
        <v>46994040</v>
      </c>
    </row>
    <row r="749" spans="1:46">
      <c r="A749" s="1" t="str">
        <f>"00850"</f>
        <v>00850</v>
      </c>
      <c r="B749" s="1" t="str">
        <f>"رضا"</f>
        <v>رضا</v>
      </c>
      <c r="C749" s="1" t="str">
        <f>"شکرانه"</f>
        <v>شکرانه</v>
      </c>
      <c r="D749" s="1" t="str">
        <f t="shared" si="82"/>
        <v>قراردادي بهره بردار</v>
      </c>
      <c r="E749" s="1" t="str">
        <f t="shared" si="83"/>
        <v>پروژه تعميرات نيروگاه بوشهر</v>
      </c>
      <c r="F749" s="1">
        <v>11077135</v>
      </c>
      <c r="G749" s="1">
        <v>5822117</v>
      </c>
      <c r="H749" s="1">
        <v>0</v>
      </c>
      <c r="I749" s="1">
        <v>11004226</v>
      </c>
      <c r="J749" s="1">
        <v>0</v>
      </c>
      <c r="K749" s="1">
        <v>4620000</v>
      </c>
      <c r="L749" s="1">
        <v>0</v>
      </c>
      <c r="M749" s="1">
        <v>400000</v>
      </c>
      <c r="N749" s="1">
        <v>1960403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9271964</v>
      </c>
      <c r="W749" s="1">
        <v>1100000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1400288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5209069</v>
      </c>
      <c r="AM749" s="1">
        <v>0</v>
      </c>
      <c r="AN749" s="1">
        <v>51865202</v>
      </c>
      <c r="AO749" s="1">
        <v>9319706</v>
      </c>
      <c r="AP749" s="1">
        <v>42545496</v>
      </c>
      <c r="AQ749" s="1">
        <v>10373040</v>
      </c>
      <c r="AR749" s="1">
        <v>1555956</v>
      </c>
      <c r="AS749" s="1">
        <v>0</v>
      </c>
      <c r="AT749" s="1">
        <f t="shared" si="79"/>
        <v>63794198</v>
      </c>
    </row>
    <row r="750" spans="1:46">
      <c r="A750" s="1" t="str">
        <f>"00851"</f>
        <v>00851</v>
      </c>
      <c r="B750" s="1" t="str">
        <f>"حسن"</f>
        <v>حسن</v>
      </c>
      <c r="C750" s="1" t="str">
        <f>"شيخياني"</f>
        <v>شيخياني</v>
      </c>
      <c r="D750" s="1" t="str">
        <f t="shared" si="82"/>
        <v>قراردادي بهره بردار</v>
      </c>
      <c r="E750" s="1" t="str">
        <f t="shared" si="83"/>
        <v>پروژه تعميرات نيروگاه بوشهر</v>
      </c>
      <c r="F750" s="1">
        <v>15173119</v>
      </c>
      <c r="G750" s="1">
        <v>5886127</v>
      </c>
      <c r="H750" s="1">
        <v>0</v>
      </c>
      <c r="I750" s="1">
        <v>10951572</v>
      </c>
      <c r="J750" s="1">
        <v>0</v>
      </c>
      <c r="K750" s="1">
        <v>5500000</v>
      </c>
      <c r="L750" s="1">
        <v>0</v>
      </c>
      <c r="M750" s="1">
        <v>400000</v>
      </c>
      <c r="N750" s="1">
        <v>2479482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5585302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1771059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2479482</v>
      </c>
      <c r="AM750" s="1">
        <v>0</v>
      </c>
      <c r="AN750" s="1">
        <v>51326143</v>
      </c>
      <c r="AO750" s="1">
        <v>12502355</v>
      </c>
      <c r="AP750" s="1">
        <v>38823788</v>
      </c>
      <c r="AQ750" s="1">
        <v>10265229</v>
      </c>
      <c r="AR750" s="1">
        <v>1539784</v>
      </c>
      <c r="AS750" s="1">
        <v>0</v>
      </c>
      <c r="AT750" s="1">
        <f t="shared" si="79"/>
        <v>63131156</v>
      </c>
    </row>
    <row r="751" spans="1:46">
      <c r="A751" s="1" t="str">
        <f>"00852"</f>
        <v>00852</v>
      </c>
      <c r="B751" s="1" t="str">
        <f>"علي"</f>
        <v>علي</v>
      </c>
      <c r="C751" s="1" t="str">
        <f>"صالحي"</f>
        <v>صالحي</v>
      </c>
      <c r="D751" s="1" t="str">
        <f t="shared" si="82"/>
        <v>قراردادي بهره بردار</v>
      </c>
      <c r="E751" s="1" t="str">
        <f t="shared" si="83"/>
        <v>پروژه تعميرات نيروگاه بوشهر</v>
      </c>
      <c r="F751" s="1">
        <v>11005048</v>
      </c>
      <c r="G751" s="1">
        <v>2782879</v>
      </c>
      <c r="H751" s="1">
        <v>0</v>
      </c>
      <c r="I751" s="1">
        <v>8610460</v>
      </c>
      <c r="J751" s="1">
        <v>0</v>
      </c>
      <c r="K751" s="1">
        <v>4620000</v>
      </c>
      <c r="L751" s="1">
        <v>0</v>
      </c>
      <c r="M751" s="1">
        <v>400000</v>
      </c>
      <c r="N751" s="1">
        <v>1927500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10509257</v>
      </c>
      <c r="W751" s="1">
        <v>1100000</v>
      </c>
      <c r="X751" s="1">
        <v>1650757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1376786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4736144</v>
      </c>
      <c r="AM751" s="1">
        <v>0</v>
      </c>
      <c r="AN751" s="1">
        <v>48718831</v>
      </c>
      <c r="AO751" s="1">
        <v>10492478</v>
      </c>
      <c r="AP751" s="1">
        <v>38226353</v>
      </c>
      <c r="AQ751" s="1">
        <v>9743766</v>
      </c>
      <c r="AR751" s="1">
        <v>1461565</v>
      </c>
      <c r="AS751" s="1">
        <v>0</v>
      </c>
      <c r="AT751" s="1">
        <f t="shared" si="79"/>
        <v>59924162</v>
      </c>
    </row>
    <row r="752" spans="1:46">
      <c r="A752" s="1" t="str">
        <f>"00853"</f>
        <v>00853</v>
      </c>
      <c r="B752" s="1" t="str">
        <f>"مهدي"</f>
        <v>مهدي</v>
      </c>
      <c r="C752" s="1" t="str">
        <f>"صفري"</f>
        <v>صفري</v>
      </c>
      <c r="D752" s="1" t="str">
        <f t="shared" si="82"/>
        <v>قراردادي بهره بردار</v>
      </c>
      <c r="E752" s="1" t="str">
        <f t="shared" si="83"/>
        <v>پروژه تعميرات نيروگاه بوشهر</v>
      </c>
      <c r="F752" s="1">
        <v>10994079</v>
      </c>
      <c r="G752" s="1">
        <v>2634670</v>
      </c>
      <c r="H752" s="1">
        <v>0</v>
      </c>
      <c r="I752" s="1">
        <v>8133392</v>
      </c>
      <c r="J752" s="1">
        <v>0</v>
      </c>
      <c r="K752" s="1">
        <v>4620000</v>
      </c>
      <c r="L752" s="1">
        <v>0</v>
      </c>
      <c r="M752" s="1">
        <v>400000</v>
      </c>
      <c r="N752" s="1">
        <v>1914867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9564515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1367762</v>
      </c>
      <c r="AF752" s="1">
        <v>1111269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4157997</v>
      </c>
      <c r="AM752" s="1">
        <v>0</v>
      </c>
      <c r="AN752" s="1">
        <v>45998551</v>
      </c>
      <c r="AO752" s="1">
        <v>13480546</v>
      </c>
      <c r="AP752" s="1">
        <v>32518005</v>
      </c>
      <c r="AQ752" s="1">
        <v>8977456</v>
      </c>
      <c r="AR752" s="1">
        <v>1346618</v>
      </c>
      <c r="AS752" s="1">
        <v>0</v>
      </c>
      <c r="AT752" s="1">
        <f t="shared" si="79"/>
        <v>56322625</v>
      </c>
    </row>
    <row r="753" spans="1:46">
      <c r="A753" s="1" t="str">
        <f>"00854"</f>
        <v>00854</v>
      </c>
      <c r="B753" s="1" t="str">
        <f>"علي"</f>
        <v>علي</v>
      </c>
      <c r="C753" s="1" t="str">
        <f>"عطاپوريان"</f>
        <v>عطاپوريان</v>
      </c>
      <c r="D753" s="1" t="str">
        <f t="shared" si="82"/>
        <v>قراردادي بهره بردار</v>
      </c>
      <c r="E753" s="1" t="str">
        <f t="shared" si="83"/>
        <v>پروژه تعميرات نيروگاه بوشهر</v>
      </c>
      <c r="F753" s="1">
        <v>12540806</v>
      </c>
      <c r="G753" s="1">
        <v>2891160</v>
      </c>
      <c r="H753" s="1">
        <v>0</v>
      </c>
      <c r="I753" s="1">
        <v>10814477</v>
      </c>
      <c r="J753" s="1">
        <v>0</v>
      </c>
      <c r="K753" s="1">
        <v>4620000</v>
      </c>
      <c r="L753" s="1">
        <v>0</v>
      </c>
      <c r="M753" s="1">
        <v>400000</v>
      </c>
      <c r="N753" s="1">
        <v>2290033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10231761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1635737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6542950</v>
      </c>
      <c r="AM753" s="1">
        <v>0</v>
      </c>
      <c r="AN753" s="1">
        <v>53066924</v>
      </c>
      <c r="AO753" s="1">
        <v>11512769</v>
      </c>
      <c r="AP753" s="1">
        <v>41554155</v>
      </c>
      <c r="AQ753" s="1">
        <v>10613385</v>
      </c>
      <c r="AR753" s="1">
        <v>1592008</v>
      </c>
      <c r="AS753" s="1">
        <v>0</v>
      </c>
      <c r="AT753" s="1">
        <f t="shared" si="79"/>
        <v>65272317</v>
      </c>
    </row>
    <row r="754" spans="1:46">
      <c r="A754" s="1" t="str">
        <f>"00855"</f>
        <v>00855</v>
      </c>
      <c r="B754" s="1" t="str">
        <f>"ايوب"</f>
        <v>ايوب</v>
      </c>
      <c r="C754" s="1" t="str">
        <f>"عليزاده"</f>
        <v>عليزاده</v>
      </c>
      <c r="D754" s="1" t="str">
        <f t="shared" si="82"/>
        <v>قراردادي بهره بردار</v>
      </c>
      <c r="E754" s="1" t="str">
        <f t="shared" si="83"/>
        <v>پروژه تعميرات نيروگاه بوشهر</v>
      </c>
      <c r="F754" s="1">
        <v>12132783</v>
      </c>
      <c r="G754" s="1">
        <v>3690958</v>
      </c>
      <c r="H754" s="1">
        <v>0</v>
      </c>
      <c r="I754" s="1">
        <v>9180079</v>
      </c>
      <c r="J754" s="1">
        <v>0</v>
      </c>
      <c r="K754" s="1">
        <v>3465000</v>
      </c>
      <c r="L754" s="1">
        <v>0</v>
      </c>
      <c r="M754" s="1">
        <v>400000</v>
      </c>
      <c r="N754" s="1">
        <v>2313601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6580598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1652572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4296687</v>
      </c>
      <c r="AM754" s="1">
        <v>0</v>
      </c>
      <c r="AN754" s="1">
        <v>44812278</v>
      </c>
      <c r="AO754" s="1">
        <v>8179028</v>
      </c>
      <c r="AP754" s="1">
        <v>36633250</v>
      </c>
      <c r="AQ754" s="1">
        <v>8962456</v>
      </c>
      <c r="AR754" s="1">
        <v>1344368</v>
      </c>
      <c r="AS754" s="1">
        <v>0</v>
      </c>
      <c r="AT754" s="1">
        <f t="shared" si="79"/>
        <v>55119102</v>
      </c>
    </row>
    <row r="755" spans="1:46">
      <c r="A755" s="1" t="str">
        <f>"00856"</f>
        <v>00856</v>
      </c>
      <c r="B755" s="1" t="str">
        <f>"محمد"</f>
        <v>محمد</v>
      </c>
      <c r="C755" s="1" t="str">
        <f>"غلامي مندلي"</f>
        <v>غلامي مندلي</v>
      </c>
      <c r="D755" s="1" t="str">
        <f t="shared" si="82"/>
        <v>قراردادي بهره بردار</v>
      </c>
      <c r="E755" s="1" t="str">
        <f t="shared" si="83"/>
        <v>پروژه تعميرات نيروگاه بوشهر</v>
      </c>
      <c r="F755" s="1">
        <v>10241793</v>
      </c>
      <c r="G755" s="1">
        <v>3387663</v>
      </c>
      <c r="H755" s="1">
        <v>0</v>
      </c>
      <c r="I755" s="1">
        <v>7695905</v>
      </c>
      <c r="J755" s="1">
        <v>0</v>
      </c>
      <c r="K755" s="1">
        <v>4620000</v>
      </c>
      <c r="L755" s="1">
        <v>0</v>
      </c>
      <c r="M755" s="1">
        <v>400000</v>
      </c>
      <c r="N755" s="1">
        <v>1629675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5585280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1164053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4656214</v>
      </c>
      <c r="AM755" s="1">
        <v>0</v>
      </c>
      <c r="AN755" s="1">
        <v>40480583</v>
      </c>
      <c r="AO755" s="1">
        <v>8836989</v>
      </c>
      <c r="AP755" s="1">
        <v>31643594</v>
      </c>
      <c r="AQ755" s="1">
        <v>8096117</v>
      </c>
      <c r="AR755" s="1">
        <v>1214417</v>
      </c>
      <c r="AS755" s="1">
        <v>0</v>
      </c>
      <c r="AT755" s="1">
        <f t="shared" si="79"/>
        <v>49791117</v>
      </c>
    </row>
    <row r="756" spans="1:46">
      <c r="A756" s="1" t="str">
        <f>"00858"</f>
        <v>00858</v>
      </c>
      <c r="B756" s="1" t="str">
        <f>"عرفان"</f>
        <v>عرفان</v>
      </c>
      <c r="C756" s="1" t="str">
        <f>"محمدي"</f>
        <v>محمدي</v>
      </c>
      <c r="D756" s="1" t="str">
        <f t="shared" si="82"/>
        <v>قراردادي بهره بردار</v>
      </c>
      <c r="E756" s="1" t="str">
        <f t="shared" si="83"/>
        <v>پروژه تعميرات نيروگاه بوشهر</v>
      </c>
      <c r="F756" s="1">
        <v>14720583</v>
      </c>
      <c r="G756" s="1">
        <v>0</v>
      </c>
      <c r="H756" s="1">
        <v>0</v>
      </c>
      <c r="I756" s="1">
        <v>11582721</v>
      </c>
      <c r="J756" s="1">
        <v>0</v>
      </c>
      <c r="K756" s="1">
        <v>4125000</v>
      </c>
      <c r="L756" s="1">
        <v>0</v>
      </c>
      <c r="M756" s="1">
        <v>400000</v>
      </c>
      <c r="N756" s="1">
        <v>2383629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13204302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1702593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4358637</v>
      </c>
      <c r="AM756" s="1">
        <v>0</v>
      </c>
      <c r="AN756" s="1">
        <v>53577465</v>
      </c>
      <c r="AO756" s="1">
        <v>9536155</v>
      </c>
      <c r="AP756" s="1">
        <v>44041310</v>
      </c>
      <c r="AQ756" s="1">
        <v>10715493</v>
      </c>
      <c r="AR756" s="1">
        <v>1607324</v>
      </c>
      <c r="AS756" s="1">
        <v>0</v>
      </c>
      <c r="AT756" s="1">
        <f t="shared" si="79"/>
        <v>65900282</v>
      </c>
    </row>
    <row r="757" spans="1:46">
      <c r="A757" s="1" t="str">
        <f>"00860"</f>
        <v>00860</v>
      </c>
      <c r="B757" s="1" t="str">
        <f>"سيد عبدالحميد"</f>
        <v>سيد عبدالحميد</v>
      </c>
      <c r="C757" s="1" t="str">
        <f>"موسوي"</f>
        <v>موسوي</v>
      </c>
      <c r="D757" s="1" t="str">
        <f t="shared" si="82"/>
        <v>قراردادي بهره بردار</v>
      </c>
      <c r="E757" s="1" t="str">
        <f t="shared" si="83"/>
        <v>پروژه تعميرات نيروگاه بوشهر</v>
      </c>
      <c r="F757" s="1">
        <v>15862195</v>
      </c>
      <c r="G757" s="1">
        <v>10231102</v>
      </c>
      <c r="H757" s="1">
        <v>0</v>
      </c>
      <c r="I757" s="1">
        <v>12779325</v>
      </c>
      <c r="J757" s="1">
        <v>0</v>
      </c>
      <c r="K757" s="1">
        <v>5500000</v>
      </c>
      <c r="L757" s="1">
        <v>0</v>
      </c>
      <c r="M757" s="1">
        <v>400000</v>
      </c>
      <c r="N757" s="1">
        <v>2731127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3644474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1950805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3121289</v>
      </c>
      <c r="AM757" s="1">
        <v>0</v>
      </c>
      <c r="AN757" s="1">
        <v>57320317</v>
      </c>
      <c r="AO757" s="1">
        <v>10194043</v>
      </c>
      <c r="AP757" s="1">
        <v>47126274</v>
      </c>
      <c r="AQ757" s="1">
        <v>11464063</v>
      </c>
      <c r="AR757" s="1">
        <v>1719610</v>
      </c>
      <c r="AS757" s="1">
        <v>0</v>
      </c>
      <c r="AT757" s="1">
        <f t="shared" si="79"/>
        <v>70503990</v>
      </c>
    </row>
    <row r="758" spans="1:46">
      <c r="A758" s="1" t="str">
        <f>"00861"</f>
        <v>00861</v>
      </c>
      <c r="B758" s="1" t="str">
        <f>"زين العابدين"</f>
        <v>زين العابدين</v>
      </c>
      <c r="C758" s="1" t="str">
        <f>"ميرکي"</f>
        <v>ميرکي</v>
      </c>
      <c r="D758" s="1" t="str">
        <f t="shared" si="82"/>
        <v>قراردادي بهره بردار</v>
      </c>
      <c r="E758" s="1" t="str">
        <f t="shared" si="83"/>
        <v>پروژه تعميرات نيروگاه بوشهر</v>
      </c>
      <c r="F758" s="1">
        <v>11195493</v>
      </c>
      <c r="G758" s="1">
        <v>7553925</v>
      </c>
      <c r="H758" s="1">
        <v>0</v>
      </c>
      <c r="I758" s="1">
        <v>9142161</v>
      </c>
      <c r="J758" s="1">
        <v>0</v>
      </c>
      <c r="K758" s="1">
        <v>4620000</v>
      </c>
      <c r="L758" s="1">
        <v>0</v>
      </c>
      <c r="M758" s="1">
        <v>400000</v>
      </c>
      <c r="N758" s="1">
        <v>1995092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8911068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1425066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5700263</v>
      </c>
      <c r="AM758" s="1">
        <v>0</v>
      </c>
      <c r="AN758" s="1">
        <v>52043068</v>
      </c>
      <c r="AO758" s="1">
        <v>9892133</v>
      </c>
      <c r="AP758" s="1">
        <v>42150935</v>
      </c>
      <c r="AQ758" s="1">
        <v>10408614</v>
      </c>
      <c r="AR758" s="1">
        <v>1561292</v>
      </c>
      <c r="AS758" s="1">
        <v>0</v>
      </c>
      <c r="AT758" s="1">
        <f t="shared" si="79"/>
        <v>64012974</v>
      </c>
    </row>
    <row r="759" spans="1:46">
      <c r="A759" s="1" t="str">
        <f>"00862"</f>
        <v>00862</v>
      </c>
      <c r="B759" s="1" t="str">
        <f>"محمدجواد"</f>
        <v>محمدجواد</v>
      </c>
      <c r="C759" s="1" t="str">
        <f>"يزدان پناه"</f>
        <v>يزدان پناه</v>
      </c>
      <c r="D759" s="1" t="str">
        <f t="shared" si="82"/>
        <v>قراردادي بهره بردار</v>
      </c>
      <c r="E759" s="1" t="str">
        <f t="shared" si="83"/>
        <v>پروژه تعميرات نيروگاه بوشهر</v>
      </c>
      <c r="F759" s="1">
        <v>14526109</v>
      </c>
      <c r="G759" s="1">
        <v>0</v>
      </c>
      <c r="H759" s="1">
        <v>0</v>
      </c>
      <c r="I759" s="1">
        <v>10050691</v>
      </c>
      <c r="J759" s="1">
        <v>0</v>
      </c>
      <c r="K759" s="1">
        <v>5500000</v>
      </c>
      <c r="L759" s="1">
        <v>0</v>
      </c>
      <c r="M759" s="1">
        <v>400000</v>
      </c>
      <c r="N759" s="1">
        <v>2244490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6120451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1603207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2565131</v>
      </c>
      <c r="AM759" s="1">
        <v>0</v>
      </c>
      <c r="AN759" s="1">
        <v>44110079</v>
      </c>
      <c r="AO759" s="1">
        <v>8031718</v>
      </c>
      <c r="AP759" s="1">
        <v>36078361</v>
      </c>
      <c r="AQ759" s="1">
        <v>8822016</v>
      </c>
      <c r="AR759" s="1">
        <v>1323302</v>
      </c>
      <c r="AS759" s="1">
        <v>0</v>
      </c>
      <c r="AT759" s="1">
        <f t="shared" si="79"/>
        <v>54255397</v>
      </c>
    </row>
    <row r="760" spans="1:46">
      <c r="A760" s="1" t="str">
        <f>"00863"</f>
        <v>00863</v>
      </c>
      <c r="B760" s="1" t="str">
        <f>"هادي"</f>
        <v>هادي</v>
      </c>
      <c r="C760" s="1" t="str">
        <f>"آب رخت"</f>
        <v>آب رخت</v>
      </c>
      <c r="D760" s="1" t="str">
        <f t="shared" si="82"/>
        <v>قراردادي بهره بردار</v>
      </c>
      <c r="E760" s="1" t="str">
        <f t="shared" si="83"/>
        <v>پروژه تعميرات نيروگاه بوشهر</v>
      </c>
      <c r="F760" s="1">
        <v>11657572</v>
      </c>
      <c r="G760" s="1">
        <v>0</v>
      </c>
      <c r="H760" s="1">
        <v>0</v>
      </c>
      <c r="I760" s="1">
        <v>10167566</v>
      </c>
      <c r="J760" s="1">
        <v>0</v>
      </c>
      <c r="K760" s="1">
        <v>3465000</v>
      </c>
      <c r="L760" s="1">
        <v>0</v>
      </c>
      <c r="M760" s="1">
        <v>400000</v>
      </c>
      <c r="N760" s="1">
        <v>2181144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12082510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1557960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6231840</v>
      </c>
      <c r="AM760" s="1">
        <v>0</v>
      </c>
      <c r="AN760" s="1">
        <v>48843592</v>
      </c>
      <c r="AO760" s="1">
        <v>9591624</v>
      </c>
      <c r="AP760" s="1">
        <v>39251968</v>
      </c>
      <c r="AQ760" s="1">
        <v>9768718</v>
      </c>
      <c r="AR760" s="1">
        <v>1465308</v>
      </c>
      <c r="AS760" s="1">
        <v>0</v>
      </c>
      <c r="AT760" s="1">
        <f t="shared" si="79"/>
        <v>60077618</v>
      </c>
    </row>
    <row r="761" spans="1:46">
      <c r="A761" s="1" t="str">
        <f>"00864"</f>
        <v>00864</v>
      </c>
      <c r="B761" s="1" t="str">
        <f>"مهرداد"</f>
        <v>مهرداد</v>
      </c>
      <c r="C761" s="1" t="str">
        <f>"رحيمي"</f>
        <v>رحيمي</v>
      </c>
      <c r="D761" s="1" t="str">
        <f>"قراردادي کارگري"</f>
        <v>قراردادي کارگري</v>
      </c>
      <c r="E761" s="1" t="str">
        <f>"پروژه بهره برداري نيروگاه بوشهر"</f>
        <v>پروژه بهره برداري نيروگاه بوشهر</v>
      </c>
      <c r="F761" s="1">
        <v>12007099</v>
      </c>
      <c r="G761" s="1">
        <v>4810546</v>
      </c>
      <c r="H761" s="1">
        <v>0</v>
      </c>
      <c r="I761" s="1">
        <v>5736850</v>
      </c>
      <c r="J761" s="1">
        <v>0</v>
      </c>
      <c r="K761" s="1">
        <v>0</v>
      </c>
      <c r="L761" s="1">
        <v>0</v>
      </c>
      <c r="M761" s="1">
        <v>400000</v>
      </c>
      <c r="N761" s="1">
        <v>1429526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2141987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1021090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1225307</v>
      </c>
      <c r="AM761" s="1">
        <v>0</v>
      </c>
      <c r="AN761" s="1">
        <v>29872405</v>
      </c>
      <c r="AO761" s="1">
        <v>6754326</v>
      </c>
      <c r="AP761" s="1">
        <v>23118079</v>
      </c>
      <c r="AQ761" s="1">
        <v>5974481</v>
      </c>
      <c r="AR761" s="1">
        <v>896172</v>
      </c>
      <c r="AS761" s="1">
        <v>0</v>
      </c>
      <c r="AT761" s="1">
        <f t="shared" si="79"/>
        <v>36743058</v>
      </c>
    </row>
    <row r="762" spans="1:46">
      <c r="A762" s="1" t="str">
        <f>"00865"</f>
        <v>00865</v>
      </c>
      <c r="B762" s="1" t="str">
        <f>"محمد"</f>
        <v>محمد</v>
      </c>
      <c r="C762" s="1" t="str">
        <f>"احمدي"</f>
        <v>احمدي</v>
      </c>
      <c r="D762" s="1" t="str">
        <f t="shared" ref="D762:D779" si="84">"قراردادي بهره بردار"</f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14861839</v>
      </c>
      <c r="G762" s="1">
        <v>2955587</v>
      </c>
      <c r="H762" s="1">
        <v>0</v>
      </c>
      <c r="I762" s="1">
        <v>10949382</v>
      </c>
      <c r="J762" s="1">
        <v>0</v>
      </c>
      <c r="K762" s="1">
        <v>5500000</v>
      </c>
      <c r="L762" s="1">
        <v>0</v>
      </c>
      <c r="M762" s="1">
        <v>400000</v>
      </c>
      <c r="N762" s="1">
        <v>2384033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7911015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1702880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2724609</v>
      </c>
      <c r="AM762" s="1">
        <v>0</v>
      </c>
      <c r="AN762" s="1">
        <v>50489345</v>
      </c>
      <c r="AO762" s="1">
        <v>10241773</v>
      </c>
      <c r="AP762" s="1">
        <v>40247572</v>
      </c>
      <c r="AQ762" s="1">
        <v>10097869</v>
      </c>
      <c r="AR762" s="1">
        <v>1514680</v>
      </c>
      <c r="AS762" s="1">
        <v>0</v>
      </c>
      <c r="AT762" s="1">
        <f t="shared" si="79"/>
        <v>62101894</v>
      </c>
    </row>
    <row r="763" spans="1:46">
      <c r="A763" s="1" t="str">
        <f>"00866"</f>
        <v>00866</v>
      </c>
      <c r="B763" s="1" t="str">
        <f>"اميدرضا"</f>
        <v>اميدرضا</v>
      </c>
      <c r="C763" s="1" t="str">
        <f>"ايزدي"</f>
        <v>ايزدي</v>
      </c>
      <c r="D763" s="1" t="str">
        <f t="shared" si="84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15062179</v>
      </c>
      <c r="G763" s="1">
        <v>14835390</v>
      </c>
      <c r="H763" s="1">
        <v>0</v>
      </c>
      <c r="I763" s="1">
        <v>11251740</v>
      </c>
      <c r="J763" s="1">
        <v>0</v>
      </c>
      <c r="K763" s="1">
        <v>5500000</v>
      </c>
      <c r="L763" s="1">
        <v>0</v>
      </c>
      <c r="M763" s="1">
        <v>400000</v>
      </c>
      <c r="N763" s="1">
        <v>2450020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6579510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1750015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2800022</v>
      </c>
      <c r="AM763" s="1">
        <v>0</v>
      </c>
      <c r="AN763" s="1">
        <v>61728876</v>
      </c>
      <c r="AO763" s="1">
        <v>13311432</v>
      </c>
      <c r="AP763" s="1">
        <v>48417444</v>
      </c>
      <c r="AQ763" s="1">
        <v>12345775</v>
      </c>
      <c r="AR763" s="1">
        <v>1851866</v>
      </c>
      <c r="AS763" s="1">
        <v>0</v>
      </c>
      <c r="AT763" s="1">
        <f t="shared" si="79"/>
        <v>75926517</v>
      </c>
    </row>
    <row r="764" spans="1:46">
      <c r="A764" s="1" t="str">
        <f>"00867"</f>
        <v>00867</v>
      </c>
      <c r="B764" s="1" t="str">
        <f>"سيد محمد علي"</f>
        <v>سيد محمد علي</v>
      </c>
      <c r="C764" s="1" t="str">
        <f>"باقري"</f>
        <v>باقري</v>
      </c>
      <c r="D764" s="1" t="str">
        <f t="shared" si="84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10788856</v>
      </c>
      <c r="G764" s="1">
        <v>0</v>
      </c>
      <c r="H764" s="1">
        <v>0</v>
      </c>
      <c r="I764" s="1">
        <v>8440924</v>
      </c>
      <c r="J764" s="1">
        <v>0</v>
      </c>
      <c r="K764" s="1">
        <v>4620000</v>
      </c>
      <c r="L764" s="1">
        <v>0</v>
      </c>
      <c r="M764" s="1">
        <v>400000</v>
      </c>
      <c r="N764" s="1">
        <v>1863622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10809870</v>
      </c>
      <c r="W764" s="1">
        <v>1100000</v>
      </c>
      <c r="X764" s="1">
        <v>1618328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1331159</v>
      </c>
      <c r="AF764" s="1">
        <v>1111269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7602855</v>
      </c>
      <c r="AM764" s="1">
        <v>0</v>
      </c>
      <c r="AN764" s="1">
        <v>49686883</v>
      </c>
      <c r="AO764" s="1">
        <v>11046728</v>
      </c>
      <c r="AP764" s="1">
        <v>38640155</v>
      </c>
      <c r="AQ764" s="1">
        <v>9715123</v>
      </c>
      <c r="AR764" s="1">
        <v>1457268</v>
      </c>
      <c r="AS764" s="1">
        <v>0</v>
      </c>
      <c r="AT764" s="1">
        <f t="shared" si="79"/>
        <v>60859274</v>
      </c>
    </row>
    <row r="765" spans="1:46">
      <c r="A765" s="1" t="str">
        <f>"00869"</f>
        <v>00869</v>
      </c>
      <c r="B765" s="1" t="str">
        <f>"موسي"</f>
        <v>موسي</v>
      </c>
      <c r="C765" s="1" t="str">
        <f>"خدري"</f>
        <v>خدري</v>
      </c>
      <c r="D765" s="1" t="str">
        <f t="shared" si="84"/>
        <v>قراردادي بهره بردار</v>
      </c>
      <c r="E765" s="1" t="str">
        <f>"پروژه تعميرات نيروگاه بوشهر"</f>
        <v>پروژه تعميرات نيروگاه بوشهر</v>
      </c>
      <c r="F765" s="1">
        <v>13112520</v>
      </c>
      <c r="G765" s="1">
        <v>8130230</v>
      </c>
      <c r="H765" s="1">
        <v>0</v>
      </c>
      <c r="I765" s="1">
        <v>10682289</v>
      </c>
      <c r="J765" s="1">
        <v>0</v>
      </c>
      <c r="K765" s="1">
        <v>4125000</v>
      </c>
      <c r="L765" s="1">
        <v>0</v>
      </c>
      <c r="M765" s="1">
        <v>400000</v>
      </c>
      <c r="N765" s="1">
        <v>2228925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7113909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1564316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5119578</v>
      </c>
      <c r="AM765" s="1">
        <v>0</v>
      </c>
      <c r="AN765" s="1">
        <v>53576767</v>
      </c>
      <c r="AO765" s="1">
        <v>10551115</v>
      </c>
      <c r="AP765" s="1">
        <v>43025652</v>
      </c>
      <c r="AQ765" s="1">
        <v>10715353</v>
      </c>
      <c r="AR765" s="1">
        <v>1607303</v>
      </c>
      <c r="AS765" s="1">
        <v>0</v>
      </c>
      <c r="AT765" s="1">
        <f t="shared" si="79"/>
        <v>65899423</v>
      </c>
    </row>
    <row r="766" spans="1:46">
      <c r="A766" s="1" t="str">
        <f>"00870"</f>
        <v>00870</v>
      </c>
      <c r="B766" s="1" t="str">
        <f>"سينا"</f>
        <v>سينا</v>
      </c>
      <c r="C766" s="1" t="str">
        <f>"دشتستاني نژاد"</f>
        <v>دشتستاني نژاد</v>
      </c>
      <c r="D766" s="1" t="str">
        <f t="shared" si="84"/>
        <v>قراردادي بهره بردار</v>
      </c>
      <c r="E766" s="1" t="str">
        <f>"پروژه تعميرات نيروگاه بوشهر"</f>
        <v>پروژه تعميرات نيروگاه بوشهر</v>
      </c>
      <c r="F766" s="1">
        <v>14321919</v>
      </c>
      <c r="G766" s="1">
        <v>1441328</v>
      </c>
      <c r="H766" s="1">
        <v>0</v>
      </c>
      <c r="I766" s="1">
        <v>10175954</v>
      </c>
      <c r="J766" s="1">
        <v>0</v>
      </c>
      <c r="K766" s="1">
        <v>4125000</v>
      </c>
      <c r="L766" s="1">
        <v>0</v>
      </c>
      <c r="M766" s="1">
        <v>400000</v>
      </c>
      <c r="N766" s="1">
        <v>2188449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8157722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1563178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3126357</v>
      </c>
      <c r="AM766" s="1">
        <v>0</v>
      </c>
      <c r="AN766" s="1">
        <v>46599907</v>
      </c>
      <c r="AO766" s="1">
        <v>8391663</v>
      </c>
      <c r="AP766" s="1">
        <v>38208244</v>
      </c>
      <c r="AQ766" s="1">
        <v>9319981</v>
      </c>
      <c r="AR766" s="1">
        <v>1397997</v>
      </c>
      <c r="AS766" s="1">
        <v>0</v>
      </c>
      <c r="AT766" s="1">
        <f t="shared" si="79"/>
        <v>57317885</v>
      </c>
    </row>
    <row r="767" spans="1:46">
      <c r="A767" s="1" t="str">
        <f>"00871"</f>
        <v>00871</v>
      </c>
      <c r="B767" s="1" t="str">
        <f>"مسعود"</f>
        <v>مسعود</v>
      </c>
      <c r="C767" s="1" t="str">
        <f>"سهرابي تيمورلو"</f>
        <v>سهرابي تيمورلو</v>
      </c>
      <c r="D767" s="1" t="str">
        <f t="shared" si="84"/>
        <v>قراردادي بهره بردار</v>
      </c>
      <c r="E767" s="1" t="str">
        <f>"پروژه بهره برداري نيروگاه بوشهر"</f>
        <v>پروژه بهره برداري نيروگاه بوشهر</v>
      </c>
      <c r="F767" s="1">
        <v>13081380</v>
      </c>
      <c r="G767" s="1">
        <v>6474124</v>
      </c>
      <c r="H767" s="1">
        <v>0</v>
      </c>
      <c r="I767" s="1">
        <v>9907512</v>
      </c>
      <c r="J767" s="1">
        <v>0</v>
      </c>
      <c r="K767" s="1">
        <v>4125000</v>
      </c>
      <c r="L767" s="1">
        <v>0</v>
      </c>
      <c r="M767" s="1">
        <v>400000</v>
      </c>
      <c r="N767" s="1">
        <v>1883923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5906764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2501397</v>
      </c>
      <c r="AD767" s="1">
        <v>0</v>
      </c>
      <c r="AE767" s="1">
        <v>1345659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2368359</v>
      </c>
      <c r="AM767" s="1">
        <v>0</v>
      </c>
      <c r="AN767" s="1">
        <v>49094118</v>
      </c>
      <c r="AO767" s="1">
        <v>9662709</v>
      </c>
      <c r="AP767" s="1">
        <v>39431409</v>
      </c>
      <c r="AQ767" s="1">
        <v>9818824</v>
      </c>
      <c r="AR767" s="1">
        <v>1472824</v>
      </c>
      <c r="AS767" s="1">
        <v>0</v>
      </c>
      <c r="AT767" s="1">
        <f t="shared" si="79"/>
        <v>60385766</v>
      </c>
    </row>
    <row r="768" spans="1:46">
      <c r="A768" s="1" t="str">
        <f>"00872"</f>
        <v>00872</v>
      </c>
      <c r="B768" s="1" t="str">
        <f>"سيدرضا"</f>
        <v>سيدرضا</v>
      </c>
      <c r="C768" s="1" t="str">
        <f>"شجاع الدين"</f>
        <v>شجاع الدين</v>
      </c>
      <c r="D768" s="1" t="str">
        <f t="shared" si="84"/>
        <v>قراردادي بهره بردار</v>
      </c>
      <c r="E768" s="1" t="str">
        <f t="shared" ref="E768:E785" si="85">"پروژه تعميرات نيروگاه بوشهر"</f>
        <v>پروژه تعميرات نيروگاه بوشهر</v>
      </c>
      <c r="F768" s="1">
        <v>14695801</v>
      </c>
      <c r="G768" s="1">
        <v>0</v>
      </c>
      <c r="H768" s="1">
        <v>0</v>
      </c>
      <c r="I768" s="1">
        <v>10335428</v>
      </c>
      <c r="J768" s="1">
        <v>0</v>
      </c>
      <c r="K768" s="1">
        <v>5500000</v>
      </c>
      <c r="L768" s="1">
        <v>0</v>
      </c>
      <c r="M768" s="1">
        <v>400000</v>
      </c>
      <c r="N768" s="1">
        <v>2305810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5770514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1647007</v>
      </c>
      <c r="AF768" s="1">
        <v>1111269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2635211</v>
      </c>
      <c r="AM768" s="1">
        <v>0</v>
      </c>
      <c r="AN768" s="1">
        <v>45501040</v>
      </c>
      <c r="AO768" s="1">
        <v>8059505</v>
      </c>
      <c r="AP768" s="1">
        <v>37441535</v>
      </c>
      <c r="AQ768" s="1">
        <v>8877954</v>
      </c>
      <c r="AR768" s="1">
        <v>1331693</v>
      </c>
      <c r="AS768" s="1">
        <v>0</v>
      </c>
      <c r="AT768" s="1">
        <f t="shared" si="79"/>
        <v>55710687</v>
      </c>
    </row>
    <row r="769" spans="1:46">
      <c r="A769" s="1" t="str">
        <f>"00873"</f>
        <v>00873</v>
      </c>
      <c r="B769" s="1" t="str">
        <f>"علي"</f>
        <v>علي</v>
      </c>
      <c r="C769" s="1" t="str">
        <f>"شهرياري"</f>
        <v>شهرياري</v>
      </c>
      <c r="D769" s="1" t="str">
        <f t="shared" si="84"/>
        <v>قراردادي بهره بردار</v>
      </c>
      <c r="E769" s="1" t="str">
        <f t="shared" si="85"/>
        <v>پروژه تعميرات نيروگاه بوشهر</v>
      </c>
      <c r="F769" s="1">
        <v>10971878</v>
      </c>
      <c r="G769" s="1">
        <v>3987968</v>
      </c>
      <c r="H769" s="1">
        <v>0</v>
      </c>
      <c r="I769" s="1">
        <v>7731349</v>
      </c>
      <c r="J769" s="1">
        <v>0</v>
      </c>
      <c r="K769" s="1">
        <v>4620000</v>
      </c>
      <c r="L769" s="1">
        <v>0</v>
      </c>
      <c r="M769" s="1">
        <v>400000</v>
      </c>
      <c r="N769" s="1">
        <v>1890257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5583543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1350183</v>
      </c>
      <c r="AF769" s="1">
        <v>1111269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4644630</v>
      </c>
      <c r="AM769" s="1">
        <v>0</v>
      </c>
      <c r="AN769" s="1">
        <v>43391077</v>
      </c>
      <c r="AO769" s="1">
        <v>10755469</v>
      </c>
      <c r="AP769" s="1">
        <v>32635608</v>
      </c>
      <c r="AQ769" s="1">
        <v>8455962</v>
      </c>
      <c r="AR769" s="1">
        <v>1268394</v>
      </c>
      <c r="AS769" s="1">
        <v>0</v>
      </c>
      <c r="AT769" s="1">
        <f t="shared" si="79"/>
        <v>53115433</v>
      </c>
    </row>
    <row r="770" spans="1:46">
      <c r="A770" s="1" t="str">
        <f>"00874"</f>
        <v>00874</v>
      </c>
      <c r="B770" s="1" t="str">
        <f>"مجيد"</f>
        <v>مجيد</v>
      </c>
      <c r="C770" s="1" t="str">
        <f>"صادقي"</f>
        <v>صادقي</v>
      </c>
      <c r="D770" s="1" t="str">
        <f t="shared" si="84"/>
        <v>قراردادي بهره بردار</v>
      </c>
      <c r="E770" s="1" t="str">
        <f t="shared" si="85"/>
        <v>پروژه تعميرات نيروگاه بوشهر</v>
      </c>
      <c r="F770" s="1">
        <v>14374099</v>
      </c>
      <c r="G770" s="1">
        <v>7925798</v>
      </c>
      <c r="H770" s="1">
        <v>0</v>
      </c>
      <c r="I770" s="1">
        <v>10493162</v>
      </c>
      <c r="J770" s="1">
        <v>0</v>
      </c>
      <c r="K770" s="1">
        <v>4125000</v>
      </c>
      <c r="L770" s="1">
        <v>0</v>
      </c>
      <c r="M770" s="1">
        <v>400000</v>
      </c>
      <c r="N770" s="1">
        <v>2244454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12471235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1603181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4104143</v>
      </c>
      <c r="AM770" s="1">
        <v>0</v>
      </c>
      <c r="AN770" s="1">
        <v>58841072</v>
      </c>
      <c r="AO770" s="1">
        <v>10366465</v>
      </c>
      <c r="AP770" s="1">
        <v>48474607</v>
      </c>
      <c r="AQ770" s="1">
        <v>11768214</v>
      </c>
      <c r="AR770" s="1">
        <v>1765232</v>
      </c>
      <c r="AS770" s="1">
        <v>0</v>
      </c>
      <c r="AT770" s="1">
        <f t="shared" si="79"/>
        <v>72374518</v>
      </c>
    </row>
    <row r="771" spans="1:46">
      <c r="A771" s="1" t="str">
        <f>"00875"</f>
        <v>00875</v>
      </c>
      <c r="B771" s="1" t="str">
        <f>"امين"</f>
        <v>امين</v>
      </c>
      <c r="C771" s="1" t="str">
        <f>"عطايي"</f>
        <v>عطايي</v>
      </c>
      <c r="D771" s="1" t="str">
        <f t="shared" si="84"/>
        <v>قراردادي بهره بردار</v>
      </c>
      <c r="E771" s="1" t="str">
        <f t="shared" si="85"/>
        <v>پروژه تعميرات نيروگاه بوشهر</v>
      </c>
      <c r="F771" s="1">
        <v>16034965</v>
      </c>
      <c r="G771" s="1">
        <v>6618110</v>
      </c>
      <c r="H771" s="1">
        <v>0</v>
      </c>
      <c r="I771" s="1">
        <v>12272879</v>
      </c>
      <c r="J771" s="1">
        <v>0</v>
      </c>
      <c r="K771" s="1">
        <v>5500000</v>
      </c>
      <c r="L771" s="1">
        <v>0</v>
      </c>
      <c r="M771" s="1">
        <v>400000</v>
      </c>
      <c r="N771" s="1">
        <v>2787740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3587457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1991243</v>
      </c>
      <c r="AF771" s="1">
        <v>1111269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2787740</v>
      </c>
      <c r="AM771" s="1">
        <v>0</v>
      </c>
      <c r="AN771" s="1">
        <v>54191403</v>
      </c>
      <c r="AO771" s="1">
        <v>10788152</v>
      </c>
      <c r="AP771" s="1">
        <v>43403251</v>
      </c>
      <c r="AQ771" s="1">
        <v>10616027</v>
      </c>
      <c r="AR771" s="1">
        <v>1592404</v>
      </c>
      <c r="AS771" s="1">
        <v>0</v>
      </c>
      <c r="AT771" s="1">
        <f t="shared" ref="AT771:AT834" si="86">AS771+AR771+AQ771+AN771</f>
        <v>66399834</v>
      </c>
    </row>
    <row r="772" spans="1:46">
      <c r="A772" s="1" t="str">
        <f>"00876"</f>
        <v>00876</v>
      </c>
      <c r="B772" s="1" t="str">
        <f>"يحيي"</f>
        <v>يحيي</v>
      </c>
      <c r="C772" s="1" t="str">
        <f>"غلامي"</f>
        <v>غلامي</v>
      </c>
      <c r="D772" s="1" t="str">
        <f t="shared" si="84"/>
        <v>قراردادي بهره بردار</v>
      </c>
      <c r="E772" s="1" t="str">
        <f t="shared" si="85"/>
        <v>پروژه تعميرات نيروگاه بوشهر</v>
      </c>
      <c r="F772" s="1">
        <v>14433566</v>
      </c>
      <c r="G772" s="1">
        <v>4555235</v>
      </c>
      <c r="H772" s="1">
        <v>0</v>
      </c>
      <c r="I772" s="1">
        <v>11379198</v>
      </c>
      <c r="J772" s="1">
        <v>0</v>
      </c>
      <c r="K772" s="1">
        <v>6875000</v>
      </c>
      <c r="L772" s="1">
        <v>0</v>
      </c>
      <c r="M772" s="1">
        <v>400000</v>
      </c>
      <c r="N772" s="1">
        <v>2241300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7510271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1600928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4482601</v>
      </c>
      <c r="AM772" s="1">
        <v>0</v>
      </c>
      <c r="AN772" s="1">
        <v>54578099</v>
      </c>
      <c r="AO772" s="1">
        <v>9505210</v>
      </c>
      <c r="AP772" s="1">
        <v>45072889</v>
      </c>
      <c r="AQ772" s="1">
        <v>10915620</v>
      </c>
      <c r="AR772" s="1">
        <v>1637343</v>
      </c>
      <c r="AS772" s="1">
        <v>0</v>
      </c>
      <c r="AT772" s="1">
        <f t="shared" si="86"/>
        <v>67131062</v>
      </c>
    </row>
    <row r="773" spans="1:46">
      <c r="A773" s="1" t="str">
        <f>"00877"</f>
        <v>00877</v>
      </c>
      <c r="B773" s="1" t="str">
        <f>"مجتبي"</f>
        <v>مجتبي</v>
      </c>
      <c r="C773" s="1" t="str">
        <f>"محمدپور شورباخلو"</f>
        <v>محمدپور شورباخلو</v>
      </c>
      <c r="D773" s="1" t="str">
        <f t="shared" si="84"/>
        <v>قراردادي بهره بردار</v>
      </c>
      <c r="E773" s="1" t="str">
        <f t="shared" si="85"/>
        <v>پروژه تعميرات نيروگاه بوشهر</v>
      </c>
      <c r="F773" s="1">
        <v>15069602</v>
      </c>
      <c r="G773" s="1">
        <v>0</v>
      </c>
      <c r="H773" s="1">
        <v>0</v>
      </c>
      <c r="I773" s="1">
        <v>11639213</v>
      </c>
      <c r="J773" s="1">
        <v>0</v>
      </c>
      <c r="K773" s="1">
        <v>4125000</v>
      </c>
      <c r="L773" s="1">
        <v>0</v>
      </c>
      <c r="M773" s="1">
        <v>400000</v>
      </c>
      <c r="N773" s="1">
        <v>2466668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7581464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1761905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3523811</v>
      </c>
      <c r="AM773" s="1">
        <v>0</v>
      </c>
      <c r="AN773" s="1">
        <v>47667663</v>
      </c>
      <c r="AO773" s="1">
        <v>9423064</v>
      </c>
      <c r="AP773" s="1">
        <v>38244599</v>
      </c>
      <c r="AQ773" s="1">
        <v>9533533</v>
      </c>
      <c r="AR773" s="1">
        <v>1430030</v>
      </c>
      <c r="AS773" s="1">
        <v>0</v>
      </c>
      <c r="AT773" s="1">
        <f t="shared" si="86"/>
        <v>58631226</v>
      </c>
    </row>
    <row r="774" spans="1:46">
      <c r="A774" s="1" t="str">
        <f>"00878"</f>
        <v>00878</v>
      </c>
      <c r="B774" s="1" t="str">
        <f>"سجاد"</f>
        <v>سجاد</v>
      </c>
      <c r="C774" s="1" t="str">
        <f>"محمدي"</f>
        <v>محمدي</v>
      </c>
      <c r="D774" s="1" t="str">
        <f t="shared" si="84"/>
        <v>قراردادي بهره بردار</v>
      </c>
      <c r="E774" s="1" t="str">
        <f t="shared" si="85"/>
        <v>پروژه تعميرات نيروگاه بوشهر</v>
      </c>
      <c r="F774" s="1">
        <v>14748941</v>
      </c>
      <c r="G774" s="1">
        <v>0</v>
      </c>
      <c r="H774" s="1">
        <v>0</v>
      </c>
      <c r="I774" s="1">
        <v>10271785</v>
      </c>
      <c r="J774" s="1">
        <v>0</v>
      </c>
      <c r="K774" s="1">
        <v>4125000</v>
      </c>
      <c r="L774" s="1">
        <v>0</v>
      </c>
      <c r="M774" s="1">
        <v>400000</v>
      </c>
      <c r="N774" s="1">
        <v>2327714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6255090</v>
      </c>
      <c r="W774" s="1">
        <v>1100000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1662653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2660246</v>
      </c>
      <c r="AM774" s="1">
        <v>0</v>
      </c>
      <c r="AN774" s="1">
        <v>43551429</v>
      </c>
      <c r="AO774" s="1">
        <v>10136203</v>
      </c>
      <c r="AP774" s="1">
        <v>33415226</v>
      </c>
      <c r="AQ774" s="1">
        <v>8710286</v>
      </c>
      <c r="AR774" s="1">
        <v>1306543</v>
      </c>
      <c r="AS774" s="1">
        <v>0</v>
      </c>
      <c r="AT774" s="1">
        <f t="shared" si="86"/>
        <v>53568258</v>
      </c>
    </row>
    <row r="775" spans="1:46">
      <c r="A775" s="1" t="str">
        <f>"00879"</f>
        <v>00879</v>
      </c>
      <c r="B775" s="1" t="str">
        <f>"ايوب"</f>
        <v>ايوب</v>
      </c>
      <c r="C775" s="1" t="str">
        <f>"محمودآبادي"</f>
        <v>محمودآبادي</v>
      </c>
      <c r="D775" s="1" t="str">
        <f t="shared" si="84"/>
        <v>قراردادي بهره بردار</v>
      </c>
      <c r="E775" s="1" t="str">
        <f t="shared" si="85"/>
        <v>پروژه تعميرات نيروگاه بوشهر</v>
      </c>
      <c r="F775" s="1">
        <v>11361671</v>
      </c>
      <c r="G775" s="1">
        <v>1281441</v>
      </c>
      <c r="H775" s="1">
        <v>0</v>
      </c>
      <c r="I775" s="1">
        <v>8941011</v>
      </c>
      <c r="J775" s="1">
        <v>0</v>
      </c>
      <c r="K775" s="1">
        <v>3465000</v>
      </c>
      <c r="L775" s="1">
        <v>0</v>
      </c>
      <c r="M775" s="1">
        <v>400000</v>
      </c>
      <c r="N775" s="1">
        <v>2039407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6338183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1456720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5011116</v>
      </c>
      <c r="AM775" s="1">
        <v>0</v>
      </c>
      <c r="AN775" s="1">
        <v>41394549</v>
      </c>
      <c r="AO775" s="1">
        <v>6669181</v>
      </c>
      <c r="AP775" s="1">
        <v>34725368</v>
      </c>
      <c r="AQ775" s="1">
        <v>8278910</v>
      </c>
      <c r="AR775" s="1">
        <v>1241836</v>
      </c>
      <c r="AS775" s="1">
        <v>0</v>
      </c>
      <c r="AT775" s="1">
        <f t="shared" si="86"/>
        <v>50915295</v>
      </c>
    </row>
    <row r="776" spans="1:46">
      <c r="A776" s="1" t="str">
        <f>"00880"</f>
        <v>00880</v>
      </c>
      <c r="B776" s="1" t="str">
        <f>"جاويد"</f>
        <v>جاويد</v>
      </c>
      <c r="C776" s="1" t="str">
        <f>"ميرشکاري"</f>
        <v>ميرشکاري</v>
      </c>
      <c r="D776" s="1" t="str">
        <f t="shared" si="84"/>
        <v>قراردادي بهره بردار</v>
      </c>
      <c r="E776" s="1" t="str">
        <f t="shared" si="85"/>
        <v>پروژه تعميرات نيروگاه بوشهر</v>
      </c>
      <c r="F776" s="1">
        <v>10760005</v>
      </c>
      <c r="G776" s="1">
        <v>0</v>
      </c>
      <c r="H776" s="1">
        <v>0</v>
      </c>
      <c r="I776" s="1">
        <v>8407410</v>
      </c>
      <c r="J776" s="1">
        <v>0</v>
      </c>
      <c r="K776" s="1">
        <v>3465000</v>
      </c>
      <c r="L776" s="1">
        <v>0</v>
      </c>
      <c r="M776" s="1">
        <v>400000</v>
      </c>
      <c r="N776" s="1">
        <v>1852775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10768461</v>
      </c>
      <c r="W776" s="1">
        <v>1100000</v>
      </c>
      <c r="X776" s="1">
        <v>1614001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1323411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7568790</v>
      </c>
      <c r="AM776" s="1">
        <v>0</v>
      </c>
      <c r="AN776" s="1">
        <v>47259853</v>
      </c>
      <c r="AO776" s="1">
        <v>7468552</v>
      </c>
      <c r="AP776" s="1">
        <v>39791301</v>
      </c>
      <c r="AQ776" s="1">
        <v>9451971</v>
      </c>
      <c r="AR776" s="1">
        <v>1417796</v>
      </c>
      <c r="AS776" s="1">
        <v>0</v>
      </c>
      <c r="AT776" s="1">
        <f t="shared" si="86"/>
        <v>58129620</v>
      </c>
    </row>
    <row r="777" spans="1:46">
      <c r="A777" s="1" t="str">
        <f>"00882"</f>
        <v>00882</v>
      </c>
      <c r="B777" s="1" t="str">
        <f>"امين"</f>
        <v>امين</v>
      </c>
      <c r="C777" s="1" t="str">
        <f>"يزدي"</f>
        <v>يزدي</v>
      </c>
      <c r="D777" s="1" t="str">
        <f t="shared" si="84"/>
        <v>قراردادي بهره بردار</v>
      </c>
      <c r="E777" s="1" t="str">
        <f t="shared" si="85"/>
        <v>پروژه تعميرات نيروگاه بوشهر</v>
      </c>
      <c r="F777" s="1">
        <v>15010216</v>
      </c>
      <c r="G777" s="1">
        <v>4757649</v>
      </c>
      <c r="H777" s="1">
        <v>0</v>
      </c>
      <c r="I777" s="1">
        <v>10526767</v>
      </c>
      <c r="J777" s="1">
        <v>0</v>
      </c>
      <c r="K777" s="1">
        <v>5500000</v>
      </c>
      <c r="L777" s="1">
        <v>0</v>
      </c>
      <c r="M777" s="1">
        <v>400000</v>
      </c>
      <c r="N777" s="1">
        <v>2422192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5923499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1730137</v>
      </c>
      <c r="AF777" s="1">
        <v>2222538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2768219</v>
      </c>
      <c r="AM777" s="1">
        <v>0</v>
      </c>
      <c r="AN777" s="1">
        <v>52361217</v>
      </c>
      <c r="AO777" s="1">
        <v>14849801</v>
      </c>
      <c r="AP777" s="1">
        <v>37511416</v>
      </c>
      <c r="AQ777" s="1">
        <v>10027736</v>
      </c>
      <c r="AR777" s="1">
        <v>1504160</v>
      </c>
      <c r="AS777" s="1">
        <v>0</v>
      </c>
      <c r="AT777" s="1">
        <f t="shared" si="86"/>
        <v>63893113</v>
      </c>
    </row>
    <row r="778" spans="1:46">
      <c r="A778" s="1" t="str">
        <f>"00883"</f>
        <v>00883</v>
      </c>
      <c r="B778" s="1" t="str">
        <f>"حميد"</f>
        <v>حميد</v>
      </c>
      <c r="C778" s="1" t="str">
        <f>"بادروح"</f>
        <v>بادروح</v>
      </c>
      <c r="D778" s="1" t="str">
        <f t="shared" si="84"/>
        <v>قراردادي بهره بردار</v>
      </c>
      <c r="E778" s="1" t="str">
        <f t="shared" si="85"/>
        <v>پروژه تعميرات نيروگاه بوشهر</v>
      </c>
      <c r="F778" s="1">
        <v>14951502</v>
      </c>
      <c r="G778" s="1">
        <v>4071082</v>
      </c>
      <c r="H778" s="1">
        <v>0</v>
      </c>
      <c r="I778" s="1">
        <v>10431161</v>
      </c>
      <c r="J778" s="1">
        <v>0</v>
      </c>
      <c r="K778" s="1">
        <v>4125000</v>
      </c>
      <c r="L778" s="1">
        <v>0</v>
      </c>
      <c r="M778" s="1">
        <v>400000</v>
      </c>
      <c r="N778" s="1">
        <v>2394203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5340104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1710146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2394203</v>
      </c>
      <c r="AM778" s="1">
        <v>0</v>
      </c>
      <c r="AN778" s="1">
        <v>46917401</v>
      </c>
      <c r="AO778" s="1">
        <v>7993600</v>
      </c>
      <c r="AP778" s="1">
        <v>38923801</v>
      </c>
      <c r="AQ778" s="1">
        <v>9383480</v>
      </c>
      <c r="AR778" s="1">
        <v>1407522</v>
      </c>
      <c r="AS778" s="1">
        <v>0</v>
      </c>
      <c r="AT778" s="1">
        <f t="shared" si="86"/>
        <v>57708403</v>
      </c>
    </row>
    <row r="779" spans="1:46">
      <c r="A779" s="1" t="str">
        <f>"00884"</f>
        <v>00884</v>
      </c>
      <c r="B779" s="1" t="str">
        <f>"صادق"</f>
        <v>صادق</v>
      </c>
      <c r="C779" s="1" t="str">
        <f>"بناري"</f>
        <v>بناري</v>
      </c>
      <c r="D779" s="1" t="str">
        <f t="shared" si="84"/>
        <v>قراردادي بهره بردار</v>
      </c>
      <c r="E779" s="1" t="str">
        <f t="shared" si="85"/>
        <v>پروژه تعميرات نيروگاه بوشهر</v>
      </c>
      <c r="F779" s="1">
        <v>15173857</v>
      </c>
      <c r="G779" s="1">
        <v>4520020</v>
      </c>
      <c r="H779" s="1">
        <v>0</v>
      </c>
      <c r="I779" s="1">
        <v>11274792</v>
      </c>
      <c r="J779" s="1">
        <v>0</v>
      </c>
      <c r="K779" s="1">
        <v>4125000</v>
      </c>
      <c r="L779" s="1">
        <v>0</v>
      </c>
      <c r="M779" s="1">
        <v>400000</v>
      </c>
      <c r="N779" s="1">
        <v>2481670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5558422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1772620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2481670</v>
      </c>
      <c r="AM779" s="1">
        <v>0</v>
      </c>
      <c r="AN779" s="1">
        <v>48888051</v>
      </c>
      <c r="AO779" s="1">
        <v>10631370</v>
      </c>
      <c r="AP779" s="1">
        <v>38256681</v>
      </c>
      <c r="AQ779" s="1">
        <v>9777610</v>
      </c>
      <c r="AR779" s="1">
        <v>1466642</v>
      </c>
      <c r="AS779" s="1">
        <v>0</v>
      </c>
      <c r="AT779" s="1">
        <f t="shared" si="86"/>
        <v>60132303</v>
      </c>
    </row>
    <row r="780" spans="1:46">
      <c r="A780" s="1" t="str">
        <f>"00886"</f>
        <v>00886</v>
      </c>
      <c r="B780" s="1" t="str">
        <f>"سيد محمد علي"</f>
        <v>سيد محمد علي</v>
      </c>
      <c r="C780" s="1" t="str">
        <f>"مير بهرسي"</f>
        <v>مير بهرسي</v>
      </c>
      <c r="D780" s="1" t="str">
        <f>"قراردادي کارگري"</f>
        <v>قراردادي کارگري</v>
      </c>
      <c r="E780" s="1" t="str">
        <f t="shared" si="85"/>
        <v>پروژه تعميرات نيروگاه بوشهر</v>
      </c>
      <c r="F780" s="1">
        <v>6593122</v>
      </c>
      <c r="G780" s="1">
        <v>7192311</v>
      </c>
      <c r="H780" s="1">
        <v>0</v>
      </c>
      <c r="I780" s="1">
        <v>4747048</v>
      </c>
      <c r="J780" s="1">
        <v>0</v>
      </c>
      <c r="K780" s="1">
        <v>0</v>
      </c>
      <c r="L780" s="1">
        <v>3620700</v>
      </c>
      <c r="M780" s="1">
        <v>400000</v>
      </c>
      <c r="N780" s="1">
        <v>3470064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6228417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2222538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35574200</v>
      </c>
      <c r="AO780" s="1">
        <v>6076896</v>
      </c>
      <c r="AP780" s="1">
        <v>29497304</v>
      </c>
      <c r="AQ780" s="1">
        <v>6670332</v>
      </c>
      <c r="AR780" s="1">
        <v>1000550</v>
      </c>
      <c r="AS780" s="1">
        <v>0</v>
      </c>
      <c r="AT780" s="1">
        <f t="shared" si="86"/>
        <v>43245082</v>
      </c>
    </row>
    <row r="781" spans="1:46">
      <c r="A781" s="1" t="str">
        <f>"00887"</f>
        <v>00887</v>
      </c>
      <c r="B781" s="1" t="str">
        <f>"عبدالحسين"</f>
        <v>عبدالحسين</v>
      </c>
      <c r="C781" s="1" t="str">
        <f>"بچاچري نژاد"</f>
        <v>بچاچري نژاد</v>
      </c>
      <c r="D781" s="1" t="str">
        <f>"قراردادي کارگري"</f>
        <v>قراردادي کارگري</v>
      </c>
      <c r="E781" s="1" t="str">
        <f t="shared" si="85"/>
        <v>پروژه تعميرات نيروگاه بوشهر</v>
      </c>
      <c r="F781" s="1">
        <v>7964424</v>
      </c>
      <c r="G781" s="1">
        <v>4154407</v>
      </c>
      <c r="H781" s="1">
        <v>0</v>
      </c>
      <c r="I781" s="1">
        <v>5734385</v>
      </c>
      <c r="J781" s="1">
        <v>0</v>
      </c>
      <c r="K781" s="1">
        <v>0</v>
      </c>
      <c r="L781" s="1">
        <v>3620700</v>
      </c>
      <c r="M781" s="1">
        <v>400000</v>
      </c>
      <c r="N781" s="1">
        <v>4247693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6920161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3235080</v>
      </c>
      <c r="AE781" s="1">
        <v>0</v>
      </c>
      <c r="AF781" s="1">
        <v>2222538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39599388</v>
      </c>
      <c r="AO781" s="1">
        <v>7071462</v>
      </c>
      <c r="AP781" s="1">
        <v>32527926</v>
      </c>
      <c r="AQ781" s="1">
        <v>7475370</v>
      </c>
      <c r="AR781" s="1">
        <v>1121306</v>
      </c>
      <c r="AS781" s="1">
        <v>1325000</v>
      </c>
      <c r="AT781" s="1">
        <f t="shared" si="86"/>
        <v>49521064</v>
      </c>
    </row>
    <row r="782" spans="1:46">
      <c r="A782" s="1" t="str">
        <f>"00888"</f>
        <v>00888</v>
      </c>
      <c r="B782" s="1" t="str">
        <f>"جواد"</f>
        <v>جواد</v>
      </c>
      <c r="C782" s="1" t="str">
        <f>"رحيم زاده کچوئي"</f>
        <v>رحيم زاده کچوئي</v>
      </c>
      <c r="D782" s="1" t="str">
        <f>"قراردادي بهره بردار"</f>
        <v>قراردادي بهره بردار</v>
      </c>
      <c r="E782" s="1" t="str">
        <f t="shared" si="85"/>
        <v>پروژه تعميرات نيروگاه بوشهر</v>
      </c>
      <c r="F782" s="1">
        <v>12231752</v>
      </c>
      <c r="G782" s="1">
        <v>4999159</v>
      </c>
      <c r="H782" s="1">
        <v>0</v>
      </c>
      <c r="I782" s="1">
        <v>8624813</v>
      </c>
      <c r="J782" s="1">
        <v>0</v>
      </c>
      <c r="K782" s="1">
        <v>4620000</v>
      </c>
      <c r="L782" s="1">
        <v>0</v>
      </c>
      <c r="M782" s="1">
        <v>400000</v>
      </c>
      <c r="N782" s="1">
        <v>2027690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6181630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1448350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3765709</v>
      </c>
      <c r="AM782" s="1">
        <v>0</v>
      </c>
      <c r="AN782" s="1">
        <v>45399103</v>
      </c>
      <c r="AO782" s="1">
        <v>9792615</v>
      </c>
      <c r="AP782" s="1">
        <v>35606488</v>
      </c>
      <c r="AQ782" s="1">
        <v>9079821</v>
      </c>
      <c r="AR782" s="1">
        <v>1361973</v>
      </c>
      <c r="AS782" s="1">
        <v>0</v>
      </c>
      <c r="AT782" s="1">
        <f t="shared" si="86"/>
        <v>55840897</v>
      </c>
    </row>
    <row r="783" spans="1:46">
      <c r="A783" s="1" t="str">
        <f>"00890"</f>
        <v>00890</v>
      </c>
      <c r="B783" s="1" t="str">
        <f>"محمدرضا"</f>
        <v>محمدرضا</v>
      </c>
      <c r="C783" s="1" t="str">
        <f>"راه پيماي فرد حقيقي"</f>
        <v>راه پيماي فرد حقيقي</v>
      </c>
      <c r="D783" s="1" t="str">
        <f>"قراردادي کارگري"</f>
        <v>قراردادي کارگري</v>
      </c>
      <c r="E783" s="1" t="str">
        <f t="shared" si="85"/>
        <v>پروژه تعميرات نيروگاه بوشهر</v>
      </c>
      <c r="F783" s="1">
        <v>7938608</v>
      </c>
      <c r="G783" s="1">
        <v>9271233</v>
      </c>
      <c r="H783" s="1">
        <v>0</v>
      </c>
      <c r="I783" s="1">
        <v>4763165</v>
      </c>
      <c r="J783" s="1">
        <v>0</v>
      </c>
      <c r="K783" s="1">
        <v>0</v>
      </c>
      <c r="L783" s="1">
        <v>3620700</v>
      </c>
      <c r="M783" s="1">
        <v>400000</v>
      </c>
      <c r="N783" s="1">
        <v>4205885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4901309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1111269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37312169</v>
      </c>
      <c r="AO783" s="1">
        <v>8578492</v>
      </c>
      <c r="AP783" s="1">
        <v>28733677</v>
      </c>
      <c r="AQ783" s="1">
        <v>7240180</v>
      </c>
      <c r="AR783" s="1">
        <v>1086027</v>
      </c>
      <c r="AS783" s="1">
        <v>530000</v>
      </c>
      <c r="AT783" s="1">
        <f t="shared" si="86"/>
        <v>46168376</v>
      </c>
    </row>
    <row r="784" spans="1:46">
      <c r="A784" s="1" t="str">
        <f>"00891"</f>
        <v>00891</v>
      </c>
      <c r="B784" s="1" t="str">
        <f>"غلامرضا"</f>
        <v>غلامرضا</v>
      </c>
      <c r="C784" s="1" t="str">
        <f>"مسافر"</f>
        <v>مسافر</v>
      </c>
      <c r="D784" s="1" t="str">
        <f>"قراردادي کارگري"</f>
        <v>قراردادي کارگري</v>
      </c>
      <c r="E784" s="1" t="str">
        <f t="shared" si="85"/>
        <v>پروژه تعميرات نيروگاه بوشهر</v>
      </c>
      <c r="F784" s="1">
        <v>4661104</v>
      </c>
      <c r="G784" s="1">
        <v>0</v>
      </c>
      <c r="H784" s="1">
        <v>0</v>
      </c>
      <c r="I784" s="1">
        <v>2796663</v>
      </c>
      <c r="J784" s="1">
        <v>0</v>
      </c>
      <c r="K784" s="1">
        <v>0</v>
      </c>
      <c r="L784" s="1">
        <v>6190734</v>
      </c>
      <c r="M784" s="1">
        <v>400000</v>
      </c>
      <c r="N784" s="1">
        <v>2315117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5413722</v>
      </c>
      <c r="W784" s="1">
        <v>1100000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1111269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23988609</v>
      </c>
      <c r="AO784" s="1">
        <v>6992977</v>
      </c>
      <c r="AP784" s="1">
        <v>16995632</v>
      </c>
      <c r="AQ784" s="1">
        <v>4575468</v>
      </c>
      <c r="AR784" s="1">
        <v>686320</v>
      </c>
      <c r="AS784" s="1">
        <v>530000</v>
      </c>
      <c r="AT784" s="1">
        <f t="shared" si="86"/>
        <v>29780397</v>
      </c>
    </row>
    <row r="785" spans="1:46">
      <c r="A785" s="1" t="str">
        <f>"00892"</f>
        <v>00892</v>
      </c>
      <c r="B785" s="1" t="str">
        <f>"اسلام"</f>
        <v>اسلام</v>
      </c>
      <c r="C785" s="1" t="str">
        <f>"دست نشان"</f>
        <v>دست نشان</v>
      </c>
      <c r="D785" s="1" t="str">
        <f>"قراردادي کارگري"</f>
        <v>قراردادي کارگري</v>
      </c>
      <c r="E785" s="1" t="str">
        <f t="shared" si="85"/>
        <v>پروژه تعميرات نيروگاه بوشهر</v>
      </c>
      <c r="F785" s="1">
        <v>7212716</v>
      </c>
      <c r="G785" s="1">
        <v>3320487</v>
      </c>
      <c r="H785" s="1">
        <v>0</v>
      </c>
      <c r="I785" s="1">
        <v>4327630</v>
      </c>
      <c r="J785" s="1">
        <v>0</v>
      </c>
      <c r="K785" s="1">
        <v>0</v>
      </c>
      <c r="L785" s="1">
        <v>3620700</v>
      </c>
      <c r="M785" s="1">
        <v>400000</v>
      </c>
      <c r="N785" s="1">
        <v>3796166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6341736</v>
      </c>
      <c r="W785" s="1">
        <v>1100000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2222538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32341973</v>
      </c>
      <c r="AO785" s="1">
        <v>6795882</v>
      </c>
      <c r="AP785" s="1">
        <v>25546091</v>
      </c>
      <c r="AQ785" s="1">
        <v>6023887</v>
      </c>
      <c r="AR785" s="1">
        <v>903583</v>
      </c>
      <c r="AS785" s="1">
        <v>390000</v>
      </c>
      <c r="AT785" s="1">
        <f t="shared" si="86"/>
        <v>39659443</v>
      </c>
    </row>
    <row r="786" spans="1:46">
      <c r="A786" s="1" t="str">
        <f>"00893"</f>
        <v>00893</v>
      </c>
      <c r="B786" s="1" t="str">
        <f>"يعقوب"</f>
        <v>يعقوب</v>
      </c>
      <c r="C786" s="1" t="str">
        <f>"صفوي"</f>
        <v>صفوي</v>
      </c>
      <c r="D786" s="1" t="str">
        <f t="shared" ref="D786:D805" si="87">"قراردادي بهره بردار"</f>
        <v>قراردادي بهره بردار</v>
      </c>
      <c r="E786" s="1" t="str">
        <f t="shared" ref="E786:E805" si="88">"پروژه بهره برداري نيروگاه بوشهر"</f>
        <v>پروژه بهره برداري نيروگاه بوشهر</v>
      </c>
      <c r="F786" s="1">
        <v>14471259</v>
      </c>
      <c r="G786" s="1">
        <v>2556014</v>
      </c>
      <c r="H786" s="1">
        <v>0</v>
      </c>
      <c r="I786" s="1">
        <v>10269509</v>
      </c>
      <c r="J786" s="1">
        <v>0</v>
      </c>
      <c r="K786" s="1">
        <v>5500000</v>
      </c>
      <c r="L786" s="1">
        <v>0</v>
      </c>
      <c r="M786" s="1">
        <v>400000</v>
      </c>
      <c r="N786" s="1">
        <v>2268817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1270000</v>
      </c>
      <c r="U786" s="1">
        <v>0</v>
      </c>
      <c r="V786" s="1">
        <v>7604670</v>
      </c>
      <c r="W786" s="1">
        <v>1100000</v>
      </c>
      <c r="X786" s="1">
        <v>2170689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1620584</v>
      </c>
      <c r="AF786" s="1">
        <v>1111269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7582545</v>
      </c>
      <c r="AM786" s="1">
        <v>0</v>
      </c>
      <c r="AN786" s="1">
        <v>57925356</v>
      </c>
      <c r="AO786" s="1">
        <v>7583431</v>
      </c>
      <c r="AP786" s="1">
        <v>50341925</v>
      </c>
      <c r="AQ786" s="1">
        <v>11108817</v>
      </c>
      <c r="AR786" s="1">
        <v>1666323</v>
      </c>
      <c r="AS786" s="1">
        <v>0</v>
      </c>
      <c r="AT786" s="1">
        <f t="shared" si="86"/>
        <v>70700496</v>
      </c>
    </row>
    <row r="787" spans="1:46">
      <c r="A787" s="1" t="str">
        <f>"00895"</f>
        <v>00895</v>
      </c>
      <c r="B787" s="1" t="str">
        <f>"رضا"</f>
        <v>رضا</v>
      </c>
      <c r="C787" s="1" t="str">
        <f>"ولي"</f>
        <v>ولي</v>
      </c>
      <c r="D787" s="1" t="str">
        <f t="shared" si="87"/>
        <v>قراردادي بهره بردار</v>
      </c>
      <c r="E787" s="1" t="str">
        <f t="shared" si="88"/>
        <v>پروژه بهره برداري نيروگاه بوشهر</v>
      </c>
      <c r="F787" s="1">
        <v>13854870</v>
      </c>
      <c r="G787" s="1">
        <v>1825035</v>
      </c>
      <c r="H787" s="1">
        <v>0</v>
      </c>
      <c r="I787" s="1">
        <v>10273049</v>
      </c>
      <c r="J787" s="1">
        <v>0</v>
      </c>
      <c r="K787" s="1">
        <v>5500000</v>
      </c>
      <c r="L787" s="1">
        <v>0</v>
      </c>
      <c r="M787" s="1">
        <v>400000</v>
      </c>
      <c r="N787" s="1">
        <v>2254786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1270000</v>
      </c>
      <c r="U787" s="1">
        <v>0</v>
      </c>
      <c r="V787" s="1">
        <v>14429558</v>
      </c>
      <c r="W787" s="1">
        <v>1100000</v>
      </c>
      <c r="X787" s="1">
        <v>1095021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1610561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7635273</v>
      </c>
      <c r="AM787" s="1">
        <v>0</v>
      </c>
      <c r="AN787" s="1">
        <v>61248153</v>
      </c>
      <c r="AO787" s="1">
        <v>13378114</v>
      </c>
      <c r="AP787" s="1">
        <v>47870039</v>
      </c>
      <c r="AQ787" s="1">
        <v>11995631</v>
      </c>
      <c r="AR787" s="1">
        <v>1799345</v>
      </c>
      <c r="AS787" s="1">
        <v>0</v>
      </c>
      <c r="AT787" s="1">
        <f t="shared" si="86"/>
        <v>75043129</v>
      </c>
    </row>
    <row r="788" spans="1:46">
      <c r="A788" s="1" t="str">
        <f>"00896"</f>
        <v>00896</v>
      </c>
      <c r="B788" s="1" t="str">
        <f>"سيدجاسم"</f>
        <v>سيدجاسم</v>
      </c>
      <c r="C788" s="1" t="str">
        <f>"حسيني"</f>
        <v>حسيني</v>
      </c>
      <c r="D788" s="1" t="str">
        <f t="shared" si="87"/>
        <v>قراردادي بهره بردار</v>
      </c>
      <c r="E788" s="1" t="str">
        <f t="shared" si="88"/>
        <v>پروژه بهره برداري نيروگاه بوشهر</v>
      </c>
      <c r="F788" s="1">
        <v>13547390</v>
      </c>
      <c r="G788" s="1">
        <v>0</v>
      </c>
      <c r="H788" s="1">
        <v>0</v>
      </c>
      <c r="I788" s="1">
        <v>9789314</v>
      </c>
      <c r="J788" s="1">
        <v>0</v>
      </c>
      <c r="K788" s="1">
        <v>5500000</v>
      </c>
      <c r="L788" s="1">
        <v>0</v>
      </c>
      <c r="M788" s="1">
        <v>400000</v>
      </c>
      <c r="N788" s="1">
        <v>2088794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10027277</v>
      </c>
      <c r="W788" s="1">
        <v>1100000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1491995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3700148</v>
      </c>
      <c r="AM788" s="1">
        <v>0</v>
      </c>
      <c r="AN788" s="1">
        <v>47644918</v>
      </c>
      <c r="AO788" s="1">
        <v>6849243</v>
      </c>
      <c r="AP788" s="1">
        <v>40795675</v>
      </c>
      <c r="AQ788" s="1">
        <v>9528984</v>
      </c>
      <c r="AR788" s="1">
        <v>1429348</v>
      </c>
      <c r="AS788" s="1">
        <v>0</v>
      </c>
      <c r="AT788" s="1">
        <f t="shared" si="86"/>
        <v>58603250</v>
      </c>
    </row>
    <row r="789" spans="1:46">
      <c r="A789" s="1" t="str">
        <f>"00897"</f>
        <v>00897</v>
      </c>
      <c r="B789" s="1" t="str">
        <f>"اکبر"</f>
        <v>اکبر</v>
      </c>
      <c r="C789" s="1" t="str">
        <f>"بهاروند"</f>
        <v>بهاروند</v>
      </c>
      <c r="D789" s="1" t="str">
        <f t="shared" si="87"/>
        <v>قراردادي بهره بردار</v>
      </c>
      <c r="E789" s="1" t="str">
        <f t="shared" si="88"/>
        <v>پروژه بهره برداري نيروگاه بوشهر</v>
      </c>
      <c r="F789" s="1">
        <v>10065078</v>
      </c>
      <c r="G789" s="1">
        <v>6444241</v>
      </c>
      <c r="H789" s="1">
        <v>0</v>
      </c>
      <c r="I789" s="1">
        <v>6888565</v>
      </c>
      <c r="J789" s="1">
        <v>0</v>
      </c>
      <c r="K789" s="1">
        <v>4620000</v>
      </c>
      <c r="L789" s="1">
        <v>0</v>
      </c>
      <c r="M789" s="1">
        <v>400000</v>
      </c>
      <c r="N789" s="1">
        <v>1592710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1270000</v>
      </c>
      <c r="U789" s="1">
        <v>0</v>
      </c>
      <c r="V789" s="1">
        <v>10707756</v>
      </c>
      <c r="W789" s="1">
        <v>1100000</v>
      </c>
      <c r="X789" s="1">
        <v>1509762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1137651</v>
      </c>
      <c r="AF789" s="1">
        <v>1111269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6432474</v>
      </c>
      <c r="AM789" s="1">
        <v>0</v>
      </c>
      <c r="AN789" s="1">
        <v>53279506</v>
      </c>
      <c r="AO789" s="1">
        <v>9664928</v>
      </c>
      <c r="AP789" s="1">
        <v>43614578</v>
      </c>
      <c r="AQ789" s="1">
        <v>10179647</v>
      </c>
      <c r="AR789" s="1">
        <v>1526947</v>
      </c>
      <c r="AS789" s="1">
        <v>0</v>
      </c>
      <c r="AT789" s="1">
        <f t="shared" si="86"/>
        <v>64986100</v>
      </c>
    </row>
    <row r="790" spans="1:46">
      <c r="A790" s="1" t="str">
        <f>"00898"</f>
        <v>00898</v>
      </c>
      <c r="B790" s="1" t="str">
        <f>"محمدرضا"</f>
        <v>محمدرضا</v>
      </c>
      <c r="C790" s="1" t="str">
        <f>"آزادمنش"</f>
        <v>آزادمنش</v>
      </c>
      <c r="D790" s="1" t="str">
        <f t="shared" si="87"/>
        <v>قراردادي بهره بردار</v>
      </c>
      <c r="E790" s="1" t="str">
        <f t="shared" si="88"/>
        <v>پروژه بهره برداري نيروگاه بوشهر</v>
      </c>
      <c r="F790" s="1">
        <v>11779349</v>
      </c>
      <c r="G790" s="1">
        <v>2337213</v>
      </c>
      <c r="H790" s="1">
        <v>0</v>
      </c>
      <c r="I790" s="1">
        <v>9204987</v>
      </c>
      <c r="J790" s="1">
        <v>0</v>
      </c>
      <c r="K790" s="1">
        <v>4620000</v>
      </c>
      <c r="L790" s="1">
        <v>0</v>
      </c>
      <c r="M790" s="1">
        <v>400000</v>
      </c>
      <c r="N790" s="1">
        <v>2206926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1270000</v>
      </c>
      <c r="U790" s="1">
        <v>0</v>
      </c>
      <c r="V790" s="1">
        <v>7225109</v>
      </c>
      <c r="W790" s="1">
        <v>1100000</v>
      </c>
      <c r="X790" s="1">
        <v>1766902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1576376</v>
      </c>
      <c r="AF790" s="1">
        <v>1111269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8073767</v>
      </c>
      <c r="AM790" s="1">
        <v>0</v>
      </c>
      <c r="AN790" s="1">
        <v>52671898</v>
      </c>
      <c r="AO790" s="1">
        <v>8906842</v>
      </c>
      <c r="AP790" s="1">
        <v>43765056</v>
      </c>
      <c r="AQ790" s="1">
        <v>10058126</v>
      </c>
      <c r="AR790" s="1">
        <v>1508719</v>
      </c>
      <c r="AS790" s="1">
        <v>0</v>
      </c>
      <c r="AT790" s="1">
        <f t="shared" si="86"/>
        <v>64238743</v>
      </c>
    </row>
    <row r="791" spans="1:46">
      <c r="A791" s="1" t="str">
        <f>"00899"</f>
        <v>00899</v>
      </c>
      <c r="B791" s="1" t="str">
        <f>"احمد"</f>
        <v>احمد</v>
      </c>
      <c r="C791" s="1" t="str">
        <f>"هوشمندي"</f>
        <v>هوشمندي</v>
      </c>
      <c r="D791" s="1" t="str">
        <f t="shared" si="87"/>
        <v>قراردادي بهره بردار</v>
      </c>
      <c r="E791" s="1" t="str">
        <f t="shared" si="88"/>
        <v>پروژه بهره برداري نيروگاه بوشهر</v>
      </c>
      <c r="F791" s="1">
        <v>11364195</v>
      </c>
      <c r="G791" s="1">
        <v>5442537</v>
      </c>
      <c r="H791" s="1">
        <v>0</v>
      </c>
      <c r="I791" s="1">
        <v>8581320</v>
      </c>
      <c r="J791" s="1">
        <v>0</v>
      </c>
      <c r="K791" s="1">
        <v>4620000</v>
      </c>
      <c r="L791" s="1">
        <v>0</v>
      </c>
      <c r="M791" s="1">
        <v>400000</v>
      </c>
      <c r="N791" s="1">
        <v>2049647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1270000</v>
      </c>
      <c r="U791" s="1">
        <v>0</v>
      </c>
      <c r="V791" s="1">
        <v>9878891</v>
      </c>
      <c r="W791" s="1">
        <v>1100000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1464034</v>
      </c>
      <c r="AF791" s="1">
        <v>1111269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3982170</v>
      </c>
      <c r="AM791" s="1">
        <v>0</v>
      </c>
      <c r="AN791" s="1">
        <v>51264063</v>
      </c>
      <c r="AO791" s="1">
        <v>8372334</v>
      </c>
      <c r="AP791" s="1">
        <v>42891729</v>
      </c>
      <c r="AQ791" s="1">
        <v>9776559</v>
      </c>
      <c r="AR791" s="1">
        <v>1466484</v>
      </c>
      <c r="AS791" s="1">
        <v>0</v>
      </c>
      <c r="AT791" s="1">
        <f t="shared" si="86"/>
        <v>62507106</v>
      </c>
    </row>
    <row r="792" spans="1:46">
      <c r="A792" s="1" t="str">
        <f>"00900"</f>
        <v>00900</v>
      </c>
      <c r="B792" s="1" t="str">
        <f>"اسماعيل"</f>
        <v>اسماعيل</v>
      </c>
      <c r="C792" s="1" t="str">
        <f>"مغانلو رحيمي زاده"</f>
        <v>مغانلو رحيمي زاده</v>
      </c>
      <c r="D792" s="1" t="str">
        <f t="shared" si="87"/>
        <v>قراردادي بهره بردار</v>
      </c>
      <c r="E792" s="1" t="str">
        <f t="shared" si="88"/>
        <v>پروژه بهره برداري نيروگاه بوشهر</v>
      </c>
      <c r="F792" s="1">
        <v>10492853</v>
      </c>
      <c r="G792" s="1">
        <v>3676420</v>
      </c>
      <c r="H792" s="1">
        <v>0</v>
      </c>
      <c r="I792" s="1">
        <v>7771069</v>
      </c>
      <c r="J792" s="1">
        <v>0</v>
      </c>
      <c r="K792" s="1">
        <v>3465000</v>
      </c>
      <c r="L792" s="1">
        <v>0</v>
      </c>
      <c r="M792" s="1">
        <v>400000</v>
      </c>
      <c r="N792" s="1">
        <v>1826776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8668283</v>
      </c>
      <c r="W792" s="1">
        <v>1100000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1304840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3549164</v>
      </c>
      <c r="AM792" s="1">
        <v>0</v>
      </c>
      <c r="AN792" s="1">
        <v>42254405</v>
      </c>
      <c r="AO792" s="1">
        <v>8304303</v>
      </c>
      <c r="AP792" s="1">
        <v>33950102</v>
      </c>
      <c r="AQ792" s="1">
        <v>8450881</v>
      </c>
      <c r="AR792" s="1">
        <v>1267632</v>
      </c>
      <c r="AS792" s="1">
        <v>0</v>
      </c>
      <c r="AT792" s="1">
        <f t="shared" si="86"/>
        <v>51972918</v>
      </c>
    </row>
    <row r="793" spans="1:46">
      <c r="A793" s="1" t="str">
        <f>"00901"</f>
        <v>00901</v>
      </c>
      <c r="B793" s="1" t="str">
        <f>"پيمان"</f>
        <v>پيمان</v>
      </c>
      <c r="C793" s="1" t="str">
        <f>"بحريني"</f>
        <v>بحريني</v>
      </c>
      <c r="D793" s="1" t="str">
        <f t="shared" si="87"/>
        <v>قراردادي بهره بردار</v>
      </c>
      <c r="E793" s="1" t="str">
        <f t="shared" si="88"/>
        <v>پروژه بهره برداري نيروگاه بوشهر</v>
      </c>
      <c r="F793" s="1">
        <v>12086369</v>
      </c>
      <c r="G793" s="1">
        <v>8251481</v>
      </c>
      <c r="H793" s="1">
        <v>0</v>
      </c>
      <c r="I793" s="1">
        <v>9661260</v>
      </c>
      <c r="J793" s="1">
        <v>0</v>
      </c>
      <c r="K793" s="1">
        <v>3465000</v>
      </c>
      <c r="L793" s="1">
        <v>0</v>
      </c>
      <c r="M793" s="1">
        <v>400000</v>
      </c>
      <c r="N793" s="1">
        <v>2315880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10198282</v>
      </c>
      <c r="W793" s="1">
        <v>1100000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1654200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4499424</v>
      </c>
      <c r="AM793" s="1">
        <v>0</v>
      </c>
      <c r="AN793" s="1">
        <v>53631896</v>
      </c>
      <c r="AO793" s="1">
        <v>9011289</v>
      </c>
      <c r="AP793" s="1">
        <v>44620607</v>
      </c>
      <c r="AQ793" s="1">
        <v>10726379</v>
      </c>
      <c r="AR793" s="1">
        <v>1608957</v>
      </c>
      <c r="AS793" s="1">
        <v>0</v>
      </c>
      <c r="AT793" s="1">
        <f t="shared" si="86"/>
        <v>65967232</v>
      </c>
    </row>
    <row r="794" spans="1:46">
      <c r="A794" s="1" t="str">
        <f>"00902"</f>
        <v>00902</v>
      </c>
      <c r="B794" s="1" t="str">
        <f>"علي"</f>
        <v>علي</v>
      </c>
      <c r="C794" s="1" t="str">
        <f>"پاژنگ"</f>
        <v>پاژنگ</v>
      </c>
      <c r="D794" s="1" t="str">
        <f t="shared" si="87"/>
        <v>قراردادي بهره بردار</v>
      </c>
      <c r="E794" s="1" t="str">
        <f t="shared" si="88"/>
        <v>پروژه بهره برداري نيروگاه بوشهر</v>
      </c>
      <c r="F794" s="1">
        <v>10976536</v>
      </c>
      <c r="G794" s="1">
        <v>4317788</v>
      </c>
      <c r="H794" s="1">
        <v>0</v>
      </c>
      <c r="I794" s="1">
        <v>8108810</v>
      </c>
      <c r="J794" s="1">
        <v>0</v>
      </c>
      <c r="K794" s="1">
        <v>4620000</v>
      </c>
      <c r="L794" s="1">
        <v>0</v>
      </c>
      <c r="M794" s="1">
        <v>400000</v>
      </c>
      <c r="N794" s="1">
        <v>2001039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1270000</v>
      </c>
      <c r="U794" s="1">
        <v>0</v>
      </c>
      <c r="V794" s="1">
        <v>8886523</v>
      </c>
      <c r="W794" s="1">
        <v>1100000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1429314</v>
      </c>
      <c r="AF794" s="1">
        <v>1111269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3430353</v>
      </c>
      <c r="AM794" s="1">
        <v>0</v>
      </c>
      <c r="AN794" s="1">
        <v>47651632</v>
      </c>
      <c r="AO794" s="1">
        <v>8405701</v>
      </c>
      <c r="AP794" s="1">
        <v>39245931</v>
      </c>
      <c r="AQ794" s="1">
        <v>9054073</v>
      </c>
      <c r="AR794" s="1">
        <v>1358111</v>
      </c>
      <c r="AS794" s="1">
        <v>0</v>
      </c>
      <c r="AT794" s="1">
        <f t="shared" si="86"/>
        <v>58063816</v>
      </c>
    </row>
    <row r="795" spans="1:46">
      <c r="A795" s="1" t="str">
        <f>"00903"</f>
        <v>00903</v>
      </c>
      <c r="B795" s="1" t="str">
        <f>"محمدکاظم"</f>
        <v>محمدکاظم</v>
      </c>
      <c r="C795" s="1" t="str">
        <f>"توکلي"</f>
        <v>توکلي</v>
      </c>
      <c r="D795" s="1" t="str">
        <f t="shared" si="87"/>
        <v>قراردادي بهره بردار</v>
      </c>
      <c r="E795" s="1" t="str">
        <f t="shared" si="88"/>
        <v>پروژه بهره برداري نيروگاه بوشهر</v>
      </c>
      <c r="F795" s="1">
        <v>12405319</v>
      </c>
      <c r="G795" s="1">
        <v>3034109</v>
      </c>
      <c r="H795" s="1">
        <v>0</v>
      </c>
      <c r="I795" s="1">
        <v>9791635</v>
      </c>
      <c r="J795" s="1">
        <v>0</v>
      </c>
      <c r="K795" s="1">
        <v>4620000</v>
      </c>
      <c r="L795" s="1">
        <v>0</v>
      </c>
      <c r="M795" s="1">
        <v>400000</v>
      </c>
      <c r="N795" s="1">
        <v>2230610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1270000</v>
      </c>
      <c r="U795" s="1">
        <v>0</v>
      </c>
      <c r="V795" s="1">
        <v>7642770</v>
      </c>
      <c r="W795" s="1">
        <v>1100000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1593293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7947010</v>
      </c>
      <c r="AM795" s="1">
        <v>0</v>
      </c>
      <c r="AN795" s="1">
        <v>52034746</v>
      </c>
      <c r="AO795" s="1">
        <v>9859778</v>
      </c>
      <c r="AP795" s="1">
        <v>42174968</v>
      </c>
      <c r="AQ795" s="1">
        <v>10152949</v>
      </c>
      <c r="AR795" s="1">
        <v>1522942</v>
      </c>
      <c r="AS795" s="1">
        <v>0</v>
      </c>
      <c r="AT795" s="1">
        <f t="shared" si="86"/>
        <v>63710637</v>
      </c>
    </row>
    <row r="796" spans="1:46">
      <c r="A796" s="1" t="str">
        <f>"00904"</f>
        <v>00904</v>
      </c>
      <c r="B796" s="1" t="str">
        <f>"مهدي"</f>
        <v>مهدي</v>
      </c>
      <c r="C796" s="1" t="str">
        <f>"جمالي"</f>
        <v>جمالي</v>
      </c>
      <c r="D796" s="1" t="str">
        <f t="shared" si="87"/>
        <v>قراردادي بهره بردار</v>
      </c>
      <c r="E796" s="1" t="str">
        <f t="shared" si="88"/>
        <v>پروژه بهره برداري نيروگاه بوشهر</v>
      </c>
      <c r="F796" s="1">
        <v>10146679</v>
      </c>
      <c r="G796" s="1">
        <v>2745256</v>
      </c>
      <c r="H796" s="1">
        <v>0</v>
      </c>
      <c r="I796" s="1">
        <v>7106240</v>
      </c>
      <c r="J796" s="1">
        <v>0</v>
      </c>
      <c r="K796" s="1">
        <v>3465000</v>
      </c>
      <c r="L796" s="1">
        <v>0</v>
      </c>
      <c r="M796" s="1">
        <v>400000</v>
      </c>
      <c r="N796" s="1">
        <v>1696554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7916892</v>
      </c>
      <c r="W796" s="1">
        <v>1100000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1211824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3296161</v>
      </c>
      <c r="AM796" s="1">
        <v>0</v>
      </c>
      <c r="AN796" s="1">
        <v>39084606</v>
      </c>
      <c r="AO796" s="1">
        <v>6656289</v>
      </c>
      <c r="AP796" s="1">
        <v>32428317</v>
      </c>
      <c r="AQ796" s="1">
        <v>7816921</v>
      </c>
      <c r="AR796" s="1">
        <v>1172538</v>
      </c>
      <c r="AS796" s="1">
        <v>0</v>
      </c>
      <c r="AT796" s="1">
        <f t="shared" si="86"/>
        <v>48074065</v>
      </c>
    </row>
    <row r="797" spans="1:46">
      <c r="A797" s="1" t="str">
        <f>"00905"</f>
        <v>00905</v>
      </c>
      <c r="B797" s="1" t="str">
        <f>"محسن"</f>
        <v>محسن</v>
      </c>
      <c r="C797" s="1" t="str">
        <f>"حياتي"</f>
        <v>حياتي</v>
      </c>
      <c r="D797" s="1" t="str">
        <f t="shared" si="87"/>
        <v>قراردادي بهره بردار</v>
      </c>
      <c r="E797" s="1" t="str">
        <f t="shared" si="88"/>
        <v>پروژه بهره برداري نيروگاه بوشهر</v>
      </c>
      <c r="F797" s="1">
        <v>10886369</v>
      </c>
      <c r="G797" s="1">
        <v>6328447</v>
      </c>
      <c r="H797" s="1">
        <v>0</v>
      </c>
      <c r="I797" s="1">
        <v>8009494</v>
      </c>
      <c r="J797" s="1">
        <v>0</v>
      </c>
      <c r="K797" s="1">
        <v>4620000</v>
      </c>
      <c r="L797" s="1">
        <v>0</v>
      </c>
      <c r="M797" s="1">
        <v>400000</v>
      </c>
      <c r="N797" s="1">
        <v>1963618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7752551</v>
      </c>
      <c r="W797" s="1">
        <v>1100000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1402584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3366202</v>
      </c>
      <c r="AM797" s="1">
        <v>0</v>
      </c>
      <c r="AN797" s="1">
        <v>45829265</v>
      </c>
      <c r="AO797" s="1">
        <v>11255929</v>
      </c>
      <c r="AP797" s="1">
        <v>34573336</v>
      </c>
      <c r="AQ797" s="1">
        <v>9165853</v>
      </c>
      <c r="AR797" s="1">
        <v>1374878</v>
      </c>
      <c r="AS797" s="1">
        <v>0</v>
      </c>
      <c r="AT797" s="1">
        <f t="shared" si="86"/>
        <v>56369996</v>
      </c>
    </row>
    <row r="798" spans="1:46">
      <c r="A798" s="1" t="str">
        <f>"00906"</f>
        <v>00906</v>
      </c>
      <c r="B798" s="1" t="str">
        <f>"حسين"</f>
        <v>حسين</v>
      </c>
      <c r="C798" s="1" t="str">
        <f>"خوهک"</f>
        <v>خوهک</v>
      </c>
      <c r="D798" s="1" t="str">
        <f t="shared" si="87"/>
        <v>قراردادي بهره بردار</v>
      </c>
      <c r="E798" s="1" t="str">
        <f t="shared" si="88"/>
        <v>پروژه بهره برداري نيروگاه بوشهر</v>
      </c>
      <c r="F798" s="1">
        <v>10936974</v>
      </c>
      <c r="G798" s="1">
        <v>6431888</v>
      </c>
      <c r="H798" s="1">
        <v>0</v>
      </c>
      <c r="I798" s="1">
        <v>8163701</v>
      </c>
      <c r="J798" s="1">
        <v>0</v>
      </c>
      <c r="K798" s="1">
        <v>3465000</v>
      </c>
      <c r="L798" s="1">
        <v>0</v>
      </c>
      <c r="M798" s="1">
        <v>400000</v>
      </c>
      <c r="N798" s="1">
        <v>1920702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12213977</v>
      </c>
      <c r="W798" s="1">
        <v>1100000</v>
      </c>
      <c r="X798" s="1">
        <v>1640546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1371930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7396882</v>
      </c>
      <c r="AM798" s="1">
        <v>0</v>
      </c>
      <c r="AN798" s="1">
        <v>55041600</v>
      </c>
      <c r="AO798" s="1">
        <v>8385886</v>
      </c>
      <c r="AP798" s="1">
        <v>46655714</v>
      </c>
      <c r="AQ798" s="1">
        <v>11008320</v>
      </c>
      <c r="AR798" s="1">
        <v>1651248</v>
      </c>
      <c r="AS798" s="1">
        <v>0</v>
      </c>
      <c r="AT798" s="1">
        <f t="shared" si="86"/>
        <v>67701168</v>
      </c>
    </row>
    <row r="799" spans="1:46">
      <c r="A799" s="1" t="str">
        <f>"00907"</f>
        <v>00907</v>
      </c>
      <c r="B799" s="1" t="str">
        <f>"مقداد"</f>
        <v>مقداد</v>
      </c>
      <c r="C799" s="1" t="str">
        <f>"ديرنه"</f>
        <v>ديرنه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12799115</v>
      </c>
      <c r="G799" s="1">
        <v>3376757</v>
      </c>
      <c r="H799" s="1">
        <v>0</v>
      </c>
      <c r="I799" s="1">
        <v>10445961</v>
      </c>
      <c r="J799" s="1">
        <v>0</v>
      </c>
      <c r="K799" s="1">
        <v>4620000</v>
      </c>
      <c r="L799" s="1">
        <v>0</v>
      </c>
      <c r="M799" s="1">
        <v>400000</v>
      </c>
      <c r="N799" s="1">
        <v>2370922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9777502</v>
      </c>
      <c r="W799" s="1">
        <v>1100000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1693516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5012806</v>
      </c>
      <c r="AM799" s="1">
        <v>0</v>
      </c>
      <c r="AN799" s="1">
        <v>51596579</v>
      </c>
      <c r="AO799" s="1">
        <v>6853123</v>
      </c>
      <c r="AP799" s="1">
        <v>44743456</v>
      </c>
      <c r="AQ799" s="1">
        <v>10319316</v>
      </c>
      <c r="AR799" s="1">
        <v>1547897</v>
      </c>
      <c r="AS799" s="1">
        <v>0</v>
      </c>
      <c r="AT799" s="1">
        <f t="shared" si="86"/>
        <v>63463792</v>
      </c>
    </row>
    <row r="800" spans="1:46">
      <c r="A800" s="1" t="str">
        <f>"00908"</f>
        <v>00908</v>
      </c>
      <c r="B800" s="1" t="str">
        <f>"حسين"</f>
        <v>حسين</v>
      </c>
      <c r="C800" s="1" t="str">
        <f>"شيخياني"</f>
        <v>شيخياني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10340214</v>
      </c>
      <c r="G800" s="1">
        <v>10149620</v>
      </c>
      <c r="H800" s="1">
        <v>0</v>
      </c>
      <c r="I800" s="1">
        <v>8198808</v>
      </c>
      <c r="J800" s="1">
        <v>0</v>
      </c>
      <c r="K800" s="1">
        <v>4620000</v>
      </c>
      <c r="L800" s="1">
        <v>0</v>
      </c>
      <c r="M800" s="1">
        <v>400000</v>
      </c>
      <c r="N800" s="1">
        <v>1701919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1270000</v>
      </c>
      <c r="U800" s="1">
        <v>0</v>
      </c>
      <c r="V800" s="1">
        <v>11564309</v>
      </c>
      <c r="W800" s="1">
        <v>1100000</v>
      </c>
      <c r="X800" s="1">
        <v>1551032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1215656</v>
      </c>
      <c r="AF800" s="1">
        <v>1111269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6749034</v>
      </c>
      <c r="AM800" s="1">
        <v>0</v>
      </c>
      <c r="AN800" s="1">
        <v>59971861</v>
      </c>
      <c r="AO800" s="1">
        <v>13551136</v>
      </c>
      <c r="AP800" s="1">
        <v>46420725</v>
      </c>
      <c r="AQ800" s="1">
        <v>11518118</v>
      </c>
      <c r="AR800" s="1">
        <v>1727718</v>
      </c>
      <c r="AS800" s="1">
        <v>0</v>
      </c>
      <c r="AT800" s="1">
        <f t="shared" si="86"/>
        <v>73217697</v>
      </c>
    </row>
    <row r="801" spans="1:46">
      <c r="A801" s="1" t="str">
        <f>"00909"</f>
        <v>00909</v>
      </c>
      <c r="B801" s="1" t="str">
        <f>"عبدالله"</f>
        <v>عبدالله</v>
      </c>
      <c r="C801" s="1" t="str">
        <f>"عالي پور"</f>
        <v>عالي پور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11141851</v>
      </c>
      <c r="G801" s="1">
        <v>26351048</v>
      </c>
      <c r="H801" s="1">
        <v>0</v>
      </c>
      <c r="I801" s="1">
        <v>9285529</v>
      </c>
      <c r="J801" s="1">
        <v>0</v>
      </c>
      <c r="K801" s="1">
        <v>3465000</v>
      </c>
      <c r="L801" s="1">
        <v>0</v>
      </c>
      <c r="M801" s="1">
        <v>400000</v>
      </c>
      <c r="N801" s="1">
        <v>2070271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8462685</v>
      </c>
      <c r="W801" s="1">
        <v>1100000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1478765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5205254</v>
      </c>
      <c r="AM801" s="1">
        <v>0</v>
      </c>
      <c r="AN801" s="1">
        <v>68960403</v>
      </c>
      <c r="AO801" s="1">
        <v>11300244</v>
      </c>
      <c r="AP801" s="1">
        <v>57660159</v>
      </c>
      <c r="AQ801" s="1">
        <v>13792081</v>
      </c>
      <c r="AR801" s="1">
        <v>2068812</v>
      </c>
      <c r="AS801" s="1">
        <v>0</v>
      </c>
      <c r="AT801" s="1">
        <f t="shared" si="86"/>
        <v>84821296</v>
      </c>
    </row>
    <row r="802" spans="1:46">
      <c r="A802" s="1" t="str">
        <f>"00910"</f>
        <v>00910</v>
      </c>
      <c r="B802" s="1" t="str">
        <f>"مهدي"</f>
        <v>مهدي</v>
      </c>
      <c r="C802" s="1" t="str">
        <f>"كسرائي"</f>
        <v>كسرائي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11936757</v>
      </c>
      <c r="G802" s="1">
        <v>3801752</v>
      </c>
      <c r="H802" s="1">
        <v>0</v>
      </c>
      <c r="I802" s="1">
        <v>8672711</v>
      </c>
      <c r="J802" s="1">
        <v>0</v>
      </c>
      <c r="K802" s="1">
        <v>4620000</v>
      </c>
      <c r="L802" s="1">
        <v>0</v>
      </c>
      <c r="M802" s="1">
        <v>400000</v>
      </c>
      <c r="N802" s="1">
        <v>2249669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1270000</v>
      </c>
      <c r="U802" s="1">
        <v>0</v>
      </c>
      <c r="V802" s="1">
        <v>9240409</v>
      </c>
      <c r="W802" s="1">
        <v>1100000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1606907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3535195</v>
      </c>
      <c r="AM802" s="1">
        <v>0</v>
      </c>
      <c r="AN802" s="1">
        <v>48433400</v>
      </c>
      <c r="AO802" s="1">
        <v>11883206</v>
      </c>
      <c r="AP802" s="1">
        <v>36550194</v>
      </c>
      <c r="AQ802" s="1">
        <v>9432680</v>
      </c>
      <c r="AR802" s="1">
        <v>1414902</v>
      </c>
      <c r="AS802" s="1">
        <v>0</v>
      </c>
      <c r="AT802" s="1">
        <f t="shared" si="86"/>
        <v>59280982</v>
      </c>
    </row>
    <row r="803" spans="1:46">
      <c r="A803" s="1" t="str">
        <f>"00911"</f>
        <v>00911</v>
      </c>
      <c r="B803" s="1" t="str">
        <f>"مصيب"</f>
        <v>مصيب</v>
      </c>
      <c r="C803" s="1" t="str">
        <f>"كشاورز"</f>
        <v>كشاورز</v>
      </c>
      <c r="D803" s="1" t="str">
        <f t="shared" si="87"/>
        <v>قراردادي بهره بردار</v>
      </c>
      <c r="E803" s="1" t="str">
        <f t="shared" si="88"/>
        <v>پروژه بهره برداري نيروگاه بوشهر</v>
      </c>
      <c r="F803" s="1">
        <v>10930720</v>
      </c>
      <c r="G803" s="1">
        <v>10099056</v>
      </c>
      <c r="H803" s="1">
        <v>0</v>
      </c>
      <c r="I803" s="1">
        <v>8156839</v>
      </c>
      <c r="J803" s="1">
        <v>0</v>
      </c>
      <c r="K803" s="1">
        <v>3465000</v>
      </c>
      <c r="L803" s="1">
        <v>0</v>
      </c>
      <c r="M803" s="1">
        <v>400000</v>
      </c>
      <c r="N803" s="1">
        <v>1918325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1270000</v>
      </c>
      <c r="U803" s="1">
        <v>0</v>
      </c>
      <c r="V803" s="1">
        <v>12204072</v>
      </c>
      <c r="W803" s="1">
        <v>1100000</v>
      </c>
      <c r="X803" s="1">
        <v>1639608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1370233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7389914</v>
      </c>
      <c r="AM803" s="1">
        <v>0</v>
      </c>
      <c r="AN803" s="1">
        <v>59943767</v>
      </c>
      <c r="AO803" s="1">
        <v>8700090</v>
      </c>
      <c r="AP803" s="1">
        <v>51243677</v>
      </c>
      <c r="AQ803" s="1">
        <v>11734753</v>
      </c>
      <c r="AR803" s="1">
        <v>1760213</v>
      </c>
      <c r="AS803" s="1">
        <v>0</v>
      </c>
      <c r="AT803" s="1">
        <f t="shared" si="86"/>
        <v>73438733</v>
      </c>
    </row>
    <row r="804" spans="1:46">
      <c r="A804" s="1" t="str">
        <f>"00912"</f>
        <v>00912</v>
      </c>
      <c r="B804" s="1" t="str">
        <f>"مهدي"</f>
        <v>مهدي</v>
      </c>
      <c r="C804" s="1" t="str">
        <f>"مغداني"</f>
        <v>مغداني</v>
      </c>
      <c r="D804" s="1" t="str">
        <f t="shared" si="87"/>
        <v>قراردادي بهره بردار</v>
      </c>
      <c r="E804" s="1" t="str">
        <f t="shared" si="88"/>
        <v>پروژه بهره برداري نيروگاه بوشهر</v>
      </c>
      <c r="F804" s="1">
        <v>11214566</v>
      </c>
      <c r="G804" s="1">
        <v>436660</v>
      </c>
      <c r="H804" s="1">
        <v>0</v>
      </c>
      <c r="I804" s="1">
        <v>7882418</v>
      </c>
      <c r="J804" s="1">
        <v>0</v>
      </c>
      <c r="K804" s="1">
        <v>3465000</v>
      </c>
      <c r="L804" s="1">
        <v>0</v>
      </c>
      <c r="M804" s="1">
        <v>400000</v>
      </c>
      <c r="N804" s="1">
        <v>2064628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5093932</v>
      </c>
      <c r="W804" s="1">
        <v>1100000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1474735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2212101</v>
      </c>
      <c r="AM804" s="1">
        <v>0</v>
      </c>
      <c r="AN804" s="1">
        <v>35344040</v>
      </c>
      <c r="AO804" s="1">
        <v>5789361</v>
      </c>
      <c r="AP804" s="1">
        <v>29554679</v>
      </c>
      <c r="AQ804" s="1">
        <v>7068808</v>
      </c>
      <c r="AR804" s="1">
        <v>1060321</v>
      </c>
      <c r="AS804" s="1">
        <v>0</v>
      </c>
      <c r="AT804" s="1">
        <f t="shared" si="86"/>
        <v>43473169</v>
      </c>
    </row>
    <row r="805" spans="1:46">
      <c r="A805" s="1" t="str">
        <f>"00913"</f>
        <v>00913</v>
      </c>
      <c r="B805" s="1" t="str">
        <f>"امير"</f>
        <v>امير</v>
      </c>
      <c r="C805" s="1" t="str">
        <f>"محمدي"</f>
        <v>محمدي</v>
      </c>
      <c r="D805" s="1" t="str">
        <f t="shared" si="87"/>
        <v>قراردادي بهره بردار</v>
      </c>
      <c r="E805" s="1" t="str">
        <f t="shared" si="88"/>
        <v>پروژه بهره برداري نيروگاه بوشهر</v>
      </c>
      <c r="F805" s="1">
        <v>14702007</v>
      </c>
      <c r="G805" s="1">
        <v>4959934</v>
      </c>
      <c r="H805" s="1">
        <v>0</v>
      </c>
      <c r="I805" s="1">
        <v>10948624</v>
      </c>
      <c r="J805" s="1">
        <v>0</v>
      </c>
      <c r="K805" s="1">
        <v>0</v>
      </c>
      <c r="L805" s="1">
        <v>0</v>
      </c>
      <c r="M805" s="1">
        <v>400000</v>
      </c>
      <c r="N805" s="1">
        <v>2359771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1270000</v>
      </c>
      <c r="U805" s="1">
        <v>0</v>
      </c>
      <c r="V805" s="1">
        <v>7870309</v>
      </c>
      <c r="W805" s="1">
        <v>1100000</v>
      </c>
      <c r="X805" s="1">
        <v>2205301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1685552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7781705</v>
      </c>
      <c r="AM805" s="1">
        <v>0</v>
      </c>
      <c r="AN805" s="1">
        <v>55283203</v>
      </c>
      <c r="AO805" s="1">
        <v>11941781</v>
      </c>
      <c r="AP805" s="1">
        <v>43341422</v>
      </c>
      <c r="AQ805" s="1">
        <v>10802641</v>
      </c>
      <c r="AR805" s="1">
        <v>1620396</v>
      </c>
      <c r="AS805" s="1">
        <v>0</v>
      </c>
      <c r="AT805" s="1">
        <f t="shared" si="86"/>
        <v>67706240</v>
      </c>
    </row>
    <row r="806" spans="1:46">
      <c r="A806" s="1" t="str">
        <f>"00914"</f>
        <v>00914</v>
      </c>
      <c r="B806" s="1" t="str">
        <f>"يعقوب"</f>
        <v>يعقوب</v>
      </c>
      <c r="C806" s="1" t="str">
        <f>"پذيرا"</f>
        <v>پذيرا</v>
      </c>
      <c r="D806" s="1" t="str">
        <f>"قراردادي کارگري"</f>
        <v>قراردادي کارگري</v>
      </c>
      <c r="E806" s="1" t="str">
        <f>"پروژه تعميرات نيروگاه بوشهر"</f>
        <v>پروژه تعميرات نيروگاه بوشهر</v>
      </c>
      <c r="F806" s="1">
        <v>5205653</v>
      </c>
      <c r="G806" s="1">
        <v>16208083</v>
      </c>
      <c r="H806" s="1">
        <v>0</v>
      </c>
      <c r="I806" s="1">
        <v>3279562</v>
      </c>
      <c r="J806" s="1">
        <v>0</v>
      </c>
      <c r="K806" s="1">
        <v>0</v>
      </c>
      <c r="L806" s="1">
        <v>3620700</v>
      </c>
      <c r="M806" s="1">
        <v>400000</v>
      </c>
      <c r="N806" s="1">
        <v>2739818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3677790</v>
      </c>
      <c r="W806" s="1">
        <v>1100000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2222538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38454144</v>
      </c>
      <c r="AO806" s="1">
        <v>6402061</v>
      </c>
      <c r="AP806" s="1">
        <v>32052083</v>
      </c>
      <c r="AQ806" s="1">
        <v>7246321</v>
      </c>
      <c r="AR806" s="1">
        <v>1086948</v>
      </c>
      <c r="AS806" s="1">
        <v>1060000</v>
      </c>
      <c r="AT806" s="1">
        <f t="shared" si="86"/>
        <v>47847413</v>
      </c>
    </row>
    <row r="807" spans="1:46">
      <c r="A807" s="1" t="str">
        <f>"00916"</f>
        <v>00916</v>
      </c>
      <c r="B807" s="1" t="str">
        <f>"عبدالرحيم"</f>
        <v>عبدالرحيم</v>
      </c>
      <c r="C807" s="1" t="str">
        <f>"آب يار"</f>
        <v>آب يار</v>
      </c>
      <c r="D807" s="1" t="str">
        <f t="shared" ref="D807:D838" si="89">"قراردادي بهره بردار"</f>
        <v>قراردادي بهره بردار</v>
      </c>
      <c r="E807" s="1" t="str">
        <f t="shared" ref="E807:E838" si="90">"پروژه بهره برداري نيروگاه بوشهر"</f>
        <v>پروژه بهره برداري نيروگاه بوشهر</v>
      </c>
      <c r="F807" s="1">
        <v>11672145</v>
      </c>
      <c r="G807" s="1">
        <v>14488843</v>
      </c>
      <c r="H807" s="1">
        <v>0</v>
      </c>
      <c r="I807" s="1">
        <v>11283381</v>
      </c>
      <c r="J807" s="1">
        <v>0</v>
      </c>
      <c r="K807" s="1">
        <v>4620000</v>
      </c>
      <c r="L807" s="1">
        <v>0</v>
      </c>
      <c r="M807" s="1">
        <v>400000</v>
      </c>
      <c r="N807" s="1">
        <v>2197676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6462775</v>
      </c>
      <c r="W807" s="1">
        <v>1100000</v>
      </c>
      <c r="X807" s="1">
        <v>1750822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1569769</v>
      </c>
      <c r="AF807" s="1">
        <v>2222538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8210949</v>
      </c>
      <c r="AM807" s="1">
        <v>0</v>
      </c>
      <c r="AN807" s="1">
        <v>65978898</v>
      </c>
      <c r="AO807" s="1">
        <v>15405186</v>
      </c>
      <c r="AP807" s="1">
        <v>50573712</v>
      </c>
      <c r="AQ807" s="1">
        <v>12751272</v>
      </c>
      <c r="AR807" s="1">
        <v>1912691</v>
      </c>
      <c r="AS807" s="1">
        <v>0</v>
      </c>
      <c r="AT807" s="1">
        <f t="shared" si="86"/>
        <v>80642861</v>
      </c>
    </row>
    <row r="808" spans="1:46">
      <c r="A808" s="1" t="str">
        <f>"00917"</f>
        <v>00917</v>
      </c>
      <c r="B808" s="1" t="str">
        <f>"ميثم"</f>
        <v>ميثم</v>
      </c>
      <c r="C808" s="1" t="str">
        <f>"آبائي"</f>
        <v>آبائي</v>
      </c>
      <c r="D808" s="1" t="str">
        <f t="shared" si="89"/>
        <v>قراردادي بهره بردار</v>
      </c>
      <c r="E808" s="1" t="str">
        <f t="shared" si="90"/>
        <v>پروژه بهره برداري نيروگاه بوشهر</v>
      </c>
      <c r="F808" s="1">
        <v>11888258</v>
      </c>
      <c r="G808" s="1">
        <v>15509365</v>
      </c>
      <c r="H808" s="1">
        <v>0</v>
      </c>
      <c r="I808" s="1">
        <v>11580638</v>
      </c>
      <c r="J808" s="1">
        <v>0</v>
      </c>
      <c r="K808" s="1">
        <v>4620000</v>
      </c>
      <c r="L808" s="1">
        <v>0</v>
      </c>
      <c r="M808" s="1">
        <v>400000</v>
      </c>
      <c r="N808" s="1">
        <v>2278308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1270000</v>
      </c>
      <c r="U808" s="1">
        <v>0</v>
      </c>
      <c r="V808" s="1">
        <v>6716837</v>
      </c>
      <c r="W808" s="1">
        <v>1100000</v>
      </c>
      <c r="X808" s="1">
        <v>1783239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1627364</v>
      </c>
      <c r="AF808" s="1">
        <v>1111269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8448567</v>
      </c>
      <c r="AM808" s="1">
        <v>0</v>
      </c>
      <c r="AN808" s="1">
        <v>68333845</v>
      </c>
      <c r="AO808" s="1">
        <v>16918977</v>
      </c>
      <c r="AP808" s="1">
        <v>51414868</v>
      </c>
      <c r="AQ808" s="1">
        <v>13190515</v>
      </c>
      <c r="AR808" s="1">
        <v>1978577</v>
      </c>
      <c r="AS808" s="1">
        <v>0</v>
      </c>
      <c r="AT808" s="1">
        <f t="shared" si="86"/>
        <v>83502937</v>
      </c>
    </row>
    <row r="809" spans="1:46">
      <c r="A809" s="1" t="str">
        <f>"00918"</f>
        <v>00918</v>
      </c>
      <c r="B809" s="1" t="str">
        <f>"محمدعلي"</f>
        <v>محمدعلي</v>
      </c>
      <c r="C809" s="1" t="str">
        <f>"آبادي"</f>
        <v>آبادي</v>
      </c>
      <c r="D809" s="1" t="str">
        <f t="shared" si="89"/>
        <v>قراردادي بهره بردار</v>
      </c>
      <c r="E809" s="1" t="str">
        <f t="shared" si="90"/>
        <v>پروژه بهره برداري نيروگاه بوشهر</v>
      </c>
      <c r="F809" s="1">
        <v>12020001</v>
      </c>
      <c r="G809" s="1">
        <v>16377573</v>
      </c>
      <c r="H809" s="1">
        <v>0</v>
      </c>
      <c r="I809" s="1">
        <v>12090105</v>
      </c>
      <c r="J809" s="1">
        <v>0</v>
      </c>
      <c r="K809" s="1">
        <v>4620000</v>
      </c>
      <c r="L809" s="1">
        <v>0</v>
      </c>
      <c r="M809" s="1">
        <v>400000</v>
      </c>
      <c r="N809" s="1">
        <v>2334959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1270000</v>
      </c>
      <c r="U809" s="1">
        <v>0</v>
      </c>
      <c r="V809" s="1">
        <v>7092844</v>
      </c>
      <c r="W809" s="1">
        <v>1100000</v>
      </c>
      <c r="X809" s="1">
        <v>1803000</v>
      </c>
      <c r="Y809" s="1">
        <v>0</v>
      </c>
      <c r="Z809" s="1">
        <v>0</v>
      </c>
      <c r="AA809" s="1">
        <v>0</v>
      </c>
      <c r="AB809" s="1">
        <v>0</v>
      </c>
      <c r="AC809" s="1">
        <v>1106124</v>
      </c>
      <c r="AD809" s="1">
        <v>0</v>
      </c>
      <c r="AE809" s="1">
        <v>1667828</v>
      </c>
      <c r="AF809" s="1">
        <v>1111269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8609483</v>
      </c>
      <c r="AM809" s="1">
        <v>0</v>
      </c>
      <c r="AN809" s="1">
        <v>71603186</v>
      </c>
      <c r="AO809" s="1">
        <v>14364476</v>
      </c>
      <c r="AP809" s="1">
        <v>57238710</v>
      </c>
      <c r="AQ809" s="1">
        <v>13844383</v>
      </c>
      <c r="AR809" s="1">
        <v>2076658</v>
      </c>
      <c r="AS809" s="1">
        <v>0</v>
      </c>
      <c r="AT809" s="1">
        <f t="shared" si="86"/>
        <v>87524227</v>
      </c>
    </row>
    <row r="810" spans="1:46">
      <c r="A810" s="1" t="str">
        <f>"00919"</f>
        <v>00919</v>
      </c>
      <c r="B810" s="1" t="str">
        <f>"اکبر"</f>
        <v>اکبر</v>
      </c>
      <c r="C810" s="1" t="str">
        <f>"آذربخش"</f>
        <v>آذربخش</v>
      </c>
      <c r="D810" s="1" t="str">
        <f t="shared" si="89"/>
        <v>قراردادي بهره بردار</v>
      </c>
      <c r="E810" s="1" t="str">
        <f t="shared" si="90"/>
        <v>پروژه بهره برداري نيروگاه بوشهر</v>
      </c>
      <c r="F810" s="1">
        <v>10265864</v>
      </c>
      <c r="G810" s="1">
        <v>13051944</v>
      </c>
      <c r="H810" s="1">
        <v>0</v>
      </c>
      <c r="I810" s="1">
        <v>9627090</v>
      </c>
      <c r="J810" s="1">
        <v>0</v>
      </c>
      <c r="K810" s="1">
        <v>3465000</v>
      </c>
      <c r="L810" s="1">
        <v>0</v>
      </c>
      <c r="M810" s="1">
        <v>400000</v>
      </c>
      <c r="N810" s="1">
        <v>1876502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5588970</v>
      </c>
      <c r="W810" s="1">
        <v>1100000</v>
      </c>
      <c r="X810" s="1">
        <v>1539880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1340359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7100834</v>
      </c>
      <c r="AM810" s="1">
        <v>0</v>
      </c>
      <c r="AN810" s="1">
        <v>55356443</v>
      </c>
      <c r="AO810" s="1">
        <v>7484780</v>
      </c>
      <c r="AP810" s="1">
        <v>47871663</v>
      </c>
      <c r="AQ810" s="1">
        <v>11071289</v>
      </c>
      <c r="AR810" s="1">
        <v>1660693</v>
      </c>
      <c r="AS810" s="1">
        <v>0</v>
      </c>
      <c r="AT810" s="1">
        <f t="shared" si="86"/>
        <v>68088425</v>
      </c>
    </row>
    <row r="811" spans="1:46">
      <c r="A811" s="1" t="str">
        <f>"00920"</f>
        <v>00920</v>
      </c>
      <c r="B811" s="1" t="str">
        <f>"احمد"</f>
        <v>احمد</v>
      </c>
      <c r="C811" s="1" t="str">
        <f>"اسماعيلي"</f>
        <v>اسماعيلي</v>
      </c>
      <c r="D811" s="1" t="str">
        <f t="shared" si="89"/>
        <v>قراردادي بهره بردار</v>
      </c>
      <c r="E811" s="1" t="str">
        <f t="shared" si="90"/>
        <v>پروژه بهره برداري نيروگاه بوشهر</v>
      </c>
      <c r="F811" s="1">
        <v>12188996</v>
      </c>
      <c r="G811" s="1">
        <v>16102364</v>
      </c>
      <c r="H811" s="1">
        <v>0</v>
      </c>
      <c r="I811" s="1">
        <v>12204025</v>
      </c>
      <c r="J811" s="1">
        <v>0</v>
      </c>
      <c r="K811" s="1">
        <v>3465000</v>
      </c>
      <c r="L811" s="1">
        <v>0</v>
      </c>
      <c r="M811" s="1">
        <v>400000</v>
      </c>
      <c r="N811" s="1">
        <v>2390779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6895190</v>
      </c>
      <c r="W811" s="1">
        <v>1100000</v>
      </c>
      <c r="X811" s="1">
        <v>1828349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1707699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8779795</v>
      </c>
      <c r="AM811" s="1">
        <v>0</v>
      </c>
      <c r="AN811" s="1">
        <v>67062197</v>
      </c>
      <c r="AO811" s="1">
        <v>18807776</v>
      </c>
      <c r="AP811" s="1">
        <v>48254421</v>
      </c>
      <c r="AQ811" s="1">
        <v>13412439</v>
      </c>
      <c r="AR811" s="1">
        <v>2011866</v>
      </c>
      <c r="AS811" s="1">
        <v>0</v>
      </c>
      <c r="AT811" s="1">
        <f t="shared" si="86"/>
        <v>82486502</v>
      </c>
    </row>
    <row r="812" spans="1:46">
      <c r="A812" s="1" t="str">
        <f>"00921"</f>
        <v>00921</v>
      </c>
      <c r="B812" s="1" t="str">
        <f>"حسين"</f>
        <v>حسين</v>
      </c>
      <c r="C812" s="1" t="str">
        <f>"اسماعيلي فرد"</f>
        <v>اسماعيلي فرد</v>
      </c>
      <c r="D812" s="1" t="str">
        <f t="shared" si="89"/>
        <v>قراردادي بهره بردار</v>
      </c>
      <c r="E812" s="1" t="str">
        <f t="shared" si="90"/>
        <v>پروژه بهره برداري نيروگاه بوشهر</v>
      </c>
      <c r="F812" s="1">
        <v>19865835</v>
      </c>
      <c r="G812" s="1">
        <v>8774124</v>
      </c>
      <c r="H812" s="1">
        <v>0</v>
      </c>
      <c r="I812" s="1">
        <v>17018941</v>
      </c>
      <c r="J812" s="1">
        <v>0</v>
      </c>
      <c r="K812" s="1">
        <v>0</v>
      </c>
      <c r="L812" s="1">
        <v>0</v>
      </c>
      <c r="M812" s="1">
        <v>400000</v>
      </c>
      <c r="N812" s="1">
        <v>3120850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10428908</v>
      </c>
      <c r="W812" s="1">
        <v>1100000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2229178</v>
      </c>
      <c r="AF812" s="1">
        <v>2222538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4636691</v>
      </c>
      <c r="AM812" s="1">
        <v>0</v>
      </c>
      <c r="AN812" s="1">
        <v>69797065</v>
      </c>
      <c r="AO812" s="1">
        <v>14136409</v>
      </c>
      <c r="AP812" s="1">
        <v>55660656</v>
      </c>
      <c r="AQ812" s="1">
        <v>13514905</v>
      </c>
      <c r="AR812" s="1">
        <v>2027236</v>
      </c>
      <c r="AS812" s="1">
        <v>0</v>
      </c>
      <c r="AT812" s="1">
        <f t="shared" si="86"/>
        <v>85339206</v>
      </c>
    </row>
    <row r="813" spans="1:46">
      <c r="A813" s="1" t="str">
        <f>"00922"</f>
        <v>00922</v>
      </c>
      <c r="B813" s="1" t="str">
        <f>"رضا"</f>
        <v>رضا</v>
      </c>
      <c r="C813" s="1" t="str">
        <f>"اسماعيلي نژاد"</f>
        <v>اسماعيلي نژاد</v>
      </c>
      <c r="D813" s="1" t="str">
        <f t="shared" si="89"/>
        <v>قراردادي بهره بردار</v>
      </c>
      <c r="E813" s="1" t="str">
        <f t="shared" si="90"/>
        <v>پروژه بهره برداري نيروگاه بوشهر</v>
      </c>
      <c r="F813" s="1">
        <v>19986234</v>
      </c>
      <c r="G813" s="1">
        <v>12523443</v>
      </c>
      <c r="H813" s="1">
        <v>0</v>
      </c>
      <c r="I813" s="1">
        <v>18094807</v>
      </c>
      <c r="J813" s="1">
        <v>0</v>
      </c>
      <c r="K813" s="1">
        <v>0</v>
      </c>
      <c r="L813" s="1">
        <v>0</v>
      </c>
      <c r="M813" s="1">
        <v>400000</v>
      </c>
      <c r="N813" s="1">
        <v>3162990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10976373</v>
      </c>
      <c r="W813" s="1">
        <v>1100000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2259278</v>
      </c>
      <c r="AF813" s="1">
        <v>1111269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4744484</v>
      </c>
      <c r="AM813" s="1">
        <v>0</v>
      </c>
      <c r="AN813" s="1">
        <v>74358878</v>
      </c>
      <c r="AO813" s="1">
        <v>16624668</v>
      </c>
      <c r="AP813" s="1">
        <v>57734210</v>
      </c>
      <c r="AQ813" s="1">
        <v>14649522</v>
      </c>
      <c r="AR813" s="1">
        <v>2197428</v>
      </c>
      <c r="AS813" s="1">
        <v>0</v>
      </c>
      <c r="AT813" s="1">
        <f t="shared" si="86"/>
        <v>91205828</v>
      </c>
    </row>
    <row r="814" spans="1:46">
      <c r="A814" s="1" t="str">
        <f>"00923"</f>
        <v>00923</v>
      </c>
      <c r="B814" s="1" t="str">
        <f>"قاسم"</f>
        <v>قاسم</v>
      </c>
      <c r="C814" s="1" t="str">
        <f>"اکراميان"</f>
        <v>اکراميان</v>
      </c>
      <c r="D814" s="1" t="str">
        <f t="shared" si="89"/>
        <v>قراردادي بهره بردار</v>
      </c>
      <c r="E814" s="1" t="str">
        <f t="shared" si="90"/>
        <v>پروژه بهره برداري نيروگاه بوشهر</v>
      </c>
      <c r="F814" s="1">
        <v>13633839</v>
      </c>
      <c r="G814" s="1">
        <v>18204495</v>
      </c>
      <c r="H814" s="1">
        <v>0</v>
      </c>
      <c r="I814" s="1">
        <v>14975875</v>
      </c>
      <c r="J814" s="1">
        <v>0</v>
      </c>
      <c r="K814" s="1">
        <v>4620000</v>
      </c>
      <c r="L814" s="1">
        <v>0</v>
      </c>
      <c r="M814" s="1">
        <v>400000</v>
      </c>
      <c r="N814" s="1">
        <v>2830275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1270000</v>
      </c>
      <c r="U814" s="1">
        <v>0</v>
      </c>
      <c r="V814" s="1">
        <v>8396203</v>
      </c>
      <c r="W814" s="1">
        <v>1100000</v>
      </c>
      <c r="X814" s="1">
        <v>2045076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2021625</v>
      </c>
      <c r="AF814" s="1">
        <v>1111269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10155027</v>
      </c>
      <c r="AM814" s="1">
        <v>0</v>
      </c>
      <c r="AN814" s="1">
        <v>80763684</v>
      </c>
      <c r="AO814" s="1">
        <v>15943408</v>
      </c>
      <c r="AP814" s="1">
        <v>64820276</v>
      </c>
      <c r="AQ814" s="1">
        <v>15557766</v>
      </c>
      <c r="AR814" s="1">
        <v>2333665</v>
      </c>
      <c r="AS814" s="1">
        <v>0</v>
      </c>
      <c r="AT814" s="1">
        <f t="shared" si="86"/>
        <v>98655115</v>
      </c>
    </row>
    <row r="815" spans="1:46">
      <c r="A815" s="1" t="str">
        <f>"00924"</f>
        <v>00924</v>
      </c>
      <c r="B815" s="1" t="str">
        <f>"بهنام"</f>
        <v>بهنام</v>
      </c>
      <c r="C815" s="1" t="str">
        <f>"اميني"</f>
        <v>اميني</v>
      </c>
      <c r="D815" s="1" t="str">
        <f t="shared" si="89"/>
        <v>قراردادي بهره بردار</v>
      </c>
      <c r="E815" s="1" t="str">
        <f t="shared" si="90"/>
        <v>پروژه بهره برداري نيروگاه بوشهر</v>
      </c>
      <c r="F815" s="1">
        <v>12573444</v>
      </c>
      <c r="G815" s="1">
        <v>29240885</v>
      </c>
      <c r="H815" s="1">
        <v>0</v>
      </c>
      <c r="I815" s="1">
        <v>13304541</v>
      </c>
      <c r="J815" s="1">
        <v>0</v>
      </c>
      <c r="K815" s="1">
        <v>4620000</v>
      </c>
      <c r="L815" s="1">
        <v>0</v>
      </c>
      <c r="M815" s="1">
        <v>400000</v>
      </c>
      <c r="N815" s="1">
        <v>2536430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7196593</v>
      </c>
      <c r="W815" s="1">
        <v>1100000</v>
      </c>
      <c r="X815" s="1">
        <v>1886017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1811735</v>
      </c>
      <c r="AF815" s="1">
        <v>4445076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9207239</v>
      </c>
      <c r="AM815" s="1">
        <v>0</v>
      </c>
      <c r="AN815" s="1">
        <v>88321960</v>
      </c>
      <c r="AO815" s="1">
        <v>14961901</v>
      </c>
      <c r="AP815" s="1">
        <v>73360059</v>
      </c>
      <c r="AQ815" s="1">
        <v>15557766</v>
      </c>
      <c r="AR815" s="1">
        <v>2333665</v>
      </c>
      <c r="AS815" s="1">
        <v>0</v>
      </c>
      <c r="AT815" s="1">
        <f t="shared" si="86"/>
        <v>106213391</v>
      </c>
    </row>
    <row r="816" spans="1:46">
      <c r="A816" s="1" t="str">
        <f>"00925"</f>
        <v>00925</v>
      </c>
      <c r="B816" s="1" t="str">
        <f>"سياوش"</f>
        <v>سياوش</v>
      </c>
      <c r="C816" s="1" t="str">
        <f>"ايرانپور"</f>
        <v>ايرانپور</v>
      </c>
      <c r="D816" s="1" t="str">
        <f t="shared" si="89"/>
        <v>قراردادي بهره بردار</v>
      </c>
      <c r="E816" s="1" t="str">
        <f t="shared" si="90"/>
        <v>پروژه بهره برداري نيروگاه بوشهر</v>
      </c>
      <c r="F816" s="1">
        <v>19190163</v>
      </c>
      <c r="G816" s="1">
        <v>24713781</v>
      </c>
      <c r="H816" s="1">
        <v>0</v>
      </c>
      <c r="I816" s="1">
        <v>19169452</v>
      </c>
      <c r="J816" s="1">
        <v>0</v>
      </c>
      <c r="K816" s="1">
        <v>5500000</v>
      </c>
      <c r="L816" s="1">
        <v>0</v>
      </c>
      <c r="M816" s="1">
        <v>400000</v>
      </c>
      <c r="N816" s="1">
        <v>2884365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10942454</v>
      </c>
      <c r="W816" s="1">
        <v>1100000</v>
      </c>
      <c r="X816" s="1">
        <v>2878524</v>
      </c>
      <c r="Y816" s="1">
        <v>0</v>
      </c>
      <c r="Z816" s="1">
        <v>0</v>
      </c>
      <c r="AA816" s="1">
        <v>0</v>
      </c>
      <c r="AB816" s="1">
        <v>0</v>
      </c>
      <c r="AC816" s="1">
        <v>2425950</v>
      </c>
      <c r="AD816" s="1">
        <v>0</v>
      </c>
      <c r="AE816" s="1">
        <v>2060260</v>
      </c>
      <c r="AF816" s="1">
        <v>1111269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11113726</v>
      </c>
      <c r="AM816" s="1">
        <v>0</v>
      </c>
      <c r="AN816" s="1">
        <v>103489944</v>
      </c>
      <c r="AO816" s="1">
        <v>19016167</v>
      </c>
      <c r="AP816" s="1">
        <v>84473777</v>
      </c>
      <c r="AQ816" s="1">
        <v>15557766</v>
      </c>
      <c r="AR816" s="1">
        <v>2333665</v>
      </c>
      <c r="AS816" s="1">
        <v>0</v>
      </c>
      <c r="AT816" s="1">
        <f t="shared" si="86"/>
        <v>121381375</v>
      </c>
    </row>
    <row r="817" spans="1:46">
      <c r="A817" s="1" t="str">
        <f>"00926"</f>
        <v>00926</v>
      </c>
      <c r="B817" s="1" t="str">
        <f>"حسين"</f>
        <v>حسين</v>
      </c>
      <c r="C817" s="1" t="str">
        <f>"بادسار"</f>
        <v>بادسار</v>
      </c>
      <c r="D817" s="1" t="str">
        <f t="shared" si="89"/>
        <v>قراردادي بهره بردار</v>
      </c>
      <c r="E817" s="1" t="str">
        <f t="shared" si="90"/>
        <v>پروژه بهره برداري نيروگاه بوشهر</v>
      </c>
      <c r="F817" s="1">
        <v>11826988</v>
      </c>
      <c r="G817" s="1">
        <v>15282426</v>
      </c>
      <c r="H817" s="1">
        <v>0</v>
      </c>
      <c r="I817" s="1">
        <v>11081521</v>
      </c>
      <c r="J817" s="1">
        <v>0</v>
      </c>
      <c r="K817" s="1">
        <v>4620000</v>
      </c>
      <c r="L817" s="1">
        <v>0</v>
      </c>
      <c r="M817" s="1">
        <v>400000</v>
      </c>
      <c r="N817" s="1">
        <v>2254090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1270000</v>
      </c>
      <c r="U817" s="1">
        <v>0</v>
      </c>
      <c r="V817" s="1">
        <v>6766558</v>
      </c>
      <c r="W817" s="1">
        <v>1100000</v>
      </c>
      <c r="X817" s="1">
        <v>1774048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1610065</v>
      </c>
      <c r="AF817" s="1">
        <v>3333807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8378289</v>
      </c>
      <c r="AM817" s="1">
        <v>0</v>
      </c>
      <c r="AN817" s="1">
        <v>69697792</v>
      </c>
      <c r="AO817" s="1">
        <v>13399744</v>
      </c>
      <c r="AP817" s="1">
        <v>56298048</v>
      </c>
      <c r="AQ817" s="1">
        <v>13018797</v>
      </c>
      <c r="AR817" s="1">
        <v>1952820</v>
      </c>
      <c r="AS817" s="1">
        <v>0</v>
      </c>
      <c r="AT817" s="1">
        <f t="shared" si="86"/>
        <v>84669409</v>
      </c>
    </row>
    <row r="818" spans="1:46">
      <c r="A818" s="1" t="str">
        <f>"00927"</f>
        <v>00927</v>
      </c>
      <c r="B818" s="1" t="str">
        <f>"محمدمهدي"</f>
        <v>محمدمهدي</v>
      </c>
      <c r="C818" s="1" t="str">
        <f>"باروني"</f>
        <v>باروني</v>
      </c>
      <c r="D818" s="1" t="str">
        <f t="shared" si="89"/>
        <v>قراردادي بهره بردار</v>
      </c>
      <c r="E818" s="1" t="str">
        <f t="shared" si="90"/>
        <v>پروژه بهره برداري نيروگاه بوشهر</v>
      </c>
      <c r="F818" s="1">
        <v>11130485</v>
      </c>
      <c r="G818" s="1">
        <v>14885186</v>
      </c>
      <c r="H818" s="1">
        <v>0</v>
      </c>
      <c r="I818" s="1">
        <v>11131367</v>
      </c>
      <c r="J818" s="1">
        <v>0</v>
      </c>
      <c r="K818" s="1">
        <v>0</v>
      </c>
      <c r="L818" s="1">
        <v>0</v>
      </c>
      <c r="M818" s="1">
        <v>400000</v>
      </c>
      <c r="N818" s="1">
        <v>2005691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6373982</v>
      </c>
      <c r="W818" s="1">
        <v>1100000</v>
      </c>
      <c r="X818" s="1">
        <v>1669573</v>
      </c>
      <c r="Y818" s="1">
        <v>0</v>
      </c>
      <c r="Z818" s="1">
        <v>0</v>
      </c>
      <c r="AA818" s="1">
        <v>0</v>
      </c>
      <c r="AB818" s="1">
        <v>0</v>
      </c>
      <c r="AC818" s="1">
        <v>1116722</v>
      </c>
      <c r="AD818" s="1">
        <v>0</v>
      </c>
      <c r="AE818" s="1">
        <v>1432637</v>
      </c>
      <c r="AF818" s="1">
        <v>2222538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7637056</v>
      </c>
      <c r="AM818" s="1">
        <v>0</v>
      </c>
      <c r="AN818" s="1">
        <v>61105237</v>
      </c>
      <c r="AO818" s="1">
        <v>20489390</v>
      </c>
      <c r="AP818" s="1">
        <v>40615847</v>
      </c>
      <c r="AQ818" s="1">
        <v>11776540</v>
      </c>
      <c r="AR818" s="1">
        <v>1766481</v>
      </c>
      <c r="AS818" s="1">
        <v>0</v>
      </c>
      <c r="AT818" s="1">
        <f t="shared" si="86"/>
        <v>74648258</v>
      </c>
    </row>
    <row r="819" spans="1:46">
      <c r="A819" s="1" t="str">
        <f>"00928"</f>
        <v>00928</v>
      </c>
      <c r="B819" s="1" t="str">
        <f>"احد"</f>
        <v>احد</v>
      </c>
      <c r="C819" s="1" t="str">
        <f>"باصري"</f>
        <v>باصري</v>
      </c>
      <c r="D819" s="1" t="str">
        <f t="shared" si="89"/>
        <v>قراردادي بهره بردار</v>
      </c>
      <c r="E819" s="1" t="str">
        <f t="shared" si="90"/>
        <v>پروژه بهره برداري نيروگاه بوشهر</v>
      </c>
      <c r="F819" s="1">
        <v>19524405</v>
      </c>
      <c r="G819" s="1">
        <v>12611962</v>
      </c>
      <c r="H819" s="1">
        <v>0</v>
      </c>
      <c r="I819" s="1">
        <v>17797593</v>
      </c>
      <c r="J819" s="1">
        <v>0</v>
      </c>
      <c r="K819" s="1">
        <v>0</v>
      </c>
      <c r="L819" s="1">
        <v>0</v>
      </c>
      <c r="M819" s="1">
        <v>400000</v>
      </c>
      <c r="N819" s="1">
        <v>3001349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1270000</v>
      </c>
      <c r="U819" s="1">
        <v>0</v>
      </c>
      <c r="V819" s="1">
        <v>10685491</v>
      </c>
      <c r="W819" s="1">
        <v>1100000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2143821</v>
      </c>
      <c r="AF819" s="1">
        <v>2222538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4502024</v>
      </c>
      <c r="AM819" s="1">
        <v>0</v>
      </c>
      <c r="AN819" s="1">
        <v>75259183</v>
      </c>
      <c r="AO819" s="1">
        <v>17541218</v>
      </c>
      <c r="AP819" s="1">
        <v>57717965</v>
      </c>
      <c r="AQ819" s="1">
        <v>14353329</v>
      </c>
      <c r="AR819" s="1">
        <v>2152999</v>
      </c>
      <c r="AS819" s="1">
        <v>0</v>
      </c>
      <c r="AT819" s="1">
        <f t="shared" si="86"/>
        <v>91765511</v>
      </c>
    </row>
    <row r="820" spans="1:46">
      <c r="A820" s="1" t="str">
        <f>"00929"</f>
        <v>00929</v>
      </c>
      <c r="B820" s="1" t="str">
        <f>"علي اصغر"</f>
        <v>علي اصغر</v>
      </c>
      <c r="C820" s="1" t="str">
        <f>"بوستان"</f>
        <v>بوستان</v>
      </c>
      <c r="D820" s="1" t="str">
        <f t="shared" si="89"/>
        <v>قراردادي بهره بردار</v>
      </c>
      <c r="E820" s="1" t="str">
        <f t="shared" si="90"/>
        <v>پروژه بهره برداري نيروگاه بوشهر</v>
      </c>
      <c r="F820" s="1">
        <v>15993300</v>
      </c>
      <c r="G820" s="1">
        <v>22647983</v>
      </c>
      <c r="H820" s="1">
        <v>0</v>
      </c>
      <c r="I820" s="1">
        <v>15981217</v>
      </c>
      <c r="J820" s="1">
        <v>0</v>
      </c>
      <c r="K820" s="1">
        <v>4620000</v>
      </c>
      <c r="L820" s="1">
        <v>0</v>
      </c>
      <c r="M820" s="1">
        <v>400000</v>
      </c>
      <c r="N820" s="1">
        <v>3252300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9698087</v>
      </c>
      <c r="W820" s="1">
        <v>1100000</v>
      </c>
      <c r="X820" s="1">
        <v>2398995</v>
      </c>
      <c r="Y820" s="1">
        <v>0</v>
      </c>
      <c r="Z820" s="1">
        <v>5445218</v>
      </c>
      <c r="AA820" s="1">
        <v>0</v>
      </c>
      <c r="AB820" s="1">
        <v>0</v>
      </c>
      <c r="AC820" s="1">
        <v>0</v>
      </c>
      <c r="AD820" s="1">
        <v>0</v>
      </c>
      <c r="AE820" s="1">
        <v>2323072</v>
      </c>
      <c r="AF820" s="1">
        <v>4445076</v>
      </c>
      <c r="AG820" s="1">
        <v>3105000</v>
      </c>
      <c r="AH820" s="1">
        <v>0</v>
      </c>
      <c r="AI820" s="1">
        <v>0</v>
      </c>
      <c r="AJ820" s="1">
        <v>0</v>
      </c>
      <c r="AK820" s="1">
        <v>0</v>
      </c>
      <c r="AL820" s="1">
        <v>11767205</v>
      </c>
      <c r="AM820" s="1">
        <v>0</v>
      </c>
      <c r="AN820" s="1">
        <v>103177453</v>
      </c>
      <c r="AO820" s="1">
        <v>7894684</v>
      </c>
      <c r="AP820" s="1">
        <v>95282769</v>
      </c>
      <c r="AQ820" s="1">
        <v>15557766</v>
      </c>
      <c r="AR820" s="1">
        <v>2333665</v>
      </c>
      <c r="AS820" s="1">
        <v>3180000</v>
      </c>
      <c r="AT820" s="1">
        <f t="shared" si="86"/>
        <v>124248884</v>
      </c>
    </row>
    <row r="821" spans="1:46">
      <c r="A821" s="1" t="str">
        <f>"00930"</f>
        <v>00930</v>
      </c>
      <c r="B821" s="1" t="str">
        <f>"فيض اله"</f>
        <v>فيض اله</v>
      </c>
      <c r="C821" s="1" t="str">
        <f>"بهي مقدم"</f>
        <v>بهي مقدم</v>
      </c>
      <c r="D821" s="1" t="str">
        <f t="shared" si="89"/>
        <v>قراردادي بهره بردار</v>
      </c>
      <c r="E821" s="1" t="str">
        <f t="shared" si="90"/>
        <v>پروژه بهره برداري نيروگاه بوشهر</v>
      </c>
      <c r="F821" s="1">
        <v>9297008</v>
      </c>
      <c r="G821" s="1">
        <v>11798556</v>
      </c>
      <c r="H821" s="1">
        <v>0</v>
      </c>
      <c r="I821" s="1">
        <v>8660069</v>
      </c>
      <c r="J821" s="1">
        <v>0</v>
      </c>
      <c r="K821" s="1">
        <v>4620000</v>
      </c>
      <c r="L821" s="1">
        <v>0</v>
      </c>
      <c r="M821" s="1">
        <v>400000</v>
      </c>
      <c r="N821" s="1">
        <v>1671851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1270000</v>
      </c>
      <c r="U821" s="1">
        <v>0</v>
      </c>
      <c r="V821" s="1">
        <v>5167003</v>
      </c>
      <c r="W821" s="1">
        <v>1100000</v>
      </c>
      <c r="X821" s="1">
        <v>1394551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1194180</v>
      </c>
      <c r="AF821" s="1">
        <v>3333807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6371642</v>
      </c>
      <c r="AM821" s="1">
        <v>0</v>
      </c>
      <c r="AN821" s="1">
        <v>56278667</v>
      </c>
      <c r="AO821" s="1">
        <v>7155654</v>
      </c>
      <c r="AP821" s="1">
        <v>49123013</v>
      </c>
      <c r="AQ821" s="1">
        <v>10334972</v>
      </c>
      <c r="AR821" s="1">
        <v>1550246</v>
      </c>
      <c r="AS821" s="1">
        <v>0</v>
      </c>
      <c r="AT821" s="1">
        <f t="shared" si="86"/>
        <v>68163885</v>
      </c>
    </row>
    <row r="822" spans="1:46">
      <c r="A822" s="1" t="str">
        <f>"00931"</f>
        <v>00931</v>
      </c>
      <c r="B822" s="1" t="str">
        <f>"محمدجواد"</f>
        <v>محمدجواد</v>
      </c>
      <c r="C822" s="1" t="str">
        <f>"پرهيزکار"</f>
        <v>پرهيزکار</v>
      </c>
      <c r="D822" s="1" t="str">
        <f t="shared" si="89"/>
        <v>قراردادي بهره بردار</v>
      </c>
      <c r="E822" s="1" t="str">
        <f t="shared" si="90"/>
        <v>پروژه بهره برداري نيروگاه بوشهر</v>
      </c>
      <c r="F822" s="1">
        <v>20079678</v>
      </c>
      <c r="G822" s="1">
        <v>10864552</v>
      </c>
      <c r="H822" s="1">
        <v>0</v>
      </c>
      <c r="I822" s="1">
        <v>17907417</v>
      </c>
      <c r="J822" s="1">
        <v>0</v>
      </c>
      <c r="K822" s="1">
        <v>0</v>
      </c>
      <c r="L822" s="1">
        <v>0</v>
      </c>
      <c r="M822" s="1">
        <v>400000</v>
      </c>
      <c r="N822" s="1">
        <v>3195695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11340858</v>
      </c>
      <c r="W822" s="1">
        <v>1100000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2282639</v>
      </c>
      <c r="AF822" s="1">
        <v>1111269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4793542</v>
      </c>
      <c r="AM822" s="1">
        <v>0</v>
      </c>
      <c r="AN822" s="1">
        <v>73075650</v>
      </c>
      <c r="AO822" s="1">
        <v>20661427</v>
      </c>
      <c r="AP822" s="1">
        <v>52414223</v>
      </c>
      <c r="AQ822" s="1">
        <v>14392876</v>
      </c>
      <c r="AR822" s="1">
        <v>2158931</v>
      </c>
      <c r="AS822" s="1">
        <v>0</v>
      </c>
      <c r="AT822" s="1">
        <f t="shared" si="86"/>
        <v>89627457</v>
      </c>
    </row>
    <row r="823" spans="1:46">
      <c r="A823" s="1" t="str">
        <f>"00932"</f>
        <v>00932</v>
      </c>
      <c r="B823" s="1" t="str">
        <f>"مختار"</f>
        <v>مختار</v>
      </c>
      <c r="C823" s="1" t="str">
        <f>"جعفري"</f>
        <v>جعفري</v>
      </c>
      <c r="D823" s="1" t="str">
        <f t="shared" si="89"/>
        <v>قراردادي بهره بردار</v>
      </c>
      <c r="E823" s="1" t="str">
        <f t="shared" si="90"/>
        <v>پروژه بهره برداري نيروگاه بوشهر</v>
      </c>
      <c r="F823" s="1">
        <v>11540624</v>
      </c>
      <c r="G823" s="1">
        <v>14181049</v>
      </c>
      <c r="H823" s="1">
        <v>0</v>
      </c>
      <c r="I823" s="1">
        <v>10904056</v>
      </c>
      <c r="J823" s="1">
        <v>0</v>
      </c>
      <c r="K823" s="1">
        <v>4620000</v>
      </c>
      <c r="L823" s="1">
        <v>0</v>
      </c>
      <c r="M823" s="1">
        <v>400000</v>
      </c>
      <c r="N823" s="1">
        <v>2147945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6325483</v>
      </c>
      <c r="W823" s="1">
        <v>1100000</v>
      </c>
      <c r="X823" s="1">
        <v>1731094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1534247</v>
      </c>
      <c r="AF823" s="1">
        <v>1111269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8064927</v>
      </c>
      <c r="AM823" s="1">
        <v>0</v>
      </c>
      <c r="AN823" s="1">
        <v>63660694</v>
      </c>
      <c r="AO823" s="1">
        <v>16465883</v>
      </c>
      <c r="AP823" s="1">
        <v>47194811</v>
      </c>
      <c r="AQ823" s="1">
        <v>12509885</v>
      </c>
      <c r="AR823" s="1">
        <v>1876483</v>
      </c>
      <c r="AS823" s="1">
        <v>0</v>
      </c>
      <c r="AT823" s="1">
        <f t="shared" si="86"/>
        <v>78047062</v>
      </c>
    </row>
    <row r="824" spans="1:46">
      <c r="A824" s="1" t="str">
        <f>"00933"</f>
        <v>00933</v>
      </c>
      <c r="B824" s="1" t="str">
        <f>"پيام"</f>
        <v>پيام</v>
      </c>
      <c r="C824" s="1" t="str">
        <f>"جعفري زاده"</f>
        <v>جعفري زاده</v>
      </c>
      <c r="D824" s="1" t="str">
        <f t="shared" si="89"/>
        <v>قراردادي بهره بردار</v>
      </c>
      <c r="E824" s="1" t="str">
        <f t="shared" si="90"/>
        <v>پروژه بهره برداري نيروگاه بوشهر</v>
      </c>
      <c r="F824" s="1">
        <v>11461668</v>
      </c>
      <c r="G824" s="1">
        <v>14650553</v>
      </c>
      <c r="H824" s="1">
        <v>0</v>
      </c>
      <c r="I824" s="1">
        <v>11109097</v>
      </c>
      <c r="J824" s="1">
        <v>0</v>
      </c>
      <c r="K824" s="1">
        <v>4620000</v>
      </c>
      <c r="L824" s="1">
        <v>0</v>
      </c>
      <c r="M824" s="1">
        <v>400000</v>
      </c>
      <c r="N824" s="1">
        <v>2126043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6534906</v>
      </c>
      <c r="W824" s="1">
        <v>1100000</v>
      </c>
      <c r="X824" s="1">
        <v>1719250</v>
      </c>
      <c r="Y824" s="1">
        <v>0</v>
      </c>
      <c r="Z824" s="1">
        <v>0</v>
      </c>
      <c r="AA824" s="1">
        <v>0</v>
      </c>
      <c r="AB824" s="1">
        <v>0</v>
      </c>
      <c r="AC824" s="1">
        <v>1114100</v>
      </c>
      <c r="AD824" s="1">
        <v>0</v>
      </c>
      <c r="AE824" s="1">
        <v>1518603</v>
      </c>
      <c r="AF824" s="1">
        <v>1111269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7994306</v>
      </c>
      <c r="AM824" s="1">
        <v>0</v>
      </c>
      <c r="AN824" s="1">
        <v>65459795</v>
      </c>
      <c r="AO824" s="1">
        <v>16596360</v>
      </c>
      <c r="AP824" s="1">
        <v>48863435</v>
      </c>
      <c r="AQ824" s="1">
        <v>12869705</v>
      </c>
      <c r="AR824" s="1">
        <v>1930456</v>
      </c>
      <c r="AS824" s="1">
        <v>0</v>
      </c>
      <c r="AT824" s="1">
        <f t="shared" si="86"/>
        <v>80259956</v>
      </c>
    </row>
    <row r="825" spans="1:46">
      <c r="A825" s="1" t="str">
        <f>"00934"</f>
        <v>00934</v>
      </c>
      <c r="B825" s="1" t="str">
        <f>"اميد"</f>
        <v>اميد</v>
      </c>
      <c r="C825" s="1" t="str">
        <f>"جوکار"</f>
        <v>جوکار</v>
      </c>
      <c r="D825" s="1" t="str">
        <f t="shared" si="89"/>
        <v>قراردادي بهره بردار</v>
      </c>
      <c r="E825" s="1" t="str">
        <f t="shared" si="90"/>
        <v>پروژه بهره برداري نيروگاه بوشهر</v>
      </c>
      <c r="F825" s="1">
        <v>24674607</v>
      </c>
      <c r="G825" s="1">
        <v>8238731</v>
      </c>
      <c r="H825" s="1">
        <v>0</v>
      </c>
      <c r="I825" s="1">
        <v>22918521</v>
      </c>
      <c r="J825" s="1">
        <v>0</v>
      </c>
      <c r="K825" s="1">
        <v>0</v>
      </c>
      <c r="L825" s="1">
        <v>0</v>
      </c>
      <c r="M825" s="1">
        <v>400000</v>
      </c>
      <c r="N825" s="1">
        <v>4225915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1270000</v>
      </c>
      <c r="U825" s="1">
        <v>0</v>
      </c>
      <c r="V825" s="1">
        <v>14209483</v>
      </c>
      <c r="W825" s="1">
        <v>1100000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3018511</v>
      </c>
      <c r="AF825" s="1">
        <v>2222538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6278502</v>
      </c>
      <c r="AM825" s="1">
        <v>0</v>
      </c>
      <c r="AN825" s="1">
        <v>88556808</v>
      </c>
      <c r="AO825" s="1">
        <v>13734975</v>
      </c>
      <c r="AP825" s="1">
        <v>74821833</v>
      </c>
      <c r="AQ825" s="1">
        <v>15557766</v>
      </c>
      <c r="AR825" s="1">
        <v>2333665</v>
      </c>
      <c r="AS825" s="1">
        <v>0</v>
      </c>
      <c r="AT825" s="1">
        <f t="shared" si="86"/>
        <v>106448239</v>
      </c>
    </row>
    <row r="826" spans="1:46">
      <c r="A826" s="1" t="str">
        <f>"00935"</f>
        <v>00935</v>
      </c>
      <c r="B826" s="1" t="str">
        <f>"حسين"</f>
        <v>حسين</v>
      </c>
      <c r="C826" s="1" t="str">
        <f>"چغادکي نژاد"</f>
        <v>چغادکي نژاد</v>
      </c>
      <c r="D826" s="1" t="str">
        <f t="shared" si="89"/>
        <v>قراردادي بهره بردار</v>
      </c>
      <c r="E826" s="1" t="str">
        <f t="shared" si="90"/>
        <v>پروژه بهره برداري نيروگاه بوشهر</v>
      </c>
      <c r="F826" s="1">
        <v>11197336</v>
      </c>
      <c r="G826" s="1">
        <v>13764014</v>
      </c>
      <c r="H826" s="1">
        <v>0</v>
      </c>
      <c r="I826" s="1">
        <v>10828944</v>
      </c>
      <c r="J826" s="1">
        <v>0</v>
      </c>
      <c r="K826" s="1">
        <v>18172000</v>
      </c>
      <c r="L826" s="1">
        <v>0</v>
      </c>
      <c r="M826" s="1">
        <v>400000</v>
      </c>
      <c r="N826" s="1">
        <v>2022432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6139464</v>
      </c>
      <c r="W826" s="1">
        <v>1100000</v>
      </c>
      <c r="X826" s="1">
        <v>1679600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1444595</v>
      </c>
      <c r="AF826" s="1">
        <v>1111269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7692984</v>
      </c>
      <c r="AM826" s="1">
        <v>0</v>
      </c>
      <c r="AN826" s="1">
        <v>75552638</v>
      </c>
      <c r="AO826" s="1">
        <v>14531014</v>
      </c>
      <c r="AP826" s="1">
        <v>61021624</v>
      </c>
      <c r="AQ826" s="1">
        <v>14888274</v>
      </c>
      <c r="AR826" s="1">
        <v>2233241</v>
      </c>
      <c r="AS826" s="1">
        <v>0</v>
      </c>
      <c r="AT826" s="1">
        <f t="shared" si="86"/>
        <v>92674153</v>
      </c>
    </row>
    <row r="827" spans="1:46">
      <c r="A827" s="1" t="str">
        <f>"00936"</f>
        <v>00936</v>
      </c>
      <c r="B827" s="1" t="str">
        <f>"سيدمحمد"</f>
        <v>سيدمحمد</v>
      </c>
      <c r="C827" s="1" t="str">
        <f>"حسيني"</f>
        <v>حسيني</v>
      </c>
      <c r="D827" s="1" t="str">
        <f t="shared" si="89"/>
        <v>قراردادي بهره بردار</v>
      </c>
      <c r="E827" s="1" t="str">
        <f t="shared" si="90"/>
        <v>پروژه بهره برداري نيروگاه بوشهر</v>
      </c>
      <c r="F827" s="1">
        <v>22836276</v>
      </c>
      <c r="G827" s="1">
        <v>20016731</v>
      </c>
      <c r="H827" s="1">
        <v>0</v>
      </c>
      <c r="I827" s="1">
        <v>21269599</v>
      </c>
      <c r="J827" s="1">
        <v>0</v>
      </c>
      <c r="K827" s="1">
        <v>10083333</v>
      </c>
      <c r="L827" s="1">
        <v>0</v>
      </c>
      <c r="M827" s="1">
        <v>400000</v>
      </c>
      <c r="N827" s="1">
        <v>3582499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1270000</v>
      </c>
      <c r="U827" s="1">
        <v>0</v>
      </c>
      <c r="V827" s="1">
        <v>13058920</v>
      </c>
      <c r="W827" s="1">
        <v>1100000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2558928</v>
      </c>
      <c r="AF827" s="1">
        <v>2222538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5322570</v>
      </c>
      <c r="AM827" s="1">
        <v>0</v>
      </c>
      <c r="AN827" s="1">
        <v>103721394</v>
      </c>
      <c r="AO827" s="1">
        <v>21840218</v>
      </c>
      <c r="AP827" s="1">
        <v>81881176</v>
      </c>
      <c r="AQ827" s="1">
        <v>15557766</v>
      </c>
      <c r="AR827" s="1">
        <v>2333665</v>
      </c>
      <c r="AS827" s="1">
        <v>0</v>
      </c>
      <c r="AT827" s="1">
        <f t="shared" si="86"/>
        <v>121612825</v>
      </c>
    </row>
    <row r="828" spans="1:46">
      <c r="A828" s="1" t="str">
        <f>"00937"</f>
        <v>00937</v>
      </c>
      <c r="B828" s="1" t="str">
        <f>"سيدمسلم"</f>
        <v>سيدمسلم</v>
      </c>
      <c r="C828" s="1" t="str">
        <f>"حسيني"</f>
        <v>حسيني</v>
      </c>
      <c r="D828" s="1" t="str">
        <f t="shared" si="89"/>
        <v>قراردادي بهره بردار</v>
      </c>
      <c r="E828" s="1" t="str">
        <f t="shared" si="90"/>
        <v>پروژه بهره برداري نيروگاه بوشهر</v>
      </c>
      <c r="F828" s="1">
        <v>11561549</v>
      </c>
      <c r="G828" s="1">
        <v>14796261</v>
      </c>
      <c r="H828" s="1">
        <v>0</v>
      </c>
      <c r="I828" s="1">
        <v>10832116</v>
      </c>
      <c r="J828" s="1">
        <v>0</v>
      </c>
      <c r="K828" s="1">
        <v>0</v>
      </c>
      <c r="L828" s="1">
        <v>0</v>
      </c>
      <c r="M828" s="1">
        <v>400000</v>
      </c>
      <c r="N828" s="1">
        <v>2155454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6408005</v>
      </c>
      <c r="W828" s="1">
        <v>1100000</v>
      </c>
      <c r="X828" s="1">
        <v>1734232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1539610</v>
      </c>
      <c r="AF828" s="1">
        <v>1111269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8087295</v>
      </c>
      <c r="AM828" s="1">
        <v>0</v>
      </c>
      <c r="AN828" s="1">
        <v>59725791</v>
      </c>
      <c r="AO828" s="1">
        <v>12679743</v>
      </c>
      <c r="AP828" s="1">
        <v>47046048</v>
      </c>
      <c r="AQ828" s="1">
        <v>11722904</v>
      </c>
      <c r="AR828" s="1">
        <v>1758436</v>
      </c>
      <c r="AS828" s="1">
        <v>0</v>
      </c>
      <c r="AT828" s="1">
        <f t="shared" si="86"/>
        <v>73207131</v>
      </c>
    </row>
    <row r="829" spans="1:46">
      <c r="A829" s="1" t="str">
        <f>"00938"</f>
        <v>00938</v>
      </c>
      <c r="B829" s="1" t="str">
        <f>"فرشاد"</f>
        <v>فرشاد</v>
      </c>
      <c r="C829" s="1" t="str">
        <f>"خدري"</f>
        <v>خدري</v>
      </c>
      <c r="D829" s="1" t="str">
        <f t="shared" si="89"/>
        <v>قراردادي بهره بردار</v>
      </c>
      <c r="E829" s="1" t="str">
        <f t="shared" si="90"/>
        <v>پروژه بهره برداري نيروگاه بوشهر</v>
      </c>
      <c r="F829" s="1">
        <v>11778587</v>
      </c>
      <c r="G829" s="1">
        <v>15381682</v>
      </c>
      <c r="H829" s="1">
        <v>0</v>
      </c>
      <c r="I829" s="1">
        <v>11433089</v>
      </c>
      <c r="J829" s="1">
        <v>0</v>
      </c>
      <c r="K829" s="1">
        <v>4620000</v>
      </c>
      <c r="L829" s="1">
        <v>0</v>
      </c>
      <c r="M829" s="1">
        <v>400000</v>
      </c>
      <c r="N829" s="1">
        <v>2238444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1270000</v>
      </c>
      <c r="U829" s="1">
        <v>0</v>
      </c>
      <c r="V829" s="1">
        <v>6810506</v>
      </c>
      <c r="W829" s="1">
        <v>1100000</v>
      </c>
      <c r="X829" s="1">
        <v>1766788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1598888</v>
      </c>
      <c r="AF829" s="1">
        <v>2222538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8330242</v>
      </c>
      <c r="AM829" s="1">
        <v>0</v>
      </c>
      <c r="AN829" s="1">
        <v>68950764</v>
      </c>
      <c r="AO829" s="1">
        <v>19678504</v>
      </c>
      <c r="AP829" s="1">
        <v>49272260</v>
      </c>
      <c r="AQ829" s="1">
        <v>13091645</v>
      </c>
      <c r="AR829" s="1">
        <v>1963747</v>
      </c>
      <c r="AS829" s="1">
        <v>0</v>
      </c>
      <c r="AT829" s="1">
        <f t="shared" si="86"/>
        <v>84006156</v>
      </c>
    </row>
    <row r="830" spans="1:46">
      <c r="A830" s="1" t="str">
        <f>"00939"</f>
        <v>00939</v>
      </c>
      <c r="B830" s="1" t="str">
        <f>"مهدي"</f>
        <v>مهدي</v>
      </c>
      <c r="C830" s="1" t="str">
        <f>"خليلي"</f>
        <v>خليلي</v>
      </c>
      <c r="D830" s="1" t="str">
        <f t="shared" si="89"/>
        <v>قراردادي بهره بردار</v>
      </c>
      <c r="E830" s="1" t="str">
        <f t="shared" si="90"/>
        <v>پروژه بهره برداري نيروگاه بوشهر</v>
      </c>
      <c r="F830" s="1">
        <v>11878448</v>
      </c>
      <c r="G830" s="1">
        <v>14871497</v>
      </c>
      <c r="H830" s="1">
        <v>0</v>
      </c>
      <c r="I830" s="1">
        <v>11565260</v>
      </c>
      <c r="J830" s="1">
        <v>0</v>
      </c>
      <c r="K830" s="1">
        <v>4620000</v>
      </c>
      <c r="L830" s="1">
        <v>0</v>
      </c>
      <c r="M830" s="1">
        <v>400000</v>
      </c>
      <c r="N830" s="1">
        <v>2274689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1270000</v>
      </c>
      <c r="U830" s="1">
        <v>0</v>
      </c>
      <c r="V830" s="1">
        <v>6708946</v>
      </c>
      <c r="W830" s="1">
        <v>1100000</v>
      </c>
      <c r="X830" s="1">
        <v>1781767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1624778</v>
      </c>
      <c r="AF830" s="1">
        <v>2222538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8437869</v>
      </c>
      <c r="AM830" s="1">
        <v>0</v>
      </c>
      <c r="AN830" s="1">
        <v>68755792</v>
      </c>
      <c r="AO830" s="1">
        <v>14072747</v>
      </c>
      <c r="AP830" s="1">
        <v>54683045</v>
      </c>
      <c r="AQ830" s="1">
        <v>13052651</v>
      </c>
      <c r="AR830" s="1">
        <v>1957898</v>
      </c>
      <c r="AS830" s="1">
        <v>0</v>
      </c>
      <c r="AT830" s="1">
        <f t="shared" si="86"/>
        <v>83766341</v>
      </c>
    </row>
    <row r="831" spans="1:46">
      <c r="A831" s="1" t="str">
        <f>"00940"</f>
        <v>00940</v>
      </c>
      <c r="B831" s="1" t="str">
        <f>"رسول"</f>
        <v>رسول</v>
      </c>
      <c r="C831" s="1" t="str">
        <f>"خورسند نژاد"</f>
        <v>خورسند نژاد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22848855</v>
      </c>
      <c r="G831" s="1">
        <v>28430883</v>
      </c>
      <c r="H831" s="1">
        <v>0</v>
      </c>
      <c r="I831" s="1">
        <v>23178492</v>
      </c>
      <c r="J831" s="1">
        <v>0</v>
      </c>
      <c r="K831" s="1">
        <v>0</v>
      </c>
      <c r="L831" s="1">
        <v>0</v>
      </c>
      <c r="M831" s="1">
        <v>400000</v>
      </c>
      <c r="N831" s="1">
        <v>3586902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13112776</v>
      </c>
      <c r="W831" s="1">
        <v>1100000</v>
      </c>
      <c r="X831" s="1">
        <v>3427328</v>
      </c>
      <c r="Y831" s="1">
        <v>0</v>
      </c>
      <c r="Z831" s="1">
        <v>0</v>
      </c>
      <c r="AA831" s="1">
        <v>0</v>
      </c>
      <c r="AB831" s="1">
        <v>0</v>
      </c>
      <c r="AC831" s="1">
        <v>2425950</v>
      </c>
      <c r="AD831" s="1">
        <v>0</v>
      </c>
      <c r="AE831" s="1">
        <v>2562073</v>
      </c>
      <c r="AF831" s="1">
        <v>2222538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13516045</v>
      </c>
      <c r="AM831" s="1">
        <v>0</v>
      </c>
      <c r="AN831" s="1">
        <v>116811842</v>
      </c>
      <c r="AO831" s="1">
        <v>21360176</v>
      </c>
      <c r="AP831" s="1">
        <v>95451666</v>
      </c>
      <c r="AQ831" s="1">
        <v>15557766</v>
      </c>
      <c r="AR831" s="1">
        <v>2333665</v>
      </c>
      <c r="AS831" s="1">
        <v>0</v>
      </c>
      <c r="AT831" s="1">
        <f t="shared" si="86"/>
        <v>134703273</v>
      </c>
    </row>
    <row r="832" spans="1:46">
      <c r="A832" s="1" t="str">
        <f>"00941"</f>
        <v>00941</v>
      </c>
      <c r="B832" s="1" t="str">
        <f>"عباس"</f>
        <v>عباس</v>
      </c>
      <c r="C832" s="1" t="str">
        <f>"دريسي"</f>
        <v>دريسي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11847001</v>
      </c>
      <c r="G832" s="1">
        <v>15401763</v>
      </c>
      <c r="H832" s="1">
        <v>0</v>
      </c>
      <c r="I832" s="1">
        <v>11521480</v>
      </c>
      <c r="J832" s="1">
        <v>0</v>
      </c>
      <c r="K832" s="1">
        <v>4620000</v>
      </c>
      <c r="L832" s="1">
        <v>0</v>
      </c>
      <c r="M832" s="1">
        <v>400000</v>
      </c>
      <c r="N832" s="1">
        <v>2262573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1270000</v>
      </c>
      <c r="U832" s="1">
        <v>0</v>
      </c>
      <c r="V832" s="1">
        <v>6595185</v>
      </c>
      <c r="W832" s="1">
        <v>1100000</v>
      </c>
      <c r="X832" s="1">
        <v>1777050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1616124</v>
      </c>
      <c r="AF832" s="1">
        <v>1111269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8402472</v>
      </c>
      <c r="AM832" s="1">
        <v>0</v>
      </c>
      <c r="AN832" s="1">
        <v>67924917</v>
      </c>
      <c r="AO832" s="1">
        <v>17585743</v>
      </c>
      <c r="AP832" s="1">
        <v>50339174</v>
      </c>
      <c r="AQ832" s="1">
        <v>13108730</v>
      </c>
      <c r="AR832" s="1">
        <v>1966309</v>
      </c>
      <c r="AS832" s="1">
        <v>0</v>
      </c>
      <c r="AT832" s="1">
        <f t="shared" si="86"/>
        <v>82999956</v>
      </c>
    </row>
    <row r="833" spans="1:46">
      <c r="A833" s="1" t="str">
        <f>"00942"</f>
        <v>00942</v>
      </c>
      <c r="B833" s="1" t="str">
        <f>"سعيد"</f>
        <v>سعيد</v>
      </c>
      <c r="C833" s="1" t="str">
        <f>"دشتي"</f>
        <v>دشتي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12572128</v>
      </c>
      <c r="G833" s="1">
        <v>17990281</v>
      </c>
      <c r="H833" s="1">
        <v>0</v>
      </c>
      <c r="I833" s="1">
        <v>14112502</v>
      </c>
      <c r="J833" s="1">
        <v>0</v>
      </c>
      <c r="K833" s="1">
        <v>4620000</v>
      </c>
      <c r="L833" s="1">
        <v>0</v>
      </c>
      <c r="M833" s="1">
        <v>400000</v>
      </c>
      <c r="N833" s="1">
        <v>2548174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1270000</v>
      </c>
      <c r="U833" s="1">
        <v>0</v>
      </c>
      <c r="V833" s="1">
        <v>7965507</v>
      </c>
      <c r="W833" s="1">
        <v>1100000</v>
      </c>
      <c r="X833" s="1">
        <v>1885819</v>
      </c>
      <c r="Y833" s="1">
        <v>0</v>
      </c>
      <c r="Z833" s="1">
        <v>0</v>
      </c>
      <c r="AA833" s="1">
        <v>0</v>
      </c>
      <c r="AB833" s="1">
        <v>0</v>
      </c>
      <c r="AC833" s="1">
        <v>1094324</v>
      </c>
      <c r="AD833" s="1">
        <v>0</v>
      </c>
      <c r="AE833" s="1">
        <v>1820124</v>
      </c>
      <c r="AF833" s="1">
        <v>2222538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9232011</v>
      </c>
      <c r="AM833" s="1">
        <v>0</v>
      </c>
      <c r="AN833" s="1">
        <v>78833408</v>
      </c>
      <c r="AO833" s="1">
        <v>15504791</v>
      </c>
      <c r="AP833" s="1">
        <v>63328617</v>
      </c>
      <c r="AQ833" s="1">
        <v>15068174</v>
      </c>
      <c r="AR833" s="1">
        <v>2260226</v>
      </c>
      <c r="AS833" s="1">
        <v>0</v>
      </c>
      <c r="AT833" s="1">
        <f t="shared" si="86"/>
        <v>96161808</v>
      </c>
    </row>
    <row r="834" spans="1:46">
      <c r="A834" s="1" t="str">
        <f>"00943"</f>
        <v>00943</v>
      </c>
      <c r="B834" s="1" t="str">
        <f>"يحيي"</f>
        <v>يحيي</v>
      </c>
      <c r="C834" s="1" t="str">
        <f>"دهقان"</f>
        <v>دهقان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19547766</v>
      </c>
      <c r="G834" s="1">
        <v>0</v>
      </c>
      <c r="H834" s="1">
        <v>0</v>
      </c>
      <c r="I834" s="1">
        <v>17218084</v>
      </c>
      <c r="J834" s="1">
        <v>0</v>
      </c>
      <c r="K834" s="1">
        <v>5500000</v>
      </c>
      <c r="L834" s="1">
        <v>0</v>
      </c>
      <c r="M834" s="1">
        <v>400000</v>
      </c>
      <c r="N834" s="1">
        <v>3009526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1270000</v>
      </c>
      <c r="U834" s="1">
        <v>0</v>
      </c>
      <c r="V834" s="1">
        <v>10323184</v>
      </c>
      <c r="W834" s="1">
        <v>1100000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2149661</v>
      </c>
      <c r="AF834" s="1">
        <v>1111269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4471295</v>
      </c>
      <c r="AM834" s="1">
        <v>0</v>
      </c>
      <c r="AN834" s="1">
        <v>66100785</v>
      </c>
      <c r="AO834" s="1">
        <v>18476561</v>
      </c>
      <c r="AP834" s="1">
        <v>47624224</v>
      </c>
      <c r="AQ834" s="1">
        <v>12743903</v>
      </c>
      <c r="AR834" s="1">
        <v>1911585</v>
      </c>
      <c r="AS834" s="1">
        <v>0</v>
      </c>
      <c r="AT834" s="1">
        <f t="shared" si="86"/>
        <v>80756273</v>
      </c>
    </row>
    <row r="835" spans="1:46">
      <c r="A835" s="1" t="str">
        <f>"00944"</f>
        <v>00944</v>
      </c>
      <c r="B835" s="1" t="str">
        <f>"علي"</f>
        <v>علي</v>
      </c>
      <c r="C835" s="1" t="str">
        <f>"دهقاني"</f>
        <v>دهقاني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10993959</v>
      </c>
      <c r="G835" s="1">
        <v>19479555</v>
      </c>
      <c r="H835" s="1">
        <v>0</v>
      </c>
      <c r="I835" s="1">
        <v>10406787</v>
      </c>
      <c r="J835" s="1">
        <v>0</v>
      </c>
      <c r="K835" s="1">
        <v>0</v>
      </c>
      <c r="L835" s="1">
        <v>0</v>
      </c>
      <c r="M835" s="1">
        <v>400000</v>
      </c>
      <c r="N835" s="1">
        <v>1946258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1270000</v>
      </c>
      <c r="U835" s="1">
        <v>0</v>
      </c>
      <c r="V835" s="1">
        <v>5958097</v>
      </c>
      <c r="W835" s="1">
        <v>1100000</v>
      </c>
      <c r="X835" s="1">
        <v>1649094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1390184</v>
      </c>
      <c r="AF835" s="1">
        <v>1111269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7468741</v>
      </c>
      <c r="AM835" s="1">
        <v>0</v>
      </c>
      <c r="AN835" s="1">
        <v>63173944</v>
      </c>
      <c r="AO835" s="1">
        <v>12350990</v>
      </c>
      <c r="AP835" s="1">
        <v>50822954</v>
      </c>
      <c r="AQ835" s="1">
        <v>12158535</v>
      </c>
      <c r="AR835" s="1">
        <v>1823780</v>
      </c>
      <c r="AS835" s="1">
        <v>0</v>
      </c>
      <c r="AT835" s="1">
        <f t="shared" ref="AT835:AT898" si="91">AS835+AR835+AQ835+AN835</f>
        <v>77156259</v>
      </c>
    </row>
    <row r="836" spans="1:46">
      <c r="A836" s="1" t="str">
        <f>"00945"</f>
        <v>00945</v>
      </c>
      <c r="B836" s="1" t="str">
        <f>"محسن"</f>
        <v>محسن</v>
      </c>
      <c r="C836" s="1" t="str">
        <f>"رجبي کرهرودي"</f>
        <v>رجبي کرهرودي</v>
      </c>
      <c r="D836" s="1" t="str">
        <f t="shared" si="89"/>
        <v>قراردادي بهره بردار</v>
      </c>
      <c r="E836" s="1" t="str">
        <f t="shared" si="90"/>
        <v>پروژه بهره برداري نيروگاه بوشهر</v>
      </c>
      <c r="F836" s="1">
        <v>10804202</v>
      </c>
      <c r="G836" s="1">
        <v>13608170</v>
      </c>
      <c r="H836" s="1">
        <v>0</v>
      </c>
      <c r="I836" s="1">
        <v>10659618</v>
      </c>
      <c r="J836" s="1">
        <v>0</v>
      </c>
      <c r="K836" s="1">
        <v>0</v>
      </c>
      <c r="L836" s="1">
        <v>0</v>
      </c>
      <c r="M836" s="1">
        <v>400000</v>
      </c>
      <c r="N836" s="1">
        <v>1882986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1270000</v>
      </c>
      <c r="U836" s="1">
        <v>0</v>
      </c>
      <c r="V836" s="1">
        <v>5790711</v>
      </c>
      <c r="W836" s="1">
        <v>1100000</v>
      </c>
      <c r="X836" s="1">
        <v>1620630</v>
      </c>
      <c r="Y836" s="1">
        <v>0</v>
      </c>
      <c r="Z836" s="1">
        <v>0</v>
      </c>
      <c r="AA836" s="1">
        <v>0</v>
      </c>
      <c r="AB836" s="1">
        <v>0</v>
      </c>
      <c r="AC836" s="1">
        <v>1121748</v>
      </c>
      <c r="AD836" s="1">
        <v>0</v>
      </c>
      <c r="AE836" s="1">
        <v>1344990</v>
      </c>
      <c r="AF836" s="1">
        <v>1111269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7276232</v>
      </c>
      <c r="AM836" s="1">
        <v>0</v>
      </c>
      <c r="AN836" s="1">
        <v>57990556</v>
      </c>
      <c r="AO836" s="1">
        <v>16642993</v>
      </c>
      <c r="AP836" s="1">
        <v>41347563</v>
      </c>
      <c r="AQ836" s="1">
        <v>11121857</v>
      </c>
      <c r="AR836" s="1">
        <v>1668279</v>
      </c>
      <c r="AS836" s="1">
        <v>0</v>
      </c>
      <c r="AT836" s="1">
        <f t="shared" si="91"/>
        <v>70780692</v>
      </c>
    </row>
    <row r="837" spans="1:46">
      <c r="A837" s="1" t="str">
        <f>"00946"</f>
        <v>00946</v>
      </c>
      <c r="B837" s="1" t="str">
        <f>"فتح اله"</f>
        <v>فتح اله</v>
      </c>
      <c r="C837" s="1" t="str">
        <f>"روانان"</f>
        <v>روانان</v>
      </c>
      <c r="D837" s="1" t="str">
        <f t="shared" si="89"/>
        <v>قراردادي بهره بردار</v>
      </c>
      <c r="E837" s="1" t="str">
        <f t="shared" si="90"/>
        <v>پروژه بهره برداري نيروگاه بوشهر</v>
      </c>
      <c r="F837" s="1">
        <v>9654191</v>
      </c>
      <c r="G837" s="1">
        <v>11358962</v>
      </c>
      <c r="H837" s="1">
        <v>0</v>
      </c>
      <c r="I837" s="1">
        <v>8381111</v>
      </c>
      <c r="J837" s="1">
        <v>0</v>
      </c>
      <c r="K837" s="1">
        <v>4620000</v>
      </c>
      <c r="L837" s="1">
        <v>0</v>
      </c>
      <c r="M837" s="1">
        <v>400000</v>
      </c>
      <c r="N837" s="1">
        <v>1447754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4640257</v>
      </c>
      <c r="W837" s="1">
        <v>1100000</v>
      </c>
      <c r="X837" s="1">
        <v>1448129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1034110</v>
      </c>
      <c r="AF837" s="1">
        <v>1111269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5998586</v>
      </c>
      <c r="AM837" s="1">
        <v>0</v>
      </c>
      <c r="AN837" s="1">
        <v>51194369</v>
      </c>
      <c r="AO837" s="1">
        <v>9160816</v>
      </c>
      <c r="AP837" s="1">
        <v>42033553</v>
      </c>
      <c r="AQ837" s="1">
        <v>10016620</v>
      </c>
      <c r="AR837" s="1">
        <v>1502493</v>
      </c>
      <c r="AS837" s="1">
        <v>0</v>
      </c>
      <c r="AT837" s="1">
        <f t="shared" si="91"/>
        <v>62713482</v>
      </c>
    </row>
    <row r="838" spans="1:46">
      <c r="A838" s="1" t="str">
        <f>"00947"</f>
        <v>00947</v>
      </c>
      <c r="B838" s="1" t="str">
        <f>"عليرضا"</f>
        <v>عليرضا</v>
      </c>
      <c r="C838" s="1" t="str">
        <f>"زارع پور"</f>
        <v>زارع پور</v>
      </c>
      <c r="D838" s="1" t="str">
        <f t="shared" si="89"/>
        <v>قراردادي بهره بردار</v>
      </c>
      <c r="E838" s="1" t="str">
        <f t="shared" si="90"/>
        <v>پروژه بهره برداري نيروگاه بوشهر</v>
      </c>
      <c r="F838" s="1">
        <v>13206153</v>
      </c>
      <c r="G838" s="1">
        <v>18362552</v>
      </c>
      <c r="H838" s="1">
        <v>0</v>
      </c>
      <c r="I838" s="1">
        <v>14370608</v>
      </c>
      <c r="J838" s="1">
        <v>0</v>
      </c>
      <c r="K838" s="1">
        <v>4620000</v>
      </c>
      <c r="L838" s="1">
        <v>0</v>
      </c>
      <c r="M838" s="1">
        <v>400000</v>
      </c>
      <c r="N838" s="1">
        <v>2490013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8130337</v>
      </c>
      <c r="W838" s="1">
        <v>1100000</v>
      </c>
      <c r="X838" s="1">
        <v>1980923</v>
      </c>
      <c r="Y838" s="1">
        <v>0</v>
      </c>
      <c r="Z838" s="1">
        <v>0</v>
      </c>
      <c r="AA838" s="1">
        <v>0</v>
      </c>
      <c r="AB838" s="1">
        <v>0</v>
      </c>
      <c r="AC838" s="1">
        <v>1092576</v>
      </c>
      <c r="AD838" s="1">
        <v>0</v>
      </c>
      <c r="AE838" s="1">
        <v>1778581</v>
      </c>
      <c r="AF838" s="1">
        <v>2222538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9297588</v>
      </c>
      <c r="AM838" s="1">
        <v>0</v>
      </c>
      <c r="AN838" s="1">
        <v>79051869</v>
      </c>
      <c r="AO838" s="1">
        <v>17918597</v>
      </c>
      <c r="AP838" s="1">
        <v>61133272</v>
      </c>
      <c r="AQ838" s="1">
        <v>15365866</v>
      </c>
      <c r="AR838" s="1">
        <v>2304880</v>
      </c>
      <c r="AS838" s="1">
        <v>0</v>
      </c>
      <c r="AT838" s="1">
        <f t="shared" si="91"/>
        <v>96722615</v>
      </c>
    </row>
    <row r="839" spans="1:46">
      <c r="A839" s="1" t="str">
        <f>"00948"</f>
        <v>00948</v>
      </c>
      <c r="B839" s="1" t="str">
        <f>"سعيد"</f>
        <v>سعيد</v>
      </c>
      <c r="C839" s="1" t="str">
        <f>"زارعي"</f>
        <v>زارعي</v>
      </c>
      <c r="D839" s="1" t="str">
        <f t="shared" ref="D839:D872" si="92">"قراردادي بهره بردار"</f>
        <v>قراردادي بهره بردار</v>
      </c>
      <c r="E839" s="1" t="str">
        <f t="shared" ref="E839:E872" si="93">"پروژه بهره برداري نيروگاه بوشهر"</f>
        <v>پروژه بهره برداري نيروگاه بوشهر</v>
      </c>
      <c r="F839" s="1">
        <v>11957151</v>
      </c>
      <c r="G839" s="1">
        <v>14013979</v>
      </c>
      <c r="H839" s="1">
        <v>0</v>
      </c>
      <c r="I839" s="1">
        <v>11299012</v>
      </c>
      <c r="J839" s="1">
        <v>0</v>
      </c>
      <c r="K839" s="1">
        <v>3465000</v>
      </c>
      <c r="L839" s="1">
        <v>0</v>
      </c>
      <c r="M839" s="1">
        <v>400000</v>
      </c>
      <c r="N839" s="1">
        <v>2291511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1270000</v>
      </c>
      <c r="U839" s="1">
        <v>0</v>
      </c>
      <c r="V839" s="1">
        <v>6322096</v>
      </c>
      <c r="W839" s="1">
        <v>1100000</v>
      </c>
      <c r="X839" s="1">
        <v>1793573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1636794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6533375</v>
      </c>
      <c r="AM839" s="1">
        <v>0</v>
      </c>
      <c r="AN839" s="1">
        <v>62082491</v>
      </c>
      <c r="AO839" s="1">
        <v>12829523</v>
      </c>
      <c r="AP839" s="1">
        <v>49252968</v>
      </c>
      <c r="AQ839" s="1">
        <v>12162498</v>
      </c>
      <c r="AR839" s="1">
        <v>1824375</v>
      </c>
      <c r="AS839" s="1">
        <v>0</v>
      </c>
      <c r="AT839" s="1">
        <f t="shared" si="91"/>
        <v>76069364</v>
      </c>
    </row>
    <row r="840" spans="1:46">
      <c r="A840" s="1" t="str">
        <f>"00949"</f>
        <v>00949</v>
      </c>
      <c r="B840" s="1" t="str">
        <f>"رضا"</f>
        <v>رضا</v>
      </c>
      <c r="C840" s="1" t="str">
        <f>"زبردست"</f>
        <v>زبردست</v>
      </c>
      <c r="D840" s="1" t="str">
        <f t="shared" si="92"/>
        <v>قراردادي بهره بردار</v>
      </c>
      <c r="E840" s="1" t="str">
        <f t="shared" si="93"/>
        <v>پروژه بهره برداري نيروگاه بوشهر</v>
      </c>
      <c r="F840" s="1">
        <v>11624954</v>
      </c>
      <c r="G840" s="1">
        <v>16040978</v>
      </c>
      <c r="H840" s="1">
        <v>0</v>
      </c>
      <c r="I840" s="1">
        <v>12450974</v>
      </c>
      <c r="J840" s="1">
        <v>0</v>
      </c>
      <c r="K840" s="1">
        <v>3465000</v>
      </c>
      <c r="L840" s="1">
        <v>0</v>
      </c>
      <c r="M840" s="1">
        <v>400000</v>
      </c>
      <c r="N840" s="1">
        <v>2192624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6868903</v>
      </c>
      <c r="W840" s="1">
        <v>1100000</v>
      </c>
      <c r="X840" s="1">
        <v>1743743</v>
      </c>
      <c r="Y840" s="1">
        <v>0</v>
      </c>
      <c r="Z840" s="1">
        <v>0</v>
      </c>
      <c r="AA840" s="1">
        <v>0</v>
      </c>
      <c r="AB840" s="1">
        <v>0</v>
      </c>
      <c r="AC840" s="1">
        <v>1108528</v>
      </c>
      <c r="AD840" s="1">
        <v>0</v>
      </c>
      <c r="AE840" s="1">
        <v>1566160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8185967</v>
      </c>
      <c r="AM840" s="1">
        <v>0</v>
      </c>
      <c r="AN840" s="1">
        <v>66747831</v>
      </c>
      <c r="AO840" s="1">
        <v>13608652</v>
      </c>
      <c r="AP840" s="1">
        <v>53139179</v>
      </c>
      <c r="AQ840" s="1">
        <v>13349566</v>
      </c>
      <c r="AR840" s="1">
        <v>2002435</v>
      </c>
      <c r="AS840" s="1">
        <v>0</v>
      </c>
      <c r="AT840" s="1">
        <f t="shared" si="91"/>
        <v>82099832</v>
      </c>
    </row>
    <row r="841" spans="1:46">
      <c r="A841" s="1" t="str">
        <f>"00950"</f>
        <v>00950</v>
      </c>
      <c r="B841" s="1" t="str">
        <f>"قاسم"</f>
        <v>قاسم</v>
      </c>
      <c r="C841" s="1" t="str">
        <f>"زنده بودي"</f>
        <v>زنده بودي</v>
      </c>
      <c r="D841" s="1" t="str">
        <f t="shared" si="92"/>
        <v>قراردادي بهره بردار</v>
      </c>
      <c r="E841" s="1" t="str">
        <f t="shared" si="93"/>
        <v>پروژه بهره برداري نيروگاه بوشهر</v>
      </c>
      <c r="F841" s="1">
        <v>9641505</v>
      </c>
      <c r="G841" s="1">
        <v>11480947</v>
      </c>
      <c r="H841" s="1">
        <v>0</v>
      </c>
      <c r="I841" s="1">
        <v>8796152</v>
      </c>
      <c r="J841" s="1">
        <v>0</v>
      </c>
      <c r="K841" s="1">
        <v>4620000</v>
      </c>
      <c r="L841" s="1">
        <v>0</v>
      </c>
      <c r="M841" s="1">
        <v>400000</v>
      </c>
      <c r="N841" s="1">
        <v>1646685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1270000</v>
      </c>
      <c r="U841" s="1">
        <v>0</v>
      </c>
      <c r="V841" s="1">
        <v>5121097</v>
      </c>
      <c r="W841" s="1">
        <v>1100000</v>
      </c>
      <c r="X841" s="1">
        <v>1446226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1176204</v>
      </c>
      <c r="AF841" s="1">
        <v>1111269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6421063</v>
      </c>
      <c r="AM841" s="1">
        <v>0</v>
      </c>
      <c r="AN841" s="1">
        <v>54231148</v>
      </c>
      <c r="AO841" s="1">
        <v>11173184</v>
      </c>
      <c r="AP841" s="1">
        <v>43057964</v>
      </c>
      <c r="AQ841" s="1">
        <v>10369976</v>
      </c>
      <c r="AR841" s="1">
        <v>1555496</v>
      </c>
      <c r="AS841" s="1">
        <v>0</v>
      </c>
      <c r="AT841" s="1">
        <f t="shared" si="91"/>
        <v>66156620</v>
      </c>
    </row>
    <row r="842" spans="1:46">
      <c r="A842" s="1" t="str">
        <f>"00951"</f>
        <v>00951</v>
      </c>
      <c r="B842" s="1" t="str">
        <f>"شهرام"</f>
        <v>شهرام</v>
      </c>
      <c r="C842" s="1" t="str">
        <f>"زنگنه"</f>
        <v>زنگنه</v>
      </c>
      <c r="D842" s="1" t="str">
        <f t="shared" si="92"/>
        <v>قراردادي بهره بردار</v>
      </c>
      <c r="E842" s="1" t="str">
        <f t="shared" si="93"/>
        <v>پروژه بهره برداري نيروگاه بوشهر</v>
      </c>
      <c r="F842" s="1">
        <v>12523868</v>
      </c>
      <c r="G842" s="1">
        <v>18090394</v>
      </c>
      <c r="H842" s="1">
        <v>0</v>
      </c>
      <c r="I842" s="1">
        <v>12902144</v>
      </c>
      <c r="J842" s="1">
        <v>0</v>
      </c>
      <c r="K842" s="1">
        <v>4620000</v>
      </c>
      <c r="L842" s="1">
        <v>0</v>
      </c>
      <c r="M842" s="1">
        <v>400000</v>
      </c>
      <c r="N842" s="1">
        <v>2422563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7416514</v>
      </c>
      <c r="W842" s="1">
        <v>1100000</v>
      </c>
      <c r="X842" s="1">
        <v>1878580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1730403</v>
      </c>
      <c r="AF842" s="1">
        <v>3333807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8948367</v>
      </c>
      <c r="AM842" s="1">
        <v>0</v>
      </c>
      <c r="AN842" s="1">
        <v>75366640</v>
      </c>
      <c r="AO842" s="1">
        <v>16477063</v>
      </c>
      <c r="AP842" s="1">
        <v>58889577</v>
      </c>
      <c r="AQ842" s="1">
        <v>14406567</v>
      </c>
      <c r="AR842" s="1">
        <v>2160985</v>
      </c>
      <c r="AS842" s="1">
        <v>0</v>
      </c>
      <c r="AT842" s="1">
        <f t="shared" si="91"/>
        <v>91934192</v>
      </c>
    </row>
    <row r="843" spans="1:46">
      <c r="A843" s="1" t="str">
        <f>"00952"</f>
        <v>00952</v>
      </c>
      <c r="B843" s="1" t="str">
        <f>"علي"</f>
        <v>علي</v>
      </c>
      <c r="C843" s="1" t="str">
        <f>"ساعي"</f>
        <v>ساعي</v>
      </c>
      <c r="D843" s="1" t="str">
        <f t="shared" si="92"/>
        <v>قراردادي بهره بردار</v>
      </c>
      <c r="E843" s="1" t="str">
        <f t="shared" si="93"/>
        <v>پروژه بهره برداري نيروگاه بوشهر</v>
      </c>
      <c r="F843" s="1">
        <v>20288130</v>
      </c>
      <c r="G843" s="1">
        <v>13968392</v>
      </c>
      <c r="H843" s="1">
        <v>0</v>
      </c>
      <c r="I843" s="1">
        <v>18476709</v>
      </c>
      <c r="J843" s="1">
        <v>0</v>
      </c>
      <c r="K843" s="1">
        <v>0</v>
      </c>
      <c r="L843" s="1">
        <v>0</v>
      </c>
      <c r="M843" s="1">
        <v>400000</v>
      </c>
      <c r="N843" s="1">
        <v>3268653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10593313</v>
      </c>
      <c r="W843" s="1">
        <v>1100000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2334752</v>
      </c>
      <c r="AF843" s="1">
        <v>1111269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4902980</v>
      </c>
      <c r="AM843" s="1">
        <v>0</v>
      </c>
      <c r="AN843" s="1">
        <v>76444198</v>
      </c>
      <c r="AO843" s="1">
        <v>17478028</v>
      </c>
      <c r="AP843" s="1">
        <v>58966170</v>
      </c>
      <c r="AQ843" s="1">
        <v>15066586</v>
      </c>
      <c r="AR843" s="1">
        <v>2259988</v>
      </c>
      <c r="AS843" s="1">
        <v>0</v>
      </c>
      <c r="AT843" s="1">
        <f t="shared" si="91"/>
        <v>93770772</v>
      </c>
    </row>
    <row r="844" spans="1:46">
      <c r="A844" s="1" t="str">
        <f>"00953"</f>
        <v>00953</v>
      </c>
      <c r="B844" s="1" t="str">
        <f>"علي اکبر"</f>
        <v>علي اکبر</v>
      </c>
      <c r="C844" s="1" t="str">
        <f>"سلماني مشکاني"</f>
        <v>سلماني مشکاني</v>
      </c>
      <c r="D844" s="1" t="str">
        <f t="shared" si="92"/>
        <v>قراردادي بهره بردار</v>
      </c>
      <c r="E844" s="1" t="str">
        <f t="shared" si="93"/>
        <v>پروژه بهره برداري نيروگاه بوشهر</v>
      </c>
      <c r="F844" s="1">
        <v>13782915</v>
      </c>
      <c r="G844" s="1">
        <v>4362181</v>
      </c>
      <c r="H844" s="1">
        <v>0</v>
      </c>
      <c r="I844" s="1">
        <v>13950526</v>
      </c>
      <c r="J844" s="1">
        <v>0</v>
      </c>
      <c r="K844" s="1">
        <v>4620000</v>
      </c>
      <c r="L844" s="1">
        <v>0</v>
      </c>
      <c r="M844" s="1">
        <v>400000</v>
      </c>
      <c r="N844" s="1">
        <v>2640069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3625709</v>
      </c>
      <c r="W844" s="1">
        <v>1100000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1885763</v>
      </c>
      <c r="AF844" s="1">
        <v>2222538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3997818</v>
      </c>
      <c r="AM844" s="1">
        <v>0</v>
      </c>
      <c r="AN844" s="1">
        <v>52587519</v>
      </c>
      <c r="AO844" s="1">
        <v>10428395</v>
      </c>
      <c r="AP844" s="1">
        <v>42159124</v>
      </c>
      <c r="AQ844" s="1">
        <v>10072996</v>
      </c>
      <c r="AR844" s="1">
        <v>1510949</v>
      </c>
      <c r="AS844" s="1">
        <v>0</v>
      </c>
      <c r="AT844" s="1">
        <f t="shared" si="91"/>
        <v>64171464</v>
      </c>
    </row>
    <row r="845" spans="1:46">
      <c r="A845" s="1" t="str">
        <f>"00954"</f>
        <v>00954</v>
      </c>
      <c r="B845" s="1" t="str">
        <f>"کامران"</f>
        <v>کامران</v>
      </c>
      <c r="C845" s="1" t="str">
        <f>"صادقي"</f>
        <v>صادقي</v>
      </c>
      <c r="D845" s="1" t="str">
        <f t="shared" si="92"/>
        <v>قراردادي بهره بردار</v>
      </c>
      <c r="E845" s="1" t="str">
        <f t="shared" si="93"/>
        <v>پروژه بهره برداري نيروگاه بوشهر</v>
      </c>
      <c r="F845" s="1">
        <v>13185913</v>
      </c>
      <c r="G845" s="1">
        <v>23829297</v>
      </c>
      <c r="H845" s="1">
        <v>0</v>
      </c>
      <c r="I845" s="1">
        <v>12533816</v>
      </c>
      <c r="J845" s="1">
        <v>0</v>
      </c>
      <c r="K845" s="1">
        <v>0</v>
      </c>
      <c r="L845" s="1">
        <v>0</v>
      </c>
      <c r="M845" s="1">
        <v>400000</v>
      </c>
      <c r="N845" s="1">
        <v>2452653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7128942</v>
      </c>
      <c r="W845" s="1">
        <v>1100000</v>
      </c>
      <c r="X845" s="1">
        <v>1977887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1751895</v>
      </c>
      <c r="AF845" s="1">
        <v>1111269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7109184</v>
      </c>
      <c r="AM845" s="1">
        <v>0</v>
      </c>
      <c r="AN845" s="1">
        <v>72580856</v>
      </c>
      <c r="AO845" s="1">
        <v>18086907</v>
      </c>
      <c r="AP845" s="1">
        <v>54493949</v>
      </c>
      <c r="AQ845" s="1">
        <v>14293917</v>
      </c>
      <c r="AR845" s="1">
        <v>2144088</v>
      </c>
      <c r="AS845" s="1">
        <v>0</v>
      </c>
      <c r="AT845" s="1">
        <f t="shared" si="91"/>
        <v>89018861</v>
      </c>
    </row>
    <row r="846" spans="1:46">
      <c r="A846" s="1" t="str">
        <f>"00956"</f>
        <v>00956</v>
      </c>
      <c r="B846" s="1" t="str">
        <f>"امين"</f>
        <v>امين</v>
      </c>
      <c r="C846" s="1" t="str">
        <f>"ظاهري عبده وند"</f>
        <v>ظاهري عبده وند</v>
      </c>
      <c r="D846" s="1" t="str">
        <f t="shared" si="92"/>
        <v>قراردادي بهره بردار</v>
      </c>
      <c r="E846" s="1" t="str">
        <f t="shared" si="93"/>
        <v>پروژه بهره برداري نيروگاه بوشهر</v>
      </c>
      <c r="F846" s="1">
        <v>11432023</v>
      </c>
      <c r="G846" s="1">
        <v>20394729</v>
      </c>
      <c r="H846" s="1">
        <v>0</v>
      </c>
      <c r="I846" s="1">
        <v>12159703</v>
      </c>
      <c r="J846" s="1">
        <v>0</v>
      </c>
      <c r="K846" s="1">
        <v>4620000</v>
      </c>
      <c r="L846" s="1">
        <v>0</v>
      </c>
      <c r="M846" s="1">
        <v>400000</v>
      </c>
      <c r="N846" s="1">
        <v>2120845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1270000</v>
      </c>
      <c r="U846" s="1">
        <v>0</v>
      </c>
      <c r="V846" s="1">
        <v>6717863</v>
      </c>
      <c r="W846" s="1">
        <v>1100000</v>
      </c>
      <c r="X846" s="1">
        <v>1714803</v>
      </c>
      <c r="Y846" s="1">
        <v>0</v>
      </c>
      <c r="Z846" s="1">
        <v>0</v>
      </c>
      <c r="AA846" s="1">
        <v>0</v>
      </c>
      <c r="AB846" s="1">
        <v>0</v>
      </c>
      <c r="AC846" s="1">
        <v>1111041</v>
      </c>
      <c r="AD846" s="1">
        <v>0</v>
      </c>
      <c r="AE846" s="1">
        <v>1514889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7974274</v>
      </c>
      <c r="AM846" s="1">
        <v>0</v>
      </c>
      <c r="AN846" s="1">
        <v>72530170</v>
      </c>
      <c r="AO846" s="1">
        <v>21806484</v>
      </c>
      <c r="AP846" s="1">
        <v>50723686</v>
      </c>
      <c r="AQ846" s="1">
        <v>14252034</v>
      </c>
      <c r="AR846" s="1">
        <v>2137805</v>
      </c>
      <c r="AS846" s="1">
        <v>0</v>
      </c>
      <c r="AT846" s="1">
        <f t="shared" si="91"/>
        <v>88920009</v>
      </c>
    </row>
    <row r="847" spans="1:46">
      <c r="A847" s="1" t="str">
        <f>"00957"</f>
        <v>00957</v>
      </c>
      <c r="B847" s="1" t="str">
        <f>"محمود"</f>
        <v>محمود</v>
      </c>
      <c r="C847" s="1" t="str">
        <f>"عابدي"</f>
        <v>عابدي</v>
      </c>
      <c r="D847" s="1" t="str">
        <f t="shared" si="92"/>
        <v>قراردادي بهره بردار</v>
      </c>
      <c r="E847" s="1" t="str">
        <f t="shared" si="93"/>
        <v>پروژه بهره برداري نيروگاه بوشهر</v>
      </c>
      <c r="F847" s="1">
        <v>12120587</v>
      </c>
      <c r="G847" s="1">
        <v>22168813</v>
      </c>
      <c r="H847" s="1">
        <v>0</v>
      </c>
      <c r="I847" s="1">
        <v>12755449</v>
      </c>
      <c r="J847" s="1">
        <v>0</v>
      </c>
      <c r="K847" s="1">
        <v>4620000</v>
      </c>
      <c r="L847" s="1">
        <v>0</v>
      </c>
      <c r="M847" s="1">
        <v>400000</v>
      </c>
      <c r="N847" s="1">
        <v>2369239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1270000</v>
      </c>
      <c r="U847" s="1">
        <v>0</v>
      </c>
      <c r="V847" s="1">
        <v>7059507</v>
      </c>
      <c r="W847" s="1">
        <v>1100000</v>
      </c>
      <c r="X847" s="1">
        <v>1818088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1692314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8713116</v>
      </c>
      <c r="AM847" s="1">
        <v>0</v>
      </c>
      <c r="AN847" s="1">
        <v>76087113</v>
      </c>
      <c r="AO847" s="1">
        <v>13373177</v>
      </c>
      <c r="AP847" s="1">
        <v>62713936</v>
      </c>
      <c r="AQ847" s="1">
        <v>14963423</v>
      </c>
      <c r="AR847" s="1">
        <v>2244513</v>
      </c>
      <c r="AS847" s="1">
        <v>0</v>
      </c>
      <c r="AT847" s="1">
        <f t="shared" si="91"/>
        <v>93295049</v>
      </c>
    </row>
    <row r="848" spans="1:46">
      <c r="A848" s="1" t="str">
        <f>"00958"</f>
        <v>00958</v>
      </c>
      <c r="B848" s="1" t="str">
        <f>"هادي"</f>
        <v>هادي</v>
      </c>
      <c r="C848" s="1" t="str">
        <f>"عباسي"</f>
        <v>عباسي</v>
      </c>
      <c r="D848" s="1" t="str">
        <f t="shared" si="92"/>
        <v>قراردادي بهره بردار</v>
      </c>
      <c r="E848" s="1" t="str">
        <f t="shared" si="93"/>
        <v>پروژه بهره برداري نيروگاه بوشهر</v>
      </c>
      <c r="F848" s="1">
        <v>10199440</v>
      </c>
      <c r="G848" s="1">
        <v>17074696</v>
      </c>
      <c r="H848" s="1">
        <v>0</v>
      </c>
      <c r="I848" s="1">
        <v>9538420</v>
      </c>
      <c r="J848" s="1">
        <v>0</v>
      </c>
      <c r="K848" s="1">
        <v>0</v>
      </c>
      <c r="L848" s="1">
        <v>0</v>
      </c>
      <c r="M848" s="1">
        <v>400000</v>
      </c>
      <c r="N848" s="1">
        <v>1851926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1270000</v>
      </c>
      <c r="U848" s="1">
        <v>0</v>
      </c>
      <c r="V848" s="1">
        <v>5539054</v>
      </c>
      <c r="W848" s="1">
        <v>1100000</v>
      </c>
      <c r="X848" s="1">
        <v>1529916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1322804</v>
      </c>
      <c r="AF848" s="1">
        <v>1111269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7028244</v>
      </c>
      <c r="AM848" s="1">
        <v>0</v>
      </c>
      <c r="AN848" s="1">
        <v>57965769</v>
      </c>
      <c r="AO848" s="1">
        <v>13409283</v>
      </c>
      <c r="AP848" s="1">
        <v>44556486</v>
      </c>
      <c r="AQ848" s="1">
        <v>11116900</v>
      </c>
      <c r="AR848" s="1">
        <v>1667535</v>
      </c>
      <c r="AS848" s="1">
        <v>0</v>
      </c>
      <c r="AT848" s="1">
        <f t="shared" si="91"/>
        <v>70750204</v>
      </c>
    </row>
    <row r="849" spans="1:46">
      <c r="A849" s="1" t="str">
        <f>"00959"</f>
        <v>00959</v>
      </c>
      <c r="B849" s="1" t="str">
        <f>"فرج اله"</f>
        <v>فرج اله</v>
      </c>
      <c r="C849" s="1" t="str">
        <f>"عرب انصاري"</f>
        <v>عرب انصاري</v>
      </c>
      <c r="D849" s="1" t="str">
        <f t="shared" si="92"/>
        <v>قراردادي بهره بردار</v>
      </c>
      <c r="E849" s="1" t="str">
        <f t="shared" si="93"/>
        <v>پروژه بهره برداري نيروگاه بوشهر</v>
      </c>
      <c r="F849" s="1">
        <v>19761609</v>
      </c>
      <c r="G849" s="1">
        <v>12957944</v>
      </c>
      <c r="H849" s="1">
        <v>0</v>
      </c>
      <c r="I849" s="1">
        <v>17808362</v>
      </c>
      <c r="J849" s="1">
        <v>0</v>
      </c>
      <c r="K849" s="1">
        <v>0</v>
      </c>
      <c r="L849" s="1">
        <v>0</v>
      </c>
      <c r="M849" s="1">
        <v>400000</v>
      </c>
      <c r="N849" s="1">
        <v>3084371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1270000</v>
      </c>
      <c r="U849" s="1">
        <v>0</v>
      </c>
      <c r="V849" s="1">
        <v>11752295</v>
      </c>
      <c r="W849" s="1">
        <v>1100000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2203122</v>
      </c>
      <c r="AF849" s="1">
        <v>1111269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4626556</v>
      </c>
      <c r="AM849" s="1">
        <v>0</v>
      </c>
      <c r="AN849" s="1">
        <v>76075528</v>
      </c>
      <c r="AO849" s="1">
        <v>15329457</v>
      </c>
      <c r="AP849" s="1">
        <v>60746071</v>
      </c>
      <c r="AQ849" s="1">
        <v>14738852</v>
      </c>
      <c r="AR849" s="1">
        <v>2210828</v>
      </c>
      <c r="AS849" s="1">
        <v>0</v>
      </c>
      <c r="AT849" s="1">
        <f t="shared" si="91"/>
        <v>93025208</v>
      </c>
    </row>
    <row r="850" spans="1:46">
      <c r="A850" s="1" t="str">
        <f>"00960"</f>
        <v>00960</v>
      </c>
      <c r="B850" s="1" t="str">
        <f>"کورش"</f>
        <v>کورش</v>
      </c>
      <c r="C850" s="1" t="str">
        <f>"عفيفيان"</f>
        <v>عفيفيان</v>
      </c>
      <c r="D850" s="1" t="str">
        <f t="shared" si="92"/>
        <v>قراردادي بهره بردار</v>
      </c>
      <c r="E850" s="1" t="str">
        <f t="shared" si="93"/>
        <v>پروژه بهره برداري نيروگاه بوشهر</v>
      </c>
      <c r="F850" s="1">
        <v>19723872</v>
      </c>
      <c r="G850" s="1">
        <v>25537310</v>
      </c>
      <c r="H850" s="1">
        <v>0</v>
      </c>
      <c r="I850" s="1">
        <v>19950002</v>
      </c>
      <c r="J850" s="1">
        <v>0</v>
      </c>
      <c r="K850" s="1">
        <v>5500000</v>
      </c>
      <c r="L850" s="1">
        <v>0</v>
      </c>
      <c r="M850" s="1">
        <v>400000</v>
      </c>
      <c r="N850" s="1">
        <v>3071163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1270000</v>
      </c>
      <c r="U850" s="1">
        <v>0</v>
      </c>
      <c r="V850" s="1">
        <v>11059767</v>
      </c>
      <c r="W850" s="1">
        <v>1100000</v>
      </c>
      <c r="X850" s="1">
        <v>2958581</v>
      </c>
      <c r="Y850" s="1">
        <v>0</v>
      </c>
      <c r="Z850" s="1">
        <v>0</v>
      </c>
      <c r="AA850" s="1">
        <v>0</v>
      </c>
      <c r="AB850" s="1">
        <v>0</v>
      </c>
      <c r="AC850" s="1">
        <v>2425950</v>
      </c>
      <c r="AD850" s="1">
        <v>0</v>
      </c>
      <c r="AE850" s="1">
        <v>2193688</v>
      </c>
      <c r="AF850" s="1">
        <v>2222538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11620750</v>
      </c>
      <c r="AM850" s="1">
        <v>0</v>
      </c>
      <c r="AN850" s="1">
        <v>109033621</v>
      </c>
      <c r="AO850" s="1">
        <v>22367770</v>
      </c>
      <c r="AP850" s="1">
        <v>86665851</v>
      </c>
      <c r="AQ850" s="1">
        <v>15557766</v>
      </c>
      <c r="AR850" s="1">
        <v>2333665</v>
      </c>
      <c r="AS850" s="1">
        <v>0</v>
      </c>
      <c r="AT850" s="1">
        <f t="shared" si="91"/>
        <v>126925052</v>
      </c>
    </row>
    <row r="851" spans="1:46">
      <c r="A851" s="1" t="str">
        <f>"00961"</f>
        <v>00961</v>
      </c>
      <c r="B851" s="1" t="str">
        <f>"احمد"</f>
        <v>احمد</v>
      </c>
      <c r="C851" s="1" t="str">
        <f>"علي زاده"</f>
        <v>علي زاده</v>
      </c>
      <c r="D851" s="1" t="str">
        <f t="shared" si="92"/>
        <v>قراردادي بهره بردار</v>
      </c>
      <c r="E851" s="1" t="str">
        <f t="shared" si="93"/>
        <v>پروژه بهره برداري نيروگاه بوشهر</v>
      </c>
      <c r="F851" s="1">
        <v>11097682</v>
      </c>
      <c r="G851" s="1">
        <v>14244384</v>
      </c>
      <c r="H851" s="1">
        <v>0</v>
      </c>
      <c r="I851" s="1">
        <v>10881028</v>
      </c>
      <c r="J851" s="1">
        <v>0</v>
      </c>
      <c r="K851" s="1">
        <v>4620000</v>
      </c>
      <c r="L851" s="1">
        <v>0</v>
      </c>
      <c r="M851" s="1">
        <v>400000</v>
      </c>
      <c r="N851" s="1">
        <v>1986629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1270000</v>
      </c>
      <c r="U851" s="1">
        <v>0</v>
      </c>
      <c r="V851" s="1">
        <v>6099584</v>
      </c>
      <c r="W851" s="1">
        <v>1100000</v>
      </c>
      <c r="X851" s="1">
        <v>1664652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1419021</v>
      </c>
      <c r="AF851" s="1">
        <v>2222538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7586366</v>
      </c>
      <c r="AM851" s="1">
        <v>0</v>
      </c>
      <c r="AN851" s="1">
        <v>64591884</v>
      </c>
      <c r="AO851" s="1">
        <v>12849704</v>
      </c>
      <c r="AP851" s="1">
        <v>51742180</v>
      </c>
      <c r="AQ851" s="1">
        <v>12219869</v>
      </c>
      <c r="AR851" s="1">
        <v>1832980</v>
      </c>
      <c r="AS851" s="1">
        <v>0</v>
      </c>
      <c r="AT851" s="1">
        <f t="shared" si="91"/>
        <v>78644733</v>
      </c>
    </row>
    <row r="852" spans="1:46">
      <c r="A852" s="1" t="str">
        <f>"00962"</f>
        <v>00962</v>
      </c>
      <c r="B852" s="1" t="str">
        <f>"کيانوش"</f>
        <v>کيانوش</v>
      </c>
      <c r="C852" s="1" t="str">
        <f>"غذباني"</f>
        <v>غذباني</v>
      </c>
      <c r="D852" s="1" t="str">
        <f t="shared" si="92"/>
        <v>قراردادي بهره بردار</v>
      </c>
      <c r="E852" s="1" t="str">
        <f t="shared" si="93"/>
        <v>پروژه بهره برداري نيروگاه بوشهر</v>
      </c>
      <c r="F852" s="1">
        <v>11121098</v>
      </c>
      <c r="G852" s="1">
        <v>14126138</v>
      </c>
      <c r="H852" s="1">
        <v>0</v>
      </c>
      <c r="I852" s="1">
        <v>10345343</v>
      </c>
      <c r="J852" s="1">
        <v>0</v>
      </c>
      <c r="K852" s="1">
        <v>4620000</v>
      </c>
      <c r="L852" s="1">
        <v>0</v>
      </c>
      <c r="M852" s="1">
        <v>400000</v>
      </c>
      <c r="N852" s="1">
        <v>1993345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1270000</v>
      </c>
      <c r="U852" s="1">
        <v>0</v>
      </c>
      <c r="V852" s="1">
        <v>6254592</v>
      </c>
      <c r="W852" s="1">
        <v>1100000</v>
      </c>
      <c r="X852" s="1">
        <v>1668165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1423818</v>
      </c>
      <c r="AF852" s="1">
        <v>1111269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7607783</v>
      </c>
      <c r="AM852" s="1">
        <v>0</v>
      </c>
      <c r="AN852" s="1">
        <v>63041551</v>
      </c>
      <c r="AO852" s="1">
        <v>18903987</v>
      </c>
      <c r="AP852" s="1">
        <v>44137564</v>
      </c>
      <c r="AQ852" s="1">
        <v>12132056</v>
      </c>
      <c r="AR852" s="1">
        <v>1819808</v>
      </c>
      <c r="AS852" s="1">
        <v>0</v>
      </c>
      <c r="AT852" s="1">
        <f t="shared" si="91"/>
        <v>76993415</v>
      </c>
    </row>
    <row r="853" spans="1:46">
      <c r="A853" s="1" t="str">
        <f>"00963"</f>
        <v>00963</v>
      </c>
      <c r="B853" s="1" t="str">
        <f>"پشوتن"</f>
        <v>پشوتن</v>
      </c>
      <c r="C853" s="1" t="str">
        <f>"قائدي"</f>
        <v>قائدي</v>
      </c>
      <c r="D853" s="1" t="str">
        <f t="shared" si="92"/>
        <v>قراردادي بهره بردار</v>
      </c>
      <c r="E853" s="1" t="str">
        <f t="shared" si="93"/>
        <v>پروژه بهره برداري نيروگاه بوشهر</v>
      </c>
      <c r="F853" s="1">
        <v>14561091</v>
      </c>
      <c r="G853" s="1">
        <v>19507904</v>
      </c>
      <c r="H853" s="1">
        <v>0</v>
      </c>
      <c r="I853" s="1">
        <v>16376594</v>
      </c>
      <c r="J853" s="1">
        <v>0</v>
      </c>
      <c r="K853" s="1">
        <v>4620000</v>
      </c>
      <c r="L853" s="1">
        <v>0</v>
      </c>
      <c r="M853" s="1">
        <v>400000</v>
      </c>
      <c r="N853" s="1">
        <v>2964241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1270000</v>
      </c>
      <c r="U853" s="1">
        <v>0</v>
      </c>
      <c r="V853" s="1">
        <v>8997356</v>
      </c>
      <c r="W853" s="1">
        <v>1100000</v>
      </c>
      <c r="X853" s="1">
        <v>2184164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2117315</v>
      </c>
      <c r="AF853" s="1">
        <v>2222538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10720273</v>
      </c>
      <c r="AM853" s="1">
        <v>0</v>
      </c>
      <c r="AN853" s="1">
        <v>87041476</v>
      </c>
      <c r="AO853" s="1">
        <v>20231745</v>
      </c>
      <c r="AP853" s="1">
        <v>66809731</v>
      </c>
      <c r="AQ853" s="1">
        <v>15557766</v>
      </c>
      <c r="AR853" s="1">
        <v>2333665</v>
      </c>
      <c r="AS853" s="1">
        <v>0</v>
      </c>
      <c r="AT853" s="1">
        <f t="shared" si="91"/>
        <v>104932907</v>
      </c>
    </row>
    <row r="854" spans="1:46">
      <c r="A854" s="1" t="str">
        <f>"00964"</f>
        <v>00964</v>
      </c>
      <c r="B854" s="1" t="str">
        <f>"داوود"</f>
        <v>داوود</v>
      </c>
      <c r="C854" s="1" t="str">
        <f>"قايدي"</f>
        <v>قايدي</v>
      </c>
      <c r="D854" s="1" t="str">
        <f t="shared" si="92"/>
        <v>قراردادي بهره بردار</v>
      </c>
      <c r="E854" s="1" t="str">
        <f t="shared" si="93"/>
        <v>پروژه بهره برداري نيروگاه بوشهر</v>
      </c>
      <c r="F854" s="1">
        <v>13328898</v>
      </c>
      <c r="G854" s="1">
        <v>17400704</v>
      </c>
      <c r="H854" s="1">
        <v>0</v>
      </c>
      <c r="I854" s="1">
        <v>13140145</v>
      </c>
      <c r="J854" s="1">
        <v>0</v>
      </c>
      <c r="K854" s="1">
        <v>0</v>
      </c>
      <c r="L854" s="1">
        <v>0</v>
      </c>
      <c r="M854" s="1">
        <v>400000</v>
      </c>
      <c r="N854" s="1">
        <v>2521034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1270000</v>
      </c>
      <c r="U854" s="1">
        <v>0</v>
      </c>
      <c r="V854" s="1">
        <v>7535944</v>
      </c>
      <c r="W854" s="1">
        <v>1100000</v>
      </c>
      <c r="X854" s="1">
        <v>1999335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1800738</v>
      </c>
      <c r="AF854" s="1">
        <v>1111269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9400886</v>
      </c>
      <c r="AM854" s="1">
        <v>0</v>
      </c>
      <c r="AN854" s="1">
        <v>71008953</v>
      </c>
      <c r="AO854" s="1">
        <v>16901105</v>
      </c>
      <c r="AP854" s="1">
        <v>54107848</v>
      </c>
      <c r="AQ854" s="1">
        <v>13725537</v>
      </c>
      <c r="AR854" s="1">
        <v>2058831</v>
      </c>
      <c r="AS854" s="1">
        <v>0</v>
      </c>
      <c r="AT854" s="1">
        <f t="shared" si="91"/>
        <v>86793321</v>
      </c>
    </row>
    <row r="855" spans="1:46">
      <c r="A855" s="1" t="str">
        <f>"00965"</f>
        <v>00965</v>
      </c>
      <c r="B855" s="1" t="str">
        <f>"اسدالله"</f>
        <v>اسدالله</v>
      </c>
      <c r="C855" s="1" t="str">
        <f>"قبادي فر"</f>
        <v>قبادي فر</v>
      </c>
      <c r="D855" s="1" t="str">
        <f t="shared" si="92"/>
        <v>قراردادي بهره بردار</v>
      </c>
      <c r="E855" s="1" t="str">
        <f t="shared" si="93"/>
        <v>پروژه بهره برداري نيروگاه بوشهر</v>
      </c>
      <c r="F855" s="1">
        <v>14291541</v>
      </c>
      <c r="G855" s="1">
        <v>18408103</v>
      </c>
      <c r="H855" s="1">
        <v>0</v>
      </c>
      <c r="I855" s="1">
        <v>14455856</v>
      </c>
      <c r="J855" s="1">
        <v>0</v>
      </c>
      <c r="K855" s="1">
        <v>4620000</v>
      </c>
      <c r="L855" s="1">
        <v>0</v>
      </c>
      <c r="M855" s="1">
        <v>400000</v>
      </c>
      <c r="N855" s="1">
        <v>2869899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1270000</v>
      </c>
      <c r="U855" s="1">
        <v>0</v>
      </c>
      <c r="V855" s="1">
        <v>8490110</v>
      </c>
      <c r="W855" s="1">
        <v>1100000</v>
      </c>
      <c r="X855" s="1">
        <v>2143731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2049928</v>
      </c>
      <c r="AF855" s="1">
        <v>1111269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10437245</v>
      </c>
      <c r="AM855" s="1">
        <v>0</v>
      </c>
      <c r="AN855" s="1">
        <v>81647682</v>
      </c>
      <c r="AO855" s="1">
        <v>15469388</v>
      </c>
      <c r="AP855" s="1">
        <v>66178294</v>
      </c>
      <c r="AQ855" s="1">
        <v>15557766</v>
      </c>
      <c r="AR855" s="1">
        <v>2333665</v>
      </c>
      <c r="AS855" s="1">
        <v>0</v>
      </c>
      <c r="AT855" s="1">
        <f t="shared" si="91"/>
        <v>99539113</v>
      </c>
    </row>
    <row r="856" spans="1:46">
      <c r="A856" s="1" t="str">
        <f>"00966"</f>
        <v>00966</v>
      </c>
      <c r="B856" s="1" t="str">
        <f>"جواد"</f>
        <v>جواد</v>
      </c>
      <c r="C856" s="1" t="str">
        <f>"قربان پور"</f>
        <v>قربان پور</v>
      </c>
      <c r="D856" s="1" t="str">
        <f t="shared" si="92"/>
        <v>قراردادي بهره بردار</v>
      </c>
      <c r="E856" s="1" t="str">
        <f t="shared" si="93"/>
        <v>پروژه بهره برداري نيروگاه بوشهر</v>
      </c>
      <c r="F856" s="1">
        <v>13761983</v>
      </c>
      <c r="G856" s="1">
        <v>29038991</v>
      </c>
      <c r="H856" s="1">
        <v>0</v>
      </c>
      <c r="I856" s="1">
        <v>12946055</v>
      </c>
      <c r="J856" s="1">
        <v>0</v>
      </c>
      <c r="K856" s="1">
        <v>4620000</v>
      </c>
      <c r="L856" s="1">
        <v>0</v>
      </c>
      <c r="M856" s="1">
        <v>400000</v>
      </c>
      <c r="N856" s="1">
        <v>2665364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7475300</v>
      </c>
      <c r="W856" s="1">
        <v>1100000</v>
      </c>
      <c r="X856" s="1">
        <v>2064297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1903832</v>
      </c>
      <c r="AF856" s="1">
        <v>1111269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7555492</v>
      </c>
      <c r="AM856" s="1">
        <v>0</v>
      </c>
      <c r="AN856" s="1">
        <v>84642583</v>
      </c>
      <c r="AO856" s="1">
        <v>19768910</v>
      </c>
      <c r="AP856" s="1">
        <v>64873673</v>
      </c>
      <c r="AQ856" s="1">
        <v>15557766</v>
      </c>
      <c r="AR856" s="1">
        <v>2333665</v>
      </c>
      <c r="AS856" s="1">
        <v>0</v>
      </c>
      <c r="AT856" s="1">
        <f t="shared" si="91"/>
        <v>102534014</v>
      </c>
    </row>
    <row r="857" spans="1:46">
      <c r="A857" s="1" t="str">
        <f>"00967"</f>
        <v>00967</v>
      </c>
      <c r="B857" s="1" t="str">
        <f>"حميد"</f>
        <v>حميد</v>
      </c>
      <c r="C857" s="1" t="str">
        <f>"قياسوند"</f>
        <v>قياسوند</v>
      </c>
      <c r="D857" s="1" t="str">
        <f t="shared" si="92"/>
        <v>قراردادي بهره بردار</v>
      </c>
      <c r="E857" s="1" t="str">
        <f t="shared" si="93"/>
        <v>پروژه بهره برداري نيروگاه بوشهر</v>
      </c>
      <c r="F857" s="1">
        <v>18458784</v>
      </c>
      <c r="G857" s="1">
        <v>19275292</v>
      </c>
      <c r="H857" s="1">
        <v>0</v>
      </c>
      <c r="I857" s="1">
        <v>19285022</v>
      </c>
      <c r="J857" s="1">
        <v>0</v>
      </c>
      <c r="K857" s="1">
        <v>0</v>
      </c>
      <c r="L857" s="1">
        <v>0</v>
      </c>
      <c r="M857" s="1">
        <v>400000</v>
      </c>
      <c r="N857" s="1">
        <v>2828388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1270000</v>
      </c>
      <c r="U857" s="1">
        <v>0</v>
      </c>
      <c r="V857" s="1">
        <v>9482743</v>
      </c>
      <c r="W857" s="1">
        <v>1100000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2425950</v>
      </c>
      <c r="AD857" s="1">
        <v>0</v>
      </c>
      <c r="AE857" s="1">
        <v>2020277</v>
      </c>
      <c r="AF857" s="1">
        <v>3333807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4242582</v>
      </c>
      <c r="AM857" s="1">
        <v>0</v>
      </c>
      <c r="AN857" s="1">
        <v>84122845</v>
      </c>
      <c r="AO857" s="1">
        <v>24803739</v>
      </c>
      <c r="AP857" s="1">
        <v>59319106</v>
      </c>
      <c r="AQ857" s="1">
        <v>15557766</v>
      </c>
      <c r="AR857" s="1">
        <v>2333665</v>
      </c>
      <c r="AS857" s="1">
        <v>0</v>
      </c>
      <c r="AT857" s="1">
        <f t="shared" si="91"/>
        <v>102014276</v>
      </c>
    </row>
    <row r="858" spans="1:46">
      <c r="A858" s="1" t="str">
        <f>"00968"</f>
        <v>00968</v>
      </c>
      <c r="B858" s="1" t="str">
        <f>"پيمان"</f>
        <v>پيمان</v>
      </c>
      <c r="C858" s="1" t="str">
        <f>"كمري قنواتي"</f>
        <v>كمري قنواتي</v>
      </c>
      <c r="D858" s="1" t="str">
        <f t="shared" si="92"/>
        <v>قراردادي بهره بردار</v>
      </c>
      <c r="E858" s="1" t="str">
        <f t="shared" si="93"/>
        <v>پروژه بهره برداري نيروگاه بوشهر</v>
      </c>
      <c r="F858" s="1">
        <v>11375824</v>
      </c>
      <c r="G858" s="1">
        <v>14354552</v>
      </c>
      <c r="H858" s="1">
        <v>0</v>
      </c>
      <c r="I858" s="1">
        <v>10781697</v>
      </c>
      <c r="J858" s="1">
        <v>0</v>
      </c>
      <c r="K858" s="1">
        <v>4620000</v>
      </c>
      <c r="L858" s="1">
        <v>0</v>
      </c>
      <c r="M858" s="1">
        <v>400000</v>
      </c>
      <c r="N858" s="1">
        <v>2092300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6475738</v>
      </c>
      <c r="W858" s="1">
        <v>1100000</v>
      </c>
      <c r="X858" s="1">
        <v>1706374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1494500</v>
      </c>
      <c r="AF858" s="1">
        <v>1111269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8792948</v>
      </c>
      <c r="AM858" s="1">
        <v>0</v>
      </c>
      <c r="AN858" s="1">
        <v>64305202</v>
      </c>
      <c r="AO858" s="1">
        <v>15197432</v>
      </c>
      <c r="AP858" s="1">
        <v>49107770</v>
      </c>
      <c r="AQ858" s="1">
        <v>12638787</v>
      </c>
      <c r="AR858" s="1">
        <v>1895818</v>
      </c>
      <c r="AS858" s="1">
        <v>0</v>
      </c>
      <c r="AT858" s="1">
        <f t="shared" si="91"/>
        <v>78839807</v>
      </c>
    </row>
    <row r="859" spans="1:46">
      <c r="A859" s="1" t="str">
        <f>"00969"</f>
        <v>00969</v>
      </c>
      <c r="B859" s="1" t="str">
        <f>"فرشيد"</f>
        <v>فرشيد</v>
      </c>
      <c r="C859" s="1" t="str">
        <f>"كولاني"</f>
        <v>كولاني</v>
      </c>
      <c r="D859" s="1" t="str">
        <f t="shared" si="92"/>
        <v>قراردادي بهره بردار</v>
      </c>
      <c r="E859" s="1" t="str">
        <f t="shared" si="93"/>
        <v>پروژه بهره برداري نيروگاه بوشهر</v>
      </c>
      <c r="F859" s="1">
        <v>18401280</v>
      </c>
      <c r="G859" s="1">
        <v>6749965</v>
      </c>
      <c r="H859" s="1">
        <v>0</v>
      </c>
      <c r="I859" s="1">
        <v>16341503</v>
      </c>
      <c r="J859" s="1">
        <v>0</v>
      </c>
      <c r="K859" s="1">
        <v>0</v>
      </c>
      <c r="L859" s="1">
        <v>0</v>
      </c>
      <c r="M859" s="1">
        <v>400000</v>
      </c>
      <c r="N859" s="1">
        <v>2608256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1270000</v>
      </c>
      <c r="U859" s="1">
        <v>0</v>
      </c>
      <c r="V859" s="1">
        <v>8301844</v>
      </c>
      <c r="W859" s="1">
        <v>1100000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1863040</v>
      </c>
      <c r="AF859" s="1">
        <v>222538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3912383</v>
      </c>
      <c r="AM859" s="1">
        <v>0</v>
      </c>
      <c r="AN859" s="1">
        <v>61170809</v>
      </c>
      <c r="AO859" s="1">
        <v>14526477</v>
      </c>
      <c r="AP859" s="1">
        <v>46644332</v>
      </c>
      <c r="AQ859" s="1">
        <v>11935654</v>
      </c>
      <c r="AR859" s="1">
        <v>1790348</v>
      </c>
      <c r="AS859" s="1">
        <v>0</v>
      </c>
      <c r="AT859" s="1">
        <f t="shared" si="91"/>
        <v>74896811</v>
      </c>
    </row>
    <row r="860" spans="1:46">
      <c r="A860" s="1" t="str">
        <f>"00970"</f>
        <v>00970</v>
      </c>
      <c r="B860" s="1" t="str">
        <f>"داود"</f>
        <v>داود</v>
      </c>
      <c r="C860" s="1" t="str">
        <f>"لحصائي"</f>
        <v>لحصائي</v>
      </c>
      <c r="D860" s="1" t="str">
        <f t="shared" si="92"/>
        <v>قراردادي بهره بردار</v>
      </c>
      <c r="E860" s="1" t="str">
        <f t="shared" si="93"/>
        <v>پروژه بهره برداري نيروگاه بوشهر</v>
      </c>
      <c r="F860" s="1">
        <v>11366439</v>
      </c>
      <c r="G860" s="1">
        <v>14671346</v>
      </c>
      <c r="H860" s="1">
        <v>0</v>
      </c>
      <c r="I860" s="1">
        <v>11066341</v>
      </c>
      <c r="J860" s="1">
        <v>0</v>
      </c>
      <c r="K860" s="1">
        <v>0</v>
      </c>
      <c r="L860" s="1">
        <v>0</v>
      </c>
      <c r="M860" s="1">
        <v>400000</v>
      </c>
      <c r="N860" s="1">
        <v>2085686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1270000</v>
      </c>
      <c r="U860" s="1">
        <v>0</v>
      </c>
      <c r="V860" s="1">
        <v>6353906</v>
      </c>
      <c r="W860" s="1">
        <v>1100000</v>
      </c>
      <c r="X860" s="1">
        <v>1704966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1489776</v>
      </c>
      <c r="AF860" s="1">
        <v>2222538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7879259</v>
      </c>
      <c r="AM860" s="1">
        <v>0</v>
      </c>
      <c r="AN860" s="1">
        <v>61610257</v>
      </c>
      <c r="AO860" s="1">
        <v>11183082</v>
      </c>
      <c r="AP860" s="1">
        <v>50427175</v>
      </c>
      <c r="AQ860" s="1">
        <v>11623544</v>
      </c>
      <c r="AR860" s="1">
        <v>1743532</v>
      </c>
      <c r="AS860" s="1">
        <v>0</v>
      </c>
      <c r="AT860" s="1">
        <f t="shared" si="91"/>
        <v>74977333</v>
      </c>
    </row>
    <row r="861" spans="1:46">
      <c r="A861" s="1" t="str">
        <f>"00971"</f>
        <v>00971</v>
      </c>
      <c r="B861" s="1" t="str">
        <f>"مجتبي"</f>
        <v>مجتبي</v>
      </c>
      <c r="C861" s="1" t="str">
        <f>"مصيبي"</f>
        <v>مصيبي</v>
      </c>
      <c r="D861" s="1" t="str">
        <f t="shared" si="92"/>
        <v>قراردادي بهره بردار</v>
      </c>
      <c r="E861" s="1" t="str">
        <f t="shared" si="93"/>
        <v>پروژه بهره برداري نيروگاه بوشهر</v>
      </c>
      <c r="F861" s="1">
        <v>10799993</v>
      </c>
      <c r="G861" s="1">
        <v>32746572</v>
      </c>
      <c r="H861" s="1">
        <v>0</v>
      </c>
      <c r="I861" s="1">
        <v>10908081</v>
      </c>
      <c r="J861" s="1">
        <v>0</v>
      </c>
      <c r="K861" s="1">
        <v>4620000</v>
      </c>
      <c r="L861" s="1">
        <v>0</v>
      </c>
      <c r="M861" s="1">
        <v>400000</v>
      </c>
      <c r="N861" s="1">
        <v>2075900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6096696</v>
      </c>
      <c r="W861" s="1">
        <v>1100000</v>
      </c>
      <c r="X861" s="1">
        <v>1619999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1482786</v>
      </c>
      <c r="AF861" s="1">
        <v>1111269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7688356</v>
      </c>
      <c r="AM861" s="1">
        <v>0</v>
      </c>
      <c r="AN861" s="1">
        <v>80649652</v>
      </c>
      <c r="AO861" s="1">
        <v>12384336</v>
      </c>
      <c r="AP861" s="1">
        <v>68265316</v>
      </c>
      <c r="AQ861" s="1">
        <v>15557766</v>
      </c>
      <c r="AR861" s="1">
        <v>2333665</v>
      </c>
      <c r="AS861" s="1">
        <v>0</v>
      </c>
      <c r="AT861" s="1">
        <f t="shared" si="91"/>
        <v>98541083</v>
      </c>
    </row>
    <row r="862" spans="1:46">
      <c r="A862" s="1" t="str">
        <f>"00972"</f>
        <v>00972</v>
      </c>
      <c r="B862" s="1" t="str">
        <f>"رضا"</f>
        <v>رضا</v>
      </c>
      <c r="C862" s="1" t="str">
        <f>"مقدم"</f>
        <v>مقدم</v>
      </c>
      <c r="D862" s="1" t="str">
        <f t="shared" si="92"/>
        <v>قراردادي بهره بردار</v>
      </c>
      <c r="E862" s="1" t="str">
        <f t="shared" si="93"/>
        <v>پروژه بهره برداري نيروگاه بوشهر</v>
      </c>
      <c r="F862" s="1">
        <v>20642139</v>
      </c>
      <c r="G862" s="1">
        <v>22770011</v>
      </c>
      <c r="H862" s="1">
        <v>0</v>
      </c>
      <c r="I862" s="1">
        <v>21265667</v>
      </c>
      <c r="J862" s="1">
        <v>0</v>
      </c>
      <c r="K862" s="1">
        <v>5500000</v>
      </c>
      <c r="L862" s="1">
        <v>0</v>
      </c>
      <c r="M862" s="1">
        <v>400000</v>
      </c>
      <c r="N862" s="1">
        <v>3392556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12861269</v>
      </c>
      <c r="W862" s="1">
        <v>1100000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4447575</v>
      </c>
      <c r="AD862" s="1">
        <v>0</v>
      </c>
      <c r="AE862" s="1">
        <v>2423254</v>
      </c>
      <c r="AF862" s="1">
        <v>2222538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4361858</v>
      </c>
      <c r="AM862" s="1">
        <v>0</v>
      </c>
      <c r="AN862" s="1">
        <v>101386867</v>
      </c>
      <c r="AO862" s="1">
        <v>19610327</v>
      </c>
      <c r="AP862" s="1">
        <v>81776540</v>
      </c>
      <c r="AQ862" s="1">
        <v>15557766</v>
      </c>
      <c r="AR862" s="1">
        <v>2333665</v>
      </c>
      <c r="AS862" s="1">
        <v>0</v>
      </c>
      <c r="AT862" s="1">
        <f t="shared" si="91"/>
        <v>119278298</v>
      </c>
    </row>
    <row r="863" spans="1:46">
      <c r="A863" s="1" t="str">
        <f>"00973"</f>
        <v>00973</v>
      </c>
      <c r="B863" s="1" t="str">
        <f>"مجيد"</f>
        <v>مجيد</v>
      </c>
      <c r="C863" s="1" t="str">
        <f>"ملک زاده"</f>
        <v>ملک زاده</v>
      </c>
      <c r="D863" s="1" t="str">
        <f t="shared" si="92"/>
        <v>قراردادي بهره بردار</v>
      </c>
      <c r="E863" s="1" t="str">
        <f t="shared" si="93"/>
        <v>پروژه بهره برداري نيروگاه بوشهر</v>
      </c>
      <c r="F863" s="1">
        <v>11912980</v>
      </c>
      <c r="G863" s="1">
        <v>16511926</v>
      </c>
      <c r="H863" s="1">
        <v>0</v>
      </c>
      <c r="I863" s="1">
        <v>12678602</v>
      </c>
      <c r="J863" s="1">
        <v>0</v>
      </c>
      <c r="K863" s="1">
        <v>4620000</v>
      </c>
      <c r="L863" s="1">
        <v>0</v>
      </c>
      <c r="M863" s="1">
        <v>400000</v>
      </c>
      <c r="N863" s="1">
        <v>2299165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7151030</v>
      </c>
      <c r="W863" s="1">
        <v>1100000</v>
      </c>
      <c r="X863" s="1">
        <v>1786947</v>
      </c>
      <c r="Y863" s="1">
        <v>0</v>
      </c>
      <c r="Z863" s="1">
        <v>0</v>
      </c>
      <c r="AA863" s="1">
        <v>0</v>
      </c>
      <c r="AB863" s="1">
        <v>0</v>
      </c>
      <c r="AC863" s="1">
        <v>1105141</v>
      </c>
      <c r="AD863" s="1">
        <v>0</v>
      </c>
      <c r="AE863" s="1">
        <v>1642261</v>
      </c>
      <c r="AF863" s="1">
        <v>2222538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8500676</v>
      </c>
      <c r="AM863" s="1">
        <v>0</v>
      </c>
      <c r="AN863" s="1">
        <v>71931266</v>
      </c>
      <c r="AO863" s="1">
        <v>15952926</v>
      </c>
      <c r="AP863" s="1">
        <v>55978340</v>
      </c>
      <c r="AQ863" s="1">
        <v>13941746</v>
      </c>
      <c r="AR863" s="1">
        <v>2091262</v>
      </c>
      <c r="AS863" s="1">
        <v>0</v>
      </c>
      <c r="AT863" s="1">
        <f t="shared" si="91"/>
        <v>87964274</v>
      </c>
    </row>
    <row r="864" spans="1:46">
      <c r="A864" s="1" t="str">
        <f>"00974"</f>
        <v>00974</v>
      </c>
      <c r="B864" s="1" t="str">
        <f>"سيدحسين"</f>
        <v>سيدحسين</v>
      </c>
      <c r="C864" s="1" t="str">
        <f>"موسوي"</f>
        <v>موسوي</v>
      </c>
      <c r="D864" s="1" t="str">
        <f t="shared" si="92"/>
        <v>قراردادي بهره بردار</v>
      </c>
      <c r="E864" s="1" t="str">
        <f t="shared" si="93"/>
        <v>پروژه بهره برداري نيروگاه بوشهر</v>
      </c>
      <c r="F864" s="1">
        <v>11750444</v>
      </c>
      <c r="G864" s="1">
        <v>15362633</v>
      </c>
      <c r="H864" s="1">
        <v>0</v>
      </c>
      <c r="I864" s="1">
        <v>11613347</v>
      </c>
      <c r="J864" s="1">
        <v>0</v>
      </c>
      <c r="K864" s="1">
        <v>3465000</v>
      </c>
      <c r="L864" s="1">
        <v>0</v>
      </c>
      <c r="M864" s="1">
        <v>400000</v>
      </c>
      <c r="N864" s="1">
        <v>2228409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6653291</v>
      </c>
      <c r="W864" s="1">
        <v>1100000</v>
      </c>
      <c r="X864" s="1">
        <v>1762567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1591721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8300297</v>
      </c>
      <c r="AM864" s="1">
        <v>0</v>
      </c>
      <c r="AN864" s="1">
        <v>64227709</v>
      </c>
      <c r="AO864" s="1">
        <v>13367589</v>
      </c>
      <c r="AP864" s="1">
        <v>50860120</v>
      </c>
      <c r="AQ864" s="1">
        <v>12845542</v>
      </c>
      <c r="AR864" s="1">
        <v>1926831</v>
      </c>
      <c r="AS864" s="1">
        <v>0</v>
      </c>
      <c r="AT864" s="1">
        <f t="shared" si="91"/>
        <v>79000082</v>
      </c>
    </row>
    <row r="865" spans="1:46">
      <c r="A865" s="1" t="str">
        <f>"00975"</f>
        <v>00975</v>
      </c>
      <c r="B865" s="1" t="str">
        <f>"سيدعلي"</f>
        <v>سيدعلي</v>
      </c>
      <c r="C865" s="1" t="str">
        <f>"موسوي"</f>
        <v>موسوي</v>
      </c>
      <c r="D865" s="1" t="str">
        <f t="shared" si="92"/>
        <v>قراردادي بهره بردار</v>
      </c>
      <c r="E865" s="1" t="str">
        <f t="shared" si="93"/>
        <v>پروژه بهره برداري نيروگاه بوشهر</v>
      </c>
      <c r="F865" s="1">
        <v>11510389</v>
      </c>
      <c r="G865" s="1">
        <v>14843546</v>
      </c>
      <c r="H865" s="1">
        <v>0</v>
      </c>
      <c r="I865" s="1">
        <v>11147101</v>
      </c>
      <c r="J865" s="1">
        <v>0</v>
      </c>
      <c r="K865" s="1">
        <v>4620000</v>
      </c>
      <c r="L865" s="1">
        <v>0</v>
      </c>
      <c r="M865" s="1">
        <v>400000</v>
      </c>
      <c r="N865" s="1">
        <v>2138103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1270000</v>
      </c>
      <c r="U865" s="1">
        <v>0</v>
      </c>
      <c r="V865" s="1">
        <v>6356151</v>
      </c>
      <c r="W865" s="1">
        <v>1100000</v>
      </c>
      <c r="X865" s="1">
        <v>1726558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1527216</v>
      </c>
      <c r="AF865" s="1">
        <v>2222538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8034766</v>
      </c>
      <c r="AM865" s="1">
        <v>0</v>
      </c>
      <c r="AN865" s="1">
        <v>66896368</v>
      </c>
      <c r="AO865" s="1">
        <v>17408571</v>
      </c>
      <c r="AP865" s="1">
        <v>49487797</v>
      </c>
      <c r="AQ865" s="1">
        <v>12680766</v>
      </c>
      <c r="AR865" s="1">
        <v>1902115</v>
      </c>
      <c r="AS865" s="1">
        <v>0</v>
      </c>
      <c r="AT865" s="1">
        <f t="shared" si="91"/>
        <v>81479249</v>
      </c>
    </row>
    <row r="866" spans="1:46">
      <c r="A866" s="1" t="str">
        <f>"00977"</f>
        <v>00977</v>
      </c>
      <c r="B866" s="1" t="str">
        <f>"عادل"</f>
        <v>عادل</v>
      </c>
      <c r="C866" s="1" t="str">
        <f>"نامداري"</f>
        <v>نامداري</v>
      </c>
      <c r="D866" s="1" t="str">
        <f t="shared" si="92"/>
        <v>قراردادي بهره بردار</v>
      </c>
      <c r="E866" s="1" t="str">
        <f t="shared" si="93"/>
        <v>پروژه بهره برداري نيروگاه بوشهر</v>
      </c>
      <c r="F866" s="1">
        <v>12659399</v>
      </c>
      <c r="G866" s="1">
        <v>24579543</v>
      </c>
      <c r="H866" s="1">
        <v>0</v>
      </c>
      <c r="I866" s="1">
        <v>14243953</v>
      </c>
      <c r="J866" s="1">
        <v>0</v>
      </c>
      <c r="K866" s="1">
        <v>4620000</v>
      </c>
      <c r="L866" s="1">
        <v>0</v>
      </c>
      <c r="M866" s="1">
        <v>400000</v>
      </c>
      <c r="N866" s="1">
        <v>2579642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1270000</v>
      </c>
      <c r="U866" s="1">
        <v>0</v>
      </c>
      <c r="V866" s="1">
        <v>7827187</v>
      </c>
      <c r="W866" s="1">
        <v>1100000</v>
      </c>
      <c r="X866" s="1">
        <v>1898910</v>
      </c>
      <c r="Y866" s="1">
        <v>0</v>
      </c>
      <c r="Z866" s="1">
        <v>0</v>
      </c>
      <c r="AA866" s="1">
        <v>0</v>
      </c>
      <c r="AB866" s="1">
        <v>0</v>
      </c>
      <c r="AC866" s="1">
        <v>1093778</v>
      </c>
      <c r="AD866" s="1">
        <v>0</v>
      </c>
      <c r="AE866" s="1">
        <v>1842602</v>
      </c>
      <c r="AF866" s="1">
        <v>1111269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9325626</v>
      </c>
      <c r="AM866" s="1">
        <v>0</v>
      </c>
      <c r="AN866" s="1">
        <v>84551909</v>
      </c>
      <c r="AO866" s="1">
        <v>18410661</v>
      </c>
      <c r="AP866" s="1">
        <v>66141248</v>
      </c>
      <c r="AQ866" s="1">
        <v>15557766</v>
      </c>
      <c r="AR866" s="1">
        <v>2333665</v>
      </c>
      <c r="AS866" s="1">
        <v>0</v>
      </c>
      <c r="AT866" s="1">
        <f t="shared" si="91"/>
        <v>102443340</v>
      </c>
    </row>
    <row r="867" spans="1:46">
      <c r="A867" s="1" t="str">
        <f>"00978"</f>
        <v>00978</v>
      </c>
      <c r="B867" s="1" t="str">
        <f>"محسن"</f>
        <v>محسن</v>
      </c>
      <c r="C867" s="1" t="str">
        <f>"نجفي سيار"</f>
        <v>نجفي سيار</v>
      </c>
      <c r="D867" s="1" t="str">
        <f t="shared" si="92"/>
        <v>قراردادي بهره بردار</v>
      </c>
      <c r="E867" s="1" t="str">
        <f t="shared" si="93"/>
        <v>پروژه بهره برداري نيروگاه بوشهر</v>
      </c>
      <c r="F867" s="1">
        <v>13829712</v>
      </c>
      <c r="G867" s="1">
        <v>18804367</v>
      </c>
      <c r="H867" s="1">
        <v>0</v>
      </c>
      <c r="I867" s="1">
        <v>15536546</v>
      </c>
      <c r="J867" s="1">
        <v>0</v>
      </c>
      <c r="K867" s="1">
        <v>4620000</v>
      </c>
      <c r="L867" s="1">
        <v>0</v>
      </c>
      <c r="M867" s="1">
        <v>400000</v>
      </c>
      <c r="N867" s="1">
        <v>2708259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8672874</v>
      </c>
      <c r="W867" s="1">
        <v>1100000</v>
      </c>
      <c r="X867" s="1">
        <v>2074457</v>
      </c>
      <c r="Y867" s="1">
        <v>0</v>
      </c>
      <c r="Z867" s="1">
        <v>0</v>
      </c>
      <c r="AA867" s="1">
        <v>0</v>
      </c>
      <c r="AB867" s="1">
        <v>0</v>
      </c>
      <c r="AC867" s="1">
        <v>1092576</v>
      </c>
      <c r="AD867" s="1">
        <v>0</v>
      </c>
      <c r="AE867" s="1">
        <v>1934470</v>
      </c>
      <c r="AF867" s="1">
        <v>1111269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9952326</v>
      </c>
      <c r="AM867" s="1">
        <v>0</v>
      </c>
      <c r="AN867" s="1">
        <v>81836856</v>
      </c>
      <c r="AO867" s="1">
        <v>15699981</v>
      </c>
      <c r="AP867" s="1">
        <v>66136875</v>
      </c>
      <c r="AQ867" s="1">
        <v>15557766</v>
      </c>
      <c r="AR867" s="1">
        <v>2333665</v>
      </c>
      <c r="AS867" s="1">
        <v>0</v>
      </c>
      <c r="AT867" s="1">
        <f t="shared" si="91"/>
        <v>99728287</v>
      </c>
    </row>
    <row r="868" spans="1:46">
      <c r="A868" s="1" t="str">
        <f>"00979"</f>
        <v>00979</v>
      </c>
      <c r="B868" s="1" t="str">
        <f>"محسن"</f>
        <v>محسن</v>
      </c>
      <c r="C868" s="1" t="str">
        <f>"نوروزي"</f>
        <v>نوروزي</v>
      </c>
      <c r="D868" s="1" t="str">
        <f t="shared" si="92"/>
        <v>قراردادي بهره بردار</v>
      </c>
      <c r="E868" s="1" t="str">
        <f t="shared" si="93"/>
        <v>پروژه بهره برداري نيروگاه بوشهر</v>
      </c>
      <c r="F868" s="1">
        <v>10835143</v>
      </c>
      <c r="G868" s="1">
        <v>21100574</v>
      </c>
      <c r="H868" s="1">
        <v>0</v>
      </c>
      <c r="I868" s="1">
        <v>9299905</v>
      </c>
      <c r="J868" s="1">
        <v>0</v>
      </c>
      <c r="K868" s="1">
        <v>0</v>
      </c>
      <c r="L868" s="1">
        <v>0</v>
      </c>
      <c r="M868" s="1">
        <v>400000</v>
      </c>
      <c r="N868" s="1">
        <v>1874955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1270000</v>
      </c>
      <c r="U868" s="1">
        <v>0</v>
      </c>
      <c r="V868" s="1">
        <v>5439460</v>
      </c>
      <c r="W868" s="1">
        <v>1100000</v>
      </c>
      <c r="X868" s="1">
        <v>1625271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1339254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5661200</v>
      </c>
      <c r="AM868" s="1">
        <v>0</v>
      </c>
      <c r="AN868" s="1">
        <v>59945762</v>
      </c>
      <c r="AO868" s="1">
        <v>13538821</v>
      </c>
      <c r="AP868" s="1">
        <v>46406941</v>
      </c>
      <c r="AQ868" s="1">
        <v>11735152</v>
      </c>
      <c r="AR868" s="1">
        <v>1760273</v>
      </c>
      <c r="AS868" s="1">
        <v>0</v>
      </c>
      <c r="AT868" s="1">
        <f t="shared" si="91"/>
        <v>73441187</v>
      </c>
    </row>
    <row r="869" spans="1:46">
      <c r="A869" s="1" t="str">
        <f>"00980"</f>
        <v>00980</v>
      </c>
      <c r="B869" s="1" t="str">
        <f>"سيدجواد"</f>
        <v>سيدجواد</v>
      </c>
      <c r="C869" s="1" t="str">
        <f>"هاشمي"</f>
        <v>هاشمي</v>
      </c>
      <c r="D869" s="1" t="str">
        <f t="shared" si="92"/>
        <v>قراردادي بهره بردار</v>
      </c>
      <c r="E869" s="1" t="str">
        <f t="shared" si="93"/>
        <v>پروژه بهره برداري نيروگاه بوشهر</v>
      </c>
      <c r="F869" s="1">
        <v>11484081</v>
      </c>
      <c r="G869" s="1">
        <v>23148163</v>
      </c>
      <c r="H869" s="1">
        <v>0</v>
      </c>
      <c r="I869" s="1">
        <v>11439130</v>
      </c>
      <c r="J869" s="1">
        <v>0</v>
      </c>
      <c r="K869" s="1">
        <v>4620000</v>
      </c>
      <c r="L869" s="1">
        <v>0</v>
      </c>
      <c r="M869" s="1">
        <v>400000</v>
      </c>
      <c r="N869" s="1">
        <v>2135922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1270000</v>
      </c>
      <c r="U869" s="1">
        <v>0</v>
      </c>
      <c r="V869" s="1">
        <v>6608180</v>
      </c>
      <c r="W869" s="1">
        <v>1100000</v>
      </c>
      <c r="X869" s="1">
        <v>1722612</v>
      </c>
      <c r="Y869" s="1">
        <v>0</v>
      </c>
      <c r="Z869" s="1">
        <v>0</v>
      </c>
      <c r="AA869" s="1">
        <v>0</v>
      </c>
      <c r="AB869" s="1">
        <v>0</v>
      </c>
      <c r="AC869" s="1">
        <v>1112898</v>
      </c>
      <c r="AD869" s="1">
        <v>0</v>
      </c>
      <c r="AE869" s="1">
        <v>1525659</v>
      </c>
      <c r="AF869" s="1">
        <v>2222538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8022199</v>
      </c>
      <c r="AM869" s="1">
        <v>0</v>
      </c>
      <c r="AN869" s="1">
        <v>76811382</v>
      </c>
      <c r="AO869" s="1">
        <v>15113225</v>
      </c>
      <c r="AP869" s="1">
        <v>61698157</v>
      </c>
      <c r="AQ869" s="1">
        <v>14663769</v>
      </c>
      <c r="AR869" s="1">
        <v>2199565</v>
      </c>
      <c r="AS869" s="1">
        <v>0</v>
      </c>
      <c r="AT869" s="1">
        <f t="shared" si="91"/>
        <v>93674716</v>
      </c>
    </row>
    <row r="870" spans="1:46">
      <c r="A870" s="1" t="str">
        <f>"00981"</f>
        <v>00981</v>
      </c>
      <c r="B870" s="1" t="str">
        <f>"حسين"</f>
        <v>حسين</v>
      </c>
      <c r="C870" s="1" t="str">
        <f>"هاشمي پور"</f>
        <v>هاشمي پور</v>
      </c>
      <c r="D870" s="1" t="str">
        <f t="shared" si="92"/>
        <v>قراردادي بهره بردار</v>
      </c>
      <c r="E870" s="1" t="str">
        <f t="shared" si="93"/>
        <v>پروژه بهره برداري نيروگاه بوشهر</v>
      </c>
      <c r="F870" s="1">
        <v>12664563</v>
      </c>
      <c r="G870" s="1">
        <v>7638575</v>
      </c>
      <c r="H870" s="1">
        <v>0</v>
      </c>
      <c r="I870" s="1">
        <v>11995172</v>
      </c>
      <c r="J870" s="1">
        <v>0</v>
      </c>
      <c r="K870" s="1">
        <v>4620000</v>
      </c>
      <c r="L870" s="1">
        <v>0</v>
      </c>
      <c r="M870" s="1">
        <v>400000</v>
      </c>
      <c r="N870" s="1">
        <v>2438800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6126175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1742000</v>
      </c>
      <c r="AF870" s="1">
        <v>2222538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3832401</v>
      </c>
      <c r="AM870" s="1">
        <v>0</v>
      </c>
      <c r="AN870" s="1">
        <v>54780224</v>
      </c>
      <c r="AO870" s="1">
        <v>8176378</v>
      </c>
      <c r="AP870" s="1">
        <v>46603846</v>
      </c>
      <c r="AQ870" s="1">
        <v>10511537</v>
      </c>
      <c r="AR870" s="1">
        <v>1576731</v>
      </c>
      <c r="AS870" s="1">
        <v>0</v>
      </c>
      <c r="AT870" s="1">
        <f t="shared" si="91"/>
        <v>66868492</v>
      </c>
    </row>
    <row r="871" spans="1:46">
      <c r="A871" s="1" t="str">
        <f>"00982"</f>
        <v>00982</v>
      </c>
      <c r="B871" s="1" t="str">
        <f>"سياوش"</f>
        <v>سياوش</v>
      </c>
      <c r="C871" s="1" t="str">
        <f>"جهانديده"</f>
        <v>جهانديده</v>
      </c>
      <c r="D871" s="1" t="str">
        <f t="shared" si="92"/>
        <v>قراردادي بهره بردار</v>
      </c>
      <c r="E871" s="1" t="str">
        <f t="shared" si="93"/>
        <v>پروژه بهره برداري نيروگاه بوشهر</v>
      </c>
      <c r="F871" s="1">
        <v>9480752</v>
      </c>
      <c r="G871" s="1">
        <v>2238649</v>
      </c>
      <c r="H871" s="1">
        <v>0</v>
      </c>
      <c r="I871" s="1">
        <v>8534878</v>
      </c>
      <c r="J871" s="1">
        <v>0</v>
      </c>
      <c r="K871" s="1">
        <v>4620000</v>
      </c>
      <c r="L871" s="1">
        <v>0</v>
      </c>
      <c r="M871" s="1">
        <v>400000</v>
      </c>
      <c r="N871" s="1">
        <v>1572157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1270000</v>
      </c>
      <c r="U871" s="1">
        <v>0</v>
      </c>
      <c r="V871" s="1">
        <v>4055362</v>
      </c>
      <c r="W871" s="1">
        <v>1100000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1122969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3144313</v>
      </c>
      <c r="AM871" s="1">
        <v>0</v>
      </c>
      <c r="AN871" s="1">
        <v>37539080</v>
      </c>
      <c r="AO871" s="1">
        <v>8107575</v>
      </c>
      <c r="AP871" s="1">
        <v>29431505</v>
      </c>
      <c r="AQ871" s="1">
        <v>7253816</v>
      </c>
      <c r="AR871" s="1">
        <v>1088072</v>
      </c>
      <c r="AS871" s="1">
        <v>0</v>
      </c>
      <c r="AT871" s="1">
        <f t="shared" si="91"/>
        <v>45880968</v>
      </c>
    </row>
    <row r="872" spans="1:46">
      <c r="A872" s="1" t="str">
        <f>"00983"</f>
        <v>00983</v>
      </c>
      <c r="B872" s="1" t="str">
        <f>"جليل"</f>
        <v>جليل</v>
      </c>
      <c r="C872" s="1" t="str">
        <f>"جليليان"</f>
        <v>جليليان</v>
      </c>
      <c r="D872" s="1" t="str">
        <f t="shared" si="92"/>
        <v>قراردادي بهره بردار</v>
      </c>
      <c r="E872" s="1" t="str">
        <f t="shared" si="93"/>
        <v>پروژه بهره برداري نيروگاه بوشهر</v>
      </c>
      <c r="F872" s="1">
        <v>11956504</v>
      </c>
      <c r="G872" s="1">
        <v>14757480</v>
      </c>
      <c r="H872" s="1">
        <v>0</v>
      </c>
      <c r="I872" s="1">
        <v>10771740</v>
      </c>
      <c r="J872" s="1">
        <v>0</v>
      </c>
      <c r="K872" s="1">
        <v>0</v>
      </c>
      <c r="L872" s="1">
        <v>0</v>
      </c>
      <c r="M872" s="1">
        <v>400000</v>
      </c>
      <c r="N872" s="1">
        <v>1894216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1270000</v>
      </c>
      <c r="U872" s="1">
        <v>0</v>
      </c>
      <c r="V872" s="1">
        <v>3679787</v>
      </c>
      <c r="W872" s="1">
        <v>1100000</v>
      </c>
      <c r="X872" s="1">
        <v>1793476</v>
      </c>
      <c r="Y872" s="1">
        <v>0</v>
      </c>
      <c r="Z872" s="1">
        <v>4097003</v>
      </c>
      <c r="AA872" s="1">
        <v>0</v>
      </c>
      <c r="AB872" s="1">
        <v>0</v>
      </c>
      <c r="AC872" s="1">
        <v>0</v>
      </c>
      <c r="AD872" s="1">
        <v>0</v>
      </c>
      <c r="AE872" s="1">
        <v>1353012</v>
      </c>
      <c r="AF872" s="1">
        <v>2222538</v>
      </c>
      <c r="AG872" s="1">
        <v>3176415</v>
      </c>
      <c r="AH872" s="1">
        <v>0</v>
      </c>
      <c r="AI872" s="1">
        <v>0</v>
      </c>
      <c r="AJ872" s="1">
        <v>0</v>
      </c>
      <c r="AK872" s="1">
        <v>0</v>
      </c>
      <c r="AL872" s="1">
        <v>7645986</v>
      </c>
      <c r="AM872" s="1">
        <v>0</v>
      </c>
      <c r="AN872" s="1">
        <v>66118157</v>
      </c>
      <c r="AO872" s="1">
        <v>7096381</v>
      </c>
      <c r="AP872" s="1">
        <v>59021776</v>
      </c>
      <c r="AQ872" s="1">
        <v>11705723</v>
      </c>
      <c r="AR872" s="1">
        <v>1755858</v>
      </c>
      <c r="AS872" s="1">
        <v>2650000</v>
      </c>
      <c r="AT872" s="1">
        <f t="shared" si="91"/>
        <v>82229738</v>
      </c>
    </row>
    <row r="873" spans="1:46">
      <c r="A873" s="1" t="str">
        <f>"01129"</f>
        <v>01129</v>
      </c>
      <c r="B873" s="1" t="str">
        <f>"علي"</f>
        <v>علي</v>
      </c>
      <c r="C873" s="1" t="str">
        <f>"نيک"</f>
        <v>نيک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7440430</v>
      </c>
      <c r="G873" s="1">
        <v>6710885</v>
      </c>
      <c r="H873" s="1">
        <v>0</v>
      </c>
      <c r="I873" s="1">
        <v>5803536</v>
      </c>
      <c r="J873" s="1">
        <v>0</v>
      </c>
      <c r="K873" s="1">
        <v>0</v>
      </c>
      <c r="L873" s="1">
        <v>3620700</v>
      </c>
      <c r="M873" s="1">
        <v>400000</v>
      </c>
      <c r="N873" s="1">
        <v>3916016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2228068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2222538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33442173</v>
      </c>
      <c r="AO873" s="1">
        <v>7468807</v>
      </c>
      <c r="AP873" s="1">
        <v>25973366</v>
      </c>
      <c r="AQ873" s="1">
        <v>6243927</v>
      </c>
      <c r="AR873" s="1">
        <v>936589</v>
      </c>
      <c r="AS873" s="1">
        <v>0</v>
      </c>
      <c r="AT873" s="1">
        <f t="shared" si="91"/>
        <v>40622689</v>
      </c>
    </row>
    <row r="874" spans="1:46">
      <c r="A874" s="1" t="str">
        <f>"01130"</f>
        <v>01130</v>
      </c>
      <c r="B874" s="1" t="str">
        <f>"علي"</f>
        <v>علي</v>
      </c>
      <c r="C874" s="1" t="str">
        <f>"فرريزي"</f>
        <v>فرريزي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5523882</v>
      </c>
      <c r="G874" s="1">
        <v>3317130</v>
      </c>
      <c r="H874" s="1">
        <v>0</v>
      </c>
      <c r="I874" s="1">
        <v>3314329</v>
      </c>
      <c r="J874" s="1">
        <v>0</v>
      </c>
      <c r="K874" s="1">
        <v>0</v>
      </c>
      <c r="L874" s="1">
        <v>3620700</v>
      </c>
      <c r="M874" s="1">
        <v>400000</v>
      </c>
      <c r="N874" s="1">
        <v>2946070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3550046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1111269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24883426</v>
      </c>
      <c r="AO874" s="1">
        <v>5515614</v>
      </c>
      <c r="AP874" s="1">
        <v>19367812</v>
      </c>
      <c r="AQ874" s="1">
        <v>4754431</v>
      </c>
      <c r="AR874" s="1">
        <v>713165</v>
      </c>
      <c r="AS874" s="1">
        <v>795000</v>
      </c>
      <c r="AT874" s="1">
        <f t="shared" si="91"/>
        <v>31146022</v>
      </c>
    </row>
    <row r="875" spans="1:46">
      <c r="A875" s="1" t="str">
        <f>"01131"</f>
        <v>01131</v>
      </c>
      <c r="B875" s="1" t="str">
        <f>"يونس"</f>
        <v>يونس</v>
      </c>
      <c r="C875" s="1" t="str">
        <f>"جمالي"</f>
        <v>جمالي</v>
      </c>
      <c r="D875" s="1" t="str">
        <f>"قراردادي کارگري"</f>
        <v>قراردادي کارگري</v>
      </c>
      <c r="E875" s="1" t="str">
        <f>"پروژه تعميرات نيروگاه بوشهر"</f>
        <v>پروژه تعميرات نيروگاه بوشهر</v>
      </c>
      <c r="F875" s="1">
        <v>4427188</v>
      </c>
      <c r="G875" s="1">
        <v>9867823</v>
      </c>
      <c r="H875" s="1">
        <v>0</v>
      </c>
      <c r="I875" s="1">
        <v>2744857</v>
      </c>
      <c r="J875" s="1">
        <v>0</v>
      </c>
      <c r="K875" s="1">
        <v>0</v>
      </c>
      <c r="L875" s="1">
        <v>5675700</v>
      </c>
      <c r="M875" s="1">
        <v>400000</v>
      </c>
      <c r="N875" s="1">
        <v>2184467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5166317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3333807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34900159</v>
      </c>
      <c r="AO875" s="1">
        <v>3821426</v>
      </c>
      <c r="AP875" s="1">
        <v>31078733</v>
      </c>
      <c r="AQ875" s="1">
        <v>6313270</v>
      </c>
      <c r="AR875" s="1">
        <v>946991</v>
      </c>
      <c r="AS875" s="1">
        <v>0</v>
      </c>
      <c r="AT875" s="1">
        <f t="shared" si="91"/>
        <v>42160420</v>
      </c>
    </row>
    <row r="876" spans="1:46">
      <c r="A876" s="1" t="str">
        <f>"01132"</f>
        <v>01132</v>
      </c>
      <c r="B876" s="1" t="str">
        <f>"بهبود"</f>
        <v>بهبود</v>
      </c>
      <c r="C876" s="1" t="str">
        <f>"ايازي"</f>
        <v>ايازي</v>
      </c>
      <c r="D876" s="1" t="str">
        <f>"قراردادي بهره بردار"</f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23129187</v>
      </c>
      <c r="G876" s="1">
        <v>14766768</v>
      </c>
      <c r="H876" s="1">
        <v>0</v>
      </c>
      <c r="I876" s="1">
        <v>18136519</v>
      </c>
      <c r="J876" s="1">
        <v>0</v>
      </c>
      <c r="K876" s="1">
        <v>5500000</v>
      </c>
      <c r="L876" s="1">
        <v>0</v>
      </c>
      <c r="M876" s="1">
        <v>400000</v>
      </c>
      <c r="N876" s="1">
        <v>3685018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16062147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2632156</v>
      </c>
      <c r="AF876" s="1">
        <v>1111269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11360778</v>
      </c>
      <c r="AM876" s="1">
        <v>0</v>
      </c>
      <c r="AN876" s="1">
        <v>97883842</v>
      </c>
      <c r="AO876" s="1">
        <v>21572557</v>
      </c>
      <c r="AP876" s="1">
        <v>76311285</v>
      </c>
      <c r="AQ876" s="1">
        <v>15557766</v>
      </c>
      <c r="AR876" s="1">
        <v>2333665</v>
      </c>
      <c r="AS876" s="1">
        <v>0</v>
      </c>
      <c r="AT876" s="1">
        <f t="shared" si="91"/>
        <v>115775273</v>
      </c>
    </row>
    <row r="877" spans="1:46">
      <c r="A877" s="1" t="str">
        <f>"01133"</f>
        <v>01133</v>
      </c>
      <c r="B877" s="1" t="str">
        <f>"وحيد"</f>
        <v>وحيد</v>
      </c>
      <c r="C877" s="1" t="str">
        <f>"فولادي تنها"</f>
        <v>فولادي تنها</v>
      </c>
      <c r="D877" s="1" t="str">
        <f>"قراردادي کارگري"</f>
        <v>قراردادي کارگري</v>
      </c>
      <c r="E877" s="1" t="str">
        <f>"پروژه تعميرات نيروگاه بوشهر"</f>
        <v>پروژه تعميرات نيروگاه بوشهر</v>
      </c>
      <c r="F877" s="1">
        <v>5246904</v>
      </c>
      <c r="G877" s="1">
        <v>2266062</v>
      </c>
      <c r="H877" s="1">
        <v>0</v>
      </c>
      <c r="I877" s="1">
        <v>3148142</v>
      </c>
      <c r="J877" s="1">
        <v>0</v>
      </c>
      <c r="K877" s="1">
        <v>0</v>
      </c>
      <c r="L877" s="1">
        <v>3620700</v>
      </c>
      <c r="M877" s="1">
        <v>400000</v>
      </c>
      <c r="N877" s="1">
        <v>2798349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3466745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22046902</v>
      </c>
      <c r="AO877" s="1">
        <v>5300528</v>
      </c>
      <c r="AP877" s="1">
        <v>16746374</v>
      </c>
      <c r="AQ877" s="1">
        <v>4409380</v>
      </c>
      <c r="AR877" s="1">
        <v>661407</v>
      </c>
      <c r="AS877" s="1">
        <v>530000</v>
      </c>
      <c r="AT877" s="1">
        <f t="shared" si="91"/>
        <v>27647689</v>
      </c>
    </row>
    <row r="878" spans="1:46">
      <c r="A878" s="1" t="str">
        <f>"01134"</f>
        <v>01134</v>
      </c>
      <c r="B878" s="1" t="str">
        <f>"سيد جمال الدين"</f>
        <v>سيد جمال الدين</v>
      </c>
      <c r="C878" s="1" t="str">
        <f>"موسوي نژاد"</f>
        <v>موسوي نژاد</v>
      </c>
      <c r="D878" s="1" t="str">
        <f t="shared" ref="D878:D884" si="94">"قراردادي بهره بردار"</f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25508415</v>
      </c>
      <c r="G878" s="1">
        <v>8746208</v>
      </c>
      <c r="H878" s="1">
        <v>0</v>
      </c>
      <c r="I878" s="1">
        <v>19012768</v>
      </c>
      <c r="J878" s="1">
        <v>0</v>
      </c>
      <c r="K878" s="1">
        <v>5500000</v>
      </c>
      <c r="L878" s="1">
        <v>0</v>
      </c>
      <c r="M878" s="1">
        <v>400000</v>
      </c>
      <c r="N878" s="1">
        <v>4741654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5739139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3386896</v>
      </c>
      <c r="AF878" s="1">
        <v>1111269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4741654</v>
      </c>
      <c r="AM878" s="1">
        <v>0</v>
      </c>
      <c r="AN878" s="1">
        <v>79988003</v>
      </c>
      <c r="AO878" s="1">
        <v>21177853</v>
      </c>
      <c r="AP878" s="1">
        <v>58810150</v>
      </c>
      <c r="AQ878" s="1">
        <v>15557766</v>
      </c>
      <c r="AR878" s="1">
        <v>2333665</v>
      </c>
      <c r="AS878" s="1">
        <v>0</v>
      </c>
      <c r="AT878" s="1">
        <f t="shared" si="91"/>
        <v>97879434</v>
      </c>
    </row>
    <row r="879" spans="1:46">
      <c r="A879" s="1" t="str">
        <f>"01135"</f>
        <v>01135</v>
      </c>
      <c r="B879" s="1" t="str">
        <f>"سامان"</f>
        <v>سامان</v>
      </c>
      <c r="C879" s="1" t="str">
        <f>"تجلي"</f>
        <v>تجلي</v>
      </c>
      <c r="D879" s="1" t="str">
        <f t="shared" si="94"/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13777901</v>
      </c>
      <c r="G879" s="1">
        <v>0</v>
      </c>
      <c r="H879" s="1">
        <v>0</v>
      </c>
      <c r="I879" s="1">
        <v>7126791</v>
      </c>
      <c r="J879" s="1">
        <v>0</v>
      </c>
      <c r="K879" s="1">
        <v>4125000</v>
      </c>
      <c r="L879" s="1">
        <v>0</v>
      </c>
      <c r="M879" s="1">
        <v>400000</v>
      </c>
      <c r="N879" s="1">
        <v>2083540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2685766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1488243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2381189</v>
      </c>
      <c r="AM879" s="1">
        <v>0</v>
      </c>
      <c r="AN879" s="1">
        <v>35168430</v>
      </c>
      <c r="AO879" s="1">
        <v>5293193</v>
      </c>
      <c r="AP879" s="1">
        <v>29875237</v>
      </c>
      <c r="AQ879" s="1">
        <v>7033686</v>
      </c>
      <c r="AR879" s="1">
        <v>1055053</v>
      </c>
      <c r="AS879" s="1">
        <v>0</v>
      </c>
      <c r="AT879" s="1">
        <f t="shared" si="91"/>
        <v>43257169</v>
      </c>
    </row>
    <row r="880" spans="1:46">
      <c r="A880" s="1" t="str">
        <f>"01136"</f>
        <v>01136</v>
      </c>
      <c r="B880" s="1" t="str">
        <f>"مجتبي"</f>
        <v>مجتبي</v>
      </c>
      <c r="C880" s="1" t="str">
        <f>"جان احمدي"</f>
        <v>جان احمدي</v>
      </c>
      <c r="D880" s="1" t="str">
        <f t="shared" si="94"/>
        <v>قراردادي بهره بردار</v>
      </c>
      <c r="E880" s="1" t="str">
        <f>"پروژه بهره برداري نيروگاه بوشهر"</f>
        <v>پروژه بهره برداري نيروگاه بوشهر</v>
      </c>
      <c r="F880" s="1">
        <v>13364580</v>
      </c>
      <c r="G880" s="1">
        <v>13203884</v>
      </c>
      <c r="H880" s="1">
        <v>3353367</v>
      </c>
      <c r="I880" s="1">
        <v>9320263</v>
      </c>
      <c r="J880" s="1">
        <v>0</v>
      </c>
      <c r="K880" s="1">
        <v>5500000</v>
      </c>
      <c r="L880" s="1">
        <v>0</v>
      </c>
      <c r="M880" s="1">
        <v>400000</v>
      </c>
      <c r="N880" s="1">
        <v>1962398</v>
      </c>
      <c r="O880" s="1">
        <v>0</v>
      </c>
      <c r="P880" s="1">
        <v>0</v>
      </c>
      <c r="Q880" s="1">
        <v>0</v>
      </c>
      <c r="R880" s="1">
        <v>0</v>
      </c>
      <c r="S880" s="1">
        <v>508500</v>
      </c>
      <c r="T880" s="1">
        <v>0</v>
      </c>
      <c r="U880" s="1">
        <v>0</v>
      </c>
      <c r="V880" s="1">
        <v>5354116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1401713</v>
      </c>
      <c r="AF880" s="1">
        <v>1111269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2130604</v>
      </c>
      <c r="AM880" s="1">
        <v>0</v>
      </c>
      <c r="AN880" s="1">
        <v>58710694</v>
      </c>
      <c r="AO880" s="1">
        <v>8990599</v>
      </c>
      <c r="AP880" s="1">
        <v>49720095</v>
      </c>
      <c r="AQ880" s="1">
        <v>10747512</v>
      </c>
      <c r="AR880" s="1">
        <v>1612127</v>
      </c>
      <c r="AS880" s="1">
        <v>0</v>
      </c>
      <c r="AT880" s="1">
        <f t="shared" si="91"/>
        <v>71070333</v>
      </c>
    </row>
    <row r="881" spans="1:46">
      <c r="A881" s="1" t="str">
        <f>"01137"</f>
        <v>01137</v>
      </c>
      <c r="B881" s="1" t="str">
        <f>"سيد حسن"</f>
        <v>سيد حسن</v>
      </c>
      <c r="C881" s="1" t="str">
        <f>"موسوي"</f>
        <v>موسوي</v>
      </c>
      <c r="D881" s="1" t="str">
        <f t="shared" si="94"/>
        <v>قراردادي بهره بردار</v>
      </c>
      <c r="E881" s="1" t="str">
        <f>"پروژه بهره برداري نيروگاه بوشهر"</f>
        <v>پروژه بهره برداري نيروگاه بوشهر</v>
      </c>
      <c r="F881" s="1">
        <v>17146077</v>
      </c>
      <c r="G881" s="1">
        <v>13767114</v>
      </c>
      <c r="H881" s="1">
        <v>0</v>
      </c>
      <c r="I881" s="1">
        <v>14597806</v>
      </c>
      <c r="J881" s="1">
        <v>0</v>
      </c>
      <c r="K881" s="1">
        <v>5500000</v>
      </c>
      <c r="L881" s="1">
        <v>0</v>
      </c>
      <c r="M881" s="1">
        <v>400000</v>
      </c>
      <c r="N881" s="1">
        <v>2112802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3814266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1509144</v>
      </c>
      <c r="AF881" s="1">
        <v>1111269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2776825</v>
      </c>
      <c r="AM881" s="1">
        <v>0</v>
      </c>
      <c r="AN881" s="1">
        <v>63835303</v>
      </c>
      <c r="AO881" s="1">
        <v>15470344</v>
      </c>
      <c r="AP881" s="1">
        <v>48364959</v>
      </c>
      <c r="AQ881" s="1">
        <v>12544807</v>
      </c>
      <c r="AR881" s="1">
        <v>1881721</v>
      </c>
      <c r="AS881" s="1">
        <v>0</v>
      </c>
      <c r="AT881" s="1">
        <f t="shared" si="91"/>
        <v>78261831</v>
      </c>
    </row>
    <row r="882" spans="1:46">
      <c r="A882" s="1" t="str">
        <f>"01138"</f>
        <v>01138</v>
      </c>
      <c r="B882" s="1" t="str">
        <f>"آرمان"</f>
        <v>آرمان</v>
      </c>
      <c r="C882" s="1" t="str">
        <f>"زنده بودي"</f>
        <v>زنده بودي</v>
      </c>
      <c r="D882" s="1" t="str">
        <f t="shared" si="94"/>
        <v>قراردادي بهره بردار</v>
      </c>
      <c r="E882" s="1" t="str">
        <f>"پروژه تعميرات نيروگاه بوشهر"</f>
        <v>پروژه تعميرات نيروگاه بوشهر</v>
      </c>
      <c r="F882" s="1">
        <v>14747949</v>
      </c>
      <c r="G882" s="1">
        <v>3359834</v>
      </c>
      <c r="H882" s="1">
        <v>0</v>
      </c>
      <c r="I882" s="1">
        <v>11769985</v>
      </c>
      <c r="J882" s="1">
        <v>0</v>
      </c>
      <c r="K882" s="1">
        <v>5500000</v>
      </c>
      <c r="L882" s="1">
        <v>0</v>
      </c>
      <c r="M882" s="1">
        <v>400000</v>
      </c>
      <c r="N882" s="1">
        <v>2330398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3490737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1664569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4394464</v>
      </c>
      <c r="AM882" s="1">
        <v>0</v>
      </c>
      <c r="AN882" s="1">
        <v>48757936</v>
      </c>
      <c r="AO882" s="1">
        <v>9054831</v>
      </c>
      <c r="AP882" s="1">
        <v>39703105</v>
      </c>
      <c r="AQ882" s="1">
        <v>9751587</v>
      </c>
      <c r="AR882" s="1">
        <v>1462738</v>
      </c>
      <c r="AS882" s="1">
        <v>0</v>
      </c>
      <c r="AT882" s="1">
        <f t="shared" si="91"/>
        <v>59972261</v>
      </c>
    </row>
    <row r="883" spans="1:46">
      <c r="A883" s="1" t="str">
        <f>"01139"</f>
        <v>01139</v>
      </c>
      <c r="B883" s="1" t="str">
        <f>"جواد"</f>
        <v>جواد</v>
      </c>
      <c r="C883" s="1" t="str">
        <f>"كمالي"</f>
        <v>كمالي</v>
      </c>
      <c r="D883" s="1" t="str">
        <f t="shared" si="94"/>
        <v>قراردادي بهره بردار</v>
      </c>
      <c r="E883" s="1" t="str">
        <f>"پروژه تعميرات نيروگاه بوشهر"</f>
        <v>پروژه تعميرات نيروگاه بوشهر</v>
      </c>
      <c r="F883" s="1">
        <v>14245463</v>
      </c>
      <c r="G883" s="1">
        <v>4664422</v>
      </c>
      <c r="H883" s="1">
        <v>0</v>
      </c>
      <c r="I883" s="1">
        <v>10291814</v>
      </c>
      <c r="J883" s="1">
        <v>0</v>
      </c>
      <c r="K883" s="1">
        <v>4125000</v>
      </c>
      <c r="L883" s="1">
        <v>0</v>
      </c>
      <c r="M883" s="1">
        <v>400000</v>
      </c>
      <c r="N883" s="1">
        <v>2124500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3060728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1517500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2428001</v>
      </c>
      <c r="AM883" s="1">
        <v>0</v>
      </c>
      <c r="AN883" s="1">
        <v>43957428</v>
      </c>
      <c r="AO883" s="1">
        <v>12566411</v>
      </c>
      <c r="AP883" s="1">
        <v>31391017</v>
      </c>
      <c r="AQ883" s="1">
        <v>8791486</v>
      </c>
      <c r="AR883" s="1">
        <v>1318723</v>
      </c>
      <c r="AS883" s="1">
        <v>0</v>
      </c>
      <c r="AT883" s="1">
        <f t="shared" si="91"/>
        <v>54067637</v>
      </c>
    </row>
    <row r="884" spans="1:46">
      <c r="A884" s="1" t="str">
        <f>"01140"</f>
        <v>01140</v>
      </c>
      <c r="B884" s="1" t="str">
        <f>"سعيد"</f>
        <v>سعيد</v>
      </c>
      <c r="C884" s="1" t="str">
        <f>"كارگر"</f>
        <v>كارگر</v>
      </c>
      <c r="D884" s="1" t="str">
        <f t="shared" si="94"/>
        <v>قراردادي بهره بردار</v>
      </c>
      <c r="E884" s="1" t="str">
        <f>"پروژه تعميرات نيروگاه بوشهر"</f>
        <v>پروژه تعميرات نيروگاه بوشهر</v>
      </c>
      <c r="F884" s="1">
        <v>13855284</v>
      </c>
      <c r="G884" s="1">
        <v>3783849</v>
      </c>
      <c r="H884" s="1">
        <v>0</v>
      </c>
      <c r="I884" s="1">
        <v>10759272</v>
      </c>
      <c r="J884" s="1">
        <v>0</v>
      </c>
      <c r="K884" s="1">
        <v>5500000</v>
      </c>
      <c r="L884" s="1">
        <v>0</v>
      </c>
      <c r="M884" s="1">
        <v>400000</v>
      </c>
      <c r="N884" s="1">
        <v>1993723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3145017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1424087</v>
      </c>
      <c r="AF884" s="1">
        <v>1111269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3417811</v>
      </c>
      <c r="AM884" s="1">
        <v>0</v>
      </c>
      <c r="AN884" s="1">
        <v>46490312</v>
      </c>
      <c r="AO884" s="1">
        <v>12072369</v>
      </c>
      <c r="AP884" s="1">
        <v>34417943</v>
      </c>
      <c r="AQ884" s="1">
        <v>9075809</v>
      </c>
      <c r="AR884" s="1">
        <v>1361371</v>
      </c>
      <c r="AS884" s="1">
        <v>0</v>
      </c>
      <c r="AT884" s="1">
        <f t="shared" si="91"/>
        <v>56927492</v>
      </c>
    </row>
    <row r="885" spans="1:46">
      <c r="A885" s="1" t="str">
        <f>"01142"</f>
        <v>01142</v>
      </c>
      <c r="B885" s="1" t="str">
        <f>"حبيب"</f>
        <v>حبيب</v>
      </c>
      <c r="C885" s="1" t="str">
        <f>"دهقاني"</f>
        <v>دهقاني</v>
      </c>
      <c r="D885" s="1" t="str">
        <f>"قراردادي کارگري"</f>
        <v>قراردادي کارگري</v>
      </c>
      <c r="E885" s="1" t="str">
        <f>"پروژه تعميرات نيروگاه بوشهر"</f>
        <v>پروژه تعميرات نيروگاه بوشهر</v>
      </c>
      <c r="F885" s="1">
        <v>7494084</v>
      </c>
      <c r="G885" s="1">
        <v>1891495</v>
      </c>
      <c r="H885" s="1">
        <v>0</v>
      </c>
      <c r="I885" s="1">
        <v>4496450</v>
      </c>
      <c r="J885" s="1">
        <v>0</v>
      </c>
      <c r="K885" s="1">
        <v>0</v>
      </c>
      <c r="L885" s="1">
        <v>3620700</v>
      </c>
      <c r="M885" s="1">
        <v>400000</v>
      </c>
      <c r="N885" s="1">
        <v>3996845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6332424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2941212</v>
      </c>
      <c r="AE885" s="1">
        <v>0</v>
      </c>
      <c r="AF885" s="1">
        <v>3333807</v>
      </c>
      <c r="AG885" s="1">
        <v>0</v>
      </c>
      <c r="AH885" s="1">
        <v>0</v>
      </c>
      <c r="AI885" s="1">
        <v>0</v>
      </c>
      <c r="AJ885" s="1">
        <v>3631670</v>
      </c>
      <c r="AK885" s="1">
        <v>0</v>
      </c>
      <c r="AL885" s="1">
        <v>0</v>
      </c>
      <c r="AM885" s="1">
        <v>0</v>
      </c>
      <c r="AN885" s="1">
        <v>39238687</v>
      </c>
      <c r="AO885" s="1">
        <v>10593289</v>
      </c>
      <c r="AP885" s="1">
        <v>28645398</v>
      </c>
      <c r="AQ885" s="1">
        <v>7180976</v>
      </c>
      <c r="AR885" s="1">
        <v>1077146</v>
      </c>
      <c r="AS885" s="1">
        <v>1325000</v>
      </c>
      <c r="AT885" s="1">
        <f t="shared" si="91"/>
        <v>48821809</v>
      </c>
    </row>
    <row r="886" spans="1:46">
      <c r="A886" s="1" t="str">
        <f>"01144"</f>
        <v>01144</v>
      </c>
      <c r="B886" s="1" t="str">
        <f>"آزاده"</f>
        <v>آزاده</v>
      </c>
      <c r="C886" s="1" t="str">
        <f>"دهقان"</f>
        <v>دهقان</v>
      </c>
      <c r="D886" s="1" t="str">
        <f t="shared" ref="D886:D921" si="95">"قراردادي بهره بردار"</f>
        <v>قراردادي بهره بردار</v>
      </c>
      <c r="E886" s="1" t="str">
        <f t="shared" ref="E886:E921" si="96">"پروژه بهره برداري نيروگاه بوشهر"</f>
        <v>پروژه بهره برداري نيروگاه بوشهر</v>
      </c>
      <c r="F886" s="1">
        <v>13073301</v>
      </c>
      <c r="G886" s="1">
        <v>1868585</v>
      </c>
      <c r="H886" s="1">
        <v>0</v>
      </c>
      <c r="I886" s="1">
        <v>8104447</v>
      </c>
      <c r="J886" s="1">
        <v>0</v>
      </c>
      <c r="K886" s="1">
        <v>5500000</v>
      </c>
      <c r="L886" s="1">
        <v>0</v>
      </c>
      <c r="M886" s="1">
        <v>400000</v>
      </c>
      <c r="N886" s="1">
        <v>1830658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2588515</v>
      </c>
      <c r="W886" s="1">
        <v>1100000</v>
      </c>
      <c r="X886" s="1">
        <v>1960995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1307614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1569136</v>
      </c>
      <c r="AM886" s="1">
        <v>0</v>
      </c>
      <c r="AN886" s="1">
        <v>39303251</v>
      </c>
      <c r="AO886" s="1">
        <v>7100934</v>
      </c>
      <c r="AP886" s="1">
        <v>32202317</v>
      </c>
      <c r="AQ886" s="1">
        <v>7860650</v>
      </c>
      <c r="AR886" s="1">
        <v>1179098</v>
      </c>
      <c r="AS886" s="1">
        <v>0</v>
      </c>
      <c r="AT886" s="1">
        <f t="shared" si="91"/>
        <v>48342999</v>
      </c>
    </row>
    <row r="887" spans="1:46">
      <c r="A887" s="1" t="str">
        <f>"01145"</f>
        <v>01145</v>
      </c>
      <c r="B887" s="1" t="str">
        <f>"مسعود"</f>
        <v>مسعود</v>
      </c>
      <c r="C887" s="1" t="str">
        <f>"عبدالهي"</f>
        <v>عبدالهي</v>
      </c>
      <c r="D887" s="1" t="str">
        <f t="shared" si="95"/>
        <v>قراردادي بهره بردار</v>
      </c>
      <c r="E887" s="1" t="str">
        <f t="shared" si="96"/>
        <v>پروژه بهره برداري نيروگاه بوشهر</v>
      </c>
      <c r="F887" s="1">
        <v>9487332</v>
      </c>
      <c r="G887" s="1">
        <v>367428</v>
      </c>
      <c r="H887" s="1">
        <v>0</v>
      </c>
      <c r="I887" s="1">
        <v>6957817</v>
      </c>
      <c r="J887" s="1">
        <v>0</v>
      </c>
      <c r="K887" s="1">
        <v>4620000</v>
      </c>
      <c r="L887" s="1">
        <v>0</v>
      </c>
      <c r="M887" s="1">
        <v>400000</v>
      </c>
      <c r="N887" s="1">
        <v>1564497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2290459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2436450</v>
      </c>
      <c r="AD887" s="1">
        <v>0</v>
      </c>
      <c r="AE887" s="1">
        <v>1117498</v>
      </c>
      <c r="AF887" s="1">
        <v>1111269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1340998</v>
      </c>
      <c r="AM887" s="1">
        <v>0</v>
      </c>
      <c r="AN887" s="1">
        <v>32793748</v>
      </c>
      <c r="AO887" s="1">
        <v>5526681</v>
      </c>
      <c r="AP887" s="1">
        <v>27267067</v>
      </c>
      <c r="AQ887" s="1">
        <v>6336496</v>
      </c>
      <c r="AR887" s="1">
        <v>950474</v>
      </c>
      <c r="AS887" s="1">
        <v>0</v>
      </c>
      <c r="AT887" s="1">
        <f t="shared" si="91"/>
        <v>40080718</v>
      </c>
    </row>
    <row r="888" spans="1:46">
      <c r="A888" s="1" t="str">
        <f>"01146"</f>
        <v>01146</v>
      </c>
      <c r="B888" s="1" t="str">
        <f>"محمدرضا"</f>
        <v>محمدرضا</v>
      </c>
      <c r="C888" s="1" t="str">
        <f>"بشيري"</f>
        <v>بشيري</v>
      </c>
      <c r="D888" s="1" t="str">
        <f t="shared" si="95"/>
        <v>قراردادي بهره بردار</v>
      </c>
      <c r="E888" s="1" t="str">
        <f t="shared" si="96"/>
        <v>پروژه بهره برداري نيروگاه بوشهر</v>
      </c>
      <c r="F888" s="1">
        <v>12394249</v>
      </c>
      <c r="G888" s="1">
        <v>6826509</v>
      </c>
      <c r="H888" s="1">
        <v>0</v>
      </c>
      <c r="I888" s="1">
        <v>8518641</v>
      </c>
      <c r="J888" s="1">
        <v>0</v>
      </c>
      <c r="K888" s="1">
        <v>4125000</v>
      </c>
      <c r="L888" s="1">
        <v>0</v>
      </c>
      <c r="M888" s="1">
        <v>400000</v>
      </c>
      <c r="N888" s="1">
        <v>1751054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2579082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1250752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1876129</v>
      </c>
      <c r="AM888" s="1">
        <v>0</v>
      </c>
      <c r="AN888" s="1">
        <v>40821416</v>
      </c>
      <c r="AO888" s="1">
        <v>7637331</v>
      </c>
      <c r="AP888" s="1">
        <v>33184085</v>
      </c>
      <c r="AQ888" s="1">
        <v>8164283</v>
      </c>
      <c r="AR888" s="1">
        <v>1224642</v>
      </c>
      <c r="AS888" s="1">
        <v>0</v>
      </c>
      <c r="AT888" s="1">
        <f t="shared" si="91"/>
        <v>50210341</v>
      </c>
    </row>
    <row r="889" spans="1:46">
      <c r="A889" s="1" t="str">
        <f>"01147"</f>
        <v>01147</v>
      </c>
      <c r="B889" s="1" t="str">
        <f>"بهروز"</f>
        <v>بهروز</v>
      </c>
      <c r="C889" s="1" t="str">
        <f>"جلالي"</f>
        <v>جلالي</v>
      </c>
      <c r="D889" s="1" t="str">
        <f t="shared" si="95"/>
        <v>قراردادي بهره بردار</v>
      </c>
      <c r="E889" s="1" t="str">
        <f t="shared" si="96"/>
        <v>پروژه بهره برداري نيروگاه بوشهر</v>
      </c>
      <c r="F889" s="1">
        <v>13155154</v>
      </c>
      <c r="G889" s="1">
        <v>1316994</v>
      </c>
      <c r="H889" s="1">
        <v>0</v>
      </c>
      <c r="I889" s="1">
        <v>9004522</v>
      </c>
      <c r="J889" s="1">
        <v>0</v>
      </c>
      <c r="K889" s="1">
        <v>5500000</v>
      </c>
      <c r="L889" s="1">
        <v>0</v>
      </c>
      <c r="M889" s="1">
        <v>400000</v>
      </c>
      <c r="N889" s="1">
        <v>1868976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2736611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1334983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2002474</v>
      </c>
      <c r="AM889" s="1">
        <v>0</v>
      </c>
      <c r="AN889" s="1">
        <v>38419714</v>
      </c>
      <c r="AO889" s="1">
        <v>6306075</v>
      </c>
      <c r="AP889" s="1">
        <v>32113639</v>
      </c>
      <c r="AQ889" s="1">
        <v>7683943</v>
      </c>
      <c r="AR889" s="1">
        <v>1152591</v>
      </c>
      <c r="AS889" s="1">
        <v>0</v>
      </c>
      <c r="AT889" s="1">
        <f t="shared" si="91"/>
        <v>47256248</v>
      </c>
    </row>
    <row r="890" spans="1:46">
      <c r="A890" s="1" t="str">
        <f>"01148"</f>
        <v>01148</v>
      </c>
      <c r="B890" s="1" t="str">
        <f>"حسن"</f>
        <v>حسن</v>
      </c>
      <c r="C890" s="1" t="str">
        <f>"محمدي"</f>
        <v>محمدي</v>
      </c>
      <c r="D890" s="1" t="str">
        <f t="shared" si="95"/>
        <v>قراردادي بهره بردار</v>
      </c>
      <c r="E890" s="1" t="str">
        <f t="shared" si="96"/>
        <v>پروژه بهره برداري نيروگاه بوشهر</v>
      </c>
      <c r="F890" s="1">
        <v>12642062</v>
      </c>
      <c r="G890" s="1">
        <v>1987987</v>
      </c>
      <c r="H890" s="1">
        <v>0</v>
      </c>
      <c r="I890" s="1">
        <v>6981046</v>
      </c>
      <c r="J890" s="1">
        <v>0</v>
      </c>
      <c r="K890" s="1">
        <v>4125000</v>
      </c>
      <c r="L890" s="1">
        <v>0</v>
      </c>
      <c r="M890" s="1">
        <v>400000</v>
      </c>
      <c r="N890" s="1">
        <v>1672931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2478529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1194951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2294305</v>
      </c>
      <c r="AM890" s="1">
        <v>0</v>
      </c>
      <c r="AN890" s="1">
        <v>34876811</v>
      </c>
      <c r="AO890" s="1">
        <v>4998201</v>
      </c>
      <c r="AP890" s="1">
        <v>29878610</v>
      </c>
      <c r="AQ890" s="1">
        <v>6975362</v>
      </c>
      <c r="AR890" s="1">
        <v>1046304</v>
      </c>
      <c r="AS890" s="1">
        <v>0</v>
      </c>
      <c r="AT890" s="1">
        <f t="shared" si="91"/>
        <v>42898477</v>
      </c>
    </row>
    <row r="891" spans="1:46">
      <c r="A891" s="1" t="str">
        <f>"01149"</f>
        <v>01149</v>
      </c>
      <c r="B891" s="1" t="str">
        <f>"ناصر"</f>
        <v>ناصر</v>
      </c>
      <c r="C891" s="1" t="str">
        <f>"مرادي"</f>
        <v>مرادي</v>
      </c>
      <c r="D891" s="1" t="str">
        <f t="shared" si="95"/>
        <v>قراردادي بهره بردار</v>
      </c>
      <c r="E891" s="1" t="str">
        <f t="shared" si="96"/>
        <v>پروژه بهره برداري نيروگاه بوشهر</v>
      </c>
      <c r="F891" s="1">
        <v>14328110</v>
      </c>
      <c r="G891" s="1">
        <v>6137432</v>
      </c>
      <c r="H891" s="1">
        <v>0</v>
      </c>
      <c r="I891" s="1">
        <v>11123053</v>
      </c>
      <c r="J891" s="1">
        <v>0</v>
      </c>
      <c r="K891" s="1">
        <v>5500000</v>
      </c>
      <c r="L891" s="1">
        <v>0</v>
      </c>
      <c r="M891" s="1">
        <v>400000</v>
      </c>
      <c r="N891" s="1">
        <v>2308780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3188277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1649128</v>
      </c>
      <c r="AF891" s="1">
        <v>2222538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2473692</v>
      </c>
      <c r="AM891" s="1">
        <v>0</v>
      </c>
      <c r="AN891" s="1">
        <v>50431010</v>
      </c>
      <c r="AO891" s="1">
        <v>10004076</v>
      </c>
      <c r="AP891" s="1">
        <v>40426934</v>
      </c>
      <c r="AQ891" s="1">
        <v>9641694</v>
      </c>
      <c r="AR891" s="1">
        <v>1446254</v>
      </c>
      <c r="AS891" s="1">
        <v>0</v>
      </c>
      <c r="AT891" s="1">
        <f t="shared" si="91"/>
        <v>61518958</v>
      </c>
    </row>
    <row r="892" spans="1:46">
      <c r="A892" s="1" t="str">
        <f>"01150"</f>
        <v>01150</v>
      </c>
      <c r="B892" s="1" t="str">
        <f>"شهلا"</f>
        <v>شهلا</v>
      </c>
      <c r="C892" s="1" t="str">
        <f>"دهقاني"</f>
        <v>دهقاني</v>
      </c>
      <c r="D892" s="1" t="str">
        <f t="shared" si="95"/>
        <v>قراردادي بهره بردار</v>
      </c>
      <c r="E892" s="1" t="str">
        <f t="shared" si="96"/>
        <v>پروژه بهره برداري نيروگاه بوشهر</v>
      </c>
      <c r="F892" s="1">
        <v>13076613</v>
      </c>
      <c r="G892" s="1">
        <v>1484114</v>
      </c>
      <c r="H892" s="1">
        <v>0</v>
      </c>
      <c r="I892" s="1">
        <v>8657005</v>
      </c>
      <c r="J892" s="1">
        <v>0</v>
      </c>
      <c r="K892" s="1">
        <v>4125000</v>
      </c>
      <c r="L892" s="1">
        <v>0</v>
      </c>
      <c r="M892" s="1">
        <v>400000</v>
      </c>
      <c r="N892" s="1">
        <v>1687028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1270000</v>
      </c>
      <c r="U892" s="1">
        <v>0</v>
      </c>
      <c r="V892" s="1">
        <v>2643320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1205020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1807530</v>
      </c>
      <c r="AM892" s="1">
        <v>0</v>
      </c>
      <c r="AN892" s="1">
        <v>37455630</v>
      </c>
      <c r="AO892" s="1">
        <v>6128083</v>
      </c>
      <c r="AP892" s="1">
        <v>31327547</v>
      </c>
      <c r="AQ892" s="1">
        <v>7237126</v>
      </c>
      <c r="AR892" s="1">
        <v>1085569</v>
      </c>
      <c r="AS892" s="1">
        <v>0</v>
      </c>
      <c r="AT892" s="1">
        <f t="shared" si="91"/>
        <v>45778325</v>
      </c>
    </row>
    <row r="893" spans="1:46">
      <c r="A893" s="1" t="str">
        <f>"01151"</f>
        <v>01151</v>
      </c>
      <c r="B893" s="1" t="str">
        <f>"آرش"</f>
        <v>آرش</v>
      </c>
      <c r="C893" s="1" t="str">
        <f>"كشاورزي"</f>
        <v>كشاورزي</v>
      </c>
      <c r="D893" s="1" t="str">
        <f t="shared" si="95"/>
        <v>قراردادي بهره بردار</v>
      </c>
      <c r="E893" s="1" t="str">
        <f t="shared" si="96"/>
        <v>پروژه بهره برداري نيروگاه بوشهر</v>
      </c>
      <c r="F893" s="1">
        <v>8365089</v>
      </c>
      <c r="G893" s="1">
        <v>1635838</v>
      </c>
      <c r="H893" s="1">
        <v>0</v>
      </c>
      <c r="I893" s="1">
        <v>5417465</v>
      </c>
      <c r="J893" s="1">
        <v>0</v>
      </c>
      <c r="K893" s="1">
        <v>4620000</v>
      </c>
      <c r="L893" s="1">
        <v>0</v>
      </c>
      <c r="M893" s="1">
        <v>400000</v>
      </c>
      <c r="N893" s="1">
        <v>1249564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1699572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892546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1071055</v>
      </c>
      <c r="AM893" s="1">
        <v>0</v>
      </c>
      <c r="AN893" s="1">
        <v>26451129</v>
      </c>
      <c r="AO893" s="1">
        <v>9213142</v>
      </c>
      <c r="AP893" s="1">
        <v>17237987</v>
      </c>
      <c r="AQ893" s="1">
        <v>5290226</v>
      </c>
      <c r="AR893" s="1">
        <v>793534</v>
      </c>
      <c r="AS893" s="1">
        <v>0</v>
      </c>
      <c r="AT893" s="1">
        <f t="shared" si="91"/>
        <v>32534889</v>
      </c>
    </row>
    <row r="894" spans="1:46">
      <c r="A894" s="1" t="str">
        <f>"01152"</f>
        <v>01152</v>
      </c>
      <c r="B894" s="1" t="str">
        <f>"سجاد"</f>
        <v>سجاد</v>
      </c>
      <c r="C894" s="1" t="str">
        <f>"اميرخاني"</f>
        <v>اميرخاني</v>
      </c>
      <c r="D894" s="1" t="str">
        <f t="shared" si="95"/>
        <v>قراردادي بهره بردار</v>
      </c>
      <c r="E894" s="1" t="str">
        <f t="shared" si="96"/>
        <v>پروژه بهره برداري نيروگاه بوشهر</v>
      </c>
      <c r="F894" s="1">
        <v>13780595</v>
      </c>
      <c r="G894" s="1">
        <v>9822260</v>
      </c>
      <c r="H894" s="1">
        <v>0</v>
      </c>
      <c r="I894" s="1">
        <v>9199447</v>
      </c>
      <c r="J894" s="1">
        <v>0</v>
      </c>
      <c r="K894" s="1">
        <v>4125000</v>
      </c>
      <c r="L894" s="1">
        <v>0</v>
      </c>
      <c r="M894" s="1">
        <v>400000</v>
      </c>
      <c r="N894" s="1">
        <v>2144730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6318541</v>
      </c>
      <c r="W894" s="1">
        <v>1100000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1531950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3431569</v>
      </c>
      <c r="AM894" s="1">
        <v>0</v>
      </c>
      <c r="AN894" s="1">
        <v>51854092</v>
      </c>
      <c r="AO894" s="1">
        <v>13596007</v>
      </c>
      <c r="AP894" s="1">
        <v>38258085</v>
      </c>
      <c r="AQ894" s="1">
        <v>10370818</v>
      </c>
      <c r="AR894" s="1">
        <v>1555623</v>
      </c>
      <c r="AS894" s="1">
        <v>0</v>
      </c>
      <c r="AT894" s="1">
        <f t="shared" si="91"/>
        <v>63780533</v>
      </c>
    </row>
    <row r="895" spans="1:46">
      <c r="A895" s="1" t="str">
        <f>"01153"</f>
        <v>01153</v>
      </c>
      <c r="B895" s="1" t="str">
        <f>"جعفر"</f>
        <v>جعفر</v>
      </c>
      <c r="C895" s="1" t="str">
        <f>"اميني نيک"</f>
        <v>اميني نيک</v>
      </c>
      <c r="D895" s="1" t="str">
        <f t="shared" si="95"/>
        <v>قراردادي بهره بردار</v>
      </c>
      <c r="E895" s="1" t="str">
        <f t="shared" si="96"/>
        <v>پروژه بهره برداري نيروگاه بوشهر</v>
      </c>
      <c r="F895" s="1">
        <v>14963971</v>
      </c>
      <c r="G895" s="1">
        <v>1174202</v>
      </c>
      <c r="H895" s="1">
        <v>0</v>
      </c>
      <c r="I895" s="1">
        <v>10334575</v>
      </c>
      <c r="J895" s="1">
        <v>0</v>
      </c>
      <c r="K895" s="1">
        <v>5500000</v>
      </c>
      <c r="L895" s="1">
        <v>0</v>
      </c>
      <c r="M895" s="1">
        <v>400000</v>
      </c>
      <c r="N895" s="1">
        <v>2417851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8051673</v>
      </c>
      <c r="W895" s="1">
        <v>1100000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1727037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2763259</v>
      </c>
      <c r="AM895" s="1">
        <v>0</v>
      </c>
      <c r="AN895" s="1">
        <v>48432568</v>
      </c>
      <c r="AO895" s="1">
        <v>10532351</v>
      </c>
      <c r="AP895" s="1">
        <v>37900217</v>
      </c>
      <c r="AQ895" s="1">
        <v>9686514</v>
      </c>
      <c r="AR895" s="1">
        <v>1452977</v>
      </c>
      <c r="AS895" s="1">
        <v>0</v>
      </c>
      <c r="AT895" s="1">
        <f t="shared" si="91"/>
        <v>59572059</v>
      </c>
    </row>
    <row r="896" spans="1:46">
      <c r="A896" s="1" t="str">
        <f>"01154"</f>
        <v>01154</v>
      </c>
      <c r="B896" s="1" t="str">
        <f>"مهدي"</f>
        <v>مهدي</v>
      </c>
      <c r="C896" s="1" t="str">
        <f>"اورک"</f>
        <v>اورک</v>
      </c>
      <c r="D896" s="1" t="str">
        <f t="shared" si="95"/>
        <v>قراردادي بهره بردار</v>
      </c>
      <c r="E896" s="1" t="str">
        <f t="shared" si="96"/>
        <v>پروژه بهره برداري نيروگاه بوشهر</v>
      </c>
      <c r="F896" s="1">
        <v>14647880</v>
      </c>
      <c r="G896" s="1">
        <v>6093348</v>
      </c>
      <c r="H896" s="1">
        <v>0</v>
      </c>
      <c r="I896" s="1">
        <v>10180026</v>
      </c>
      <c r="J896" s="1">
        <v>0</v>
      </c>
      <c r="K896" s="1">
        <v>4125000</v>
      </c>
      <c r="L896" s="1">
        <v>0</v>
      </c>
      <c r="M896" s="1">
        <v>400000</v>
      </c>
      <c r="N896" s="1">
        <v>2331736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11159627</v>
      </c>
      <c r="W896" s="1">
        <v>1100000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1665527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3997263</v>
      </c>
      <c r="AM896" s="1">
        <v>0</v>
      </c>
      <c r="AN896" s="1">
        <v>55700407</v>
      </c>
      <c r="AO896" s="1">
        <v>13762940</v>
      </c>
      <c r="AP896" s="1">
        <v>41937467</v>
      </c>
      <c r="AQ896" s="1">
        <v>11140081</v>
      </c>
      <c r="AR896" s="1">
        <v>1671012</v>
      </c>
      <c r="AS896" s="1">
        <v>0</v>
      </c>
      <c r="AT896" s="1">
        <f t="shared" si="91"/>
        <v>68511500</v>
      </c>
    </row>
    <row r="897" spans="1:46">
      <c r="A897" s="1" t="str">
        <f>"01155"</f>
        <v>01155</v>
      </c>
      <c r="B897" s="1" t="str">
        <f>"علي"</f>
        <v>علي</v>
      </c>
      <c r="C897" s="1" t="str">
        <f>"بهسرشت"</f>
        <v>بهسرشت</v>
      </c>
      <c r="D897" s="1" t="str">
        <f t="shared" si="95"/>
        <v>قراردادي بهره بردار</v>
      </c>
      <c r="E897" s="1" t="str">
        <f t="shared" si="96"/>
        <v>پروژه بهره برداري نيروگاه بوشهر</v>
      </c>
      <c r="F897" s="1">
        <v>15072706</v>
      </c>
      <c r="G897" s="1">
        <v>15573260</v>
      </c>
      <c r="H897" s="1">
        <v>0</v>
      </c>
      <c r="I897" s="1">
        <v>11619545</v>
      </c>
      <c r="J897" s="1">
        <v>0</v>
      </c>
      <c r="K897" s="1">
        <v>5500000</v>
      </c>
      <c r="L897" s="1">
        <v>0</v>
      </c>
      <c r="M897" s="1">
        <v>400000</v>
      </c>
      <c r="N897" s="1">
        <v>2518442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1270000</v>
      </c>
      <c r="U897" s="1">
        <v>0</v>
      </c>
      <c r="V897" s="1">
        <v>8956681</v>
      </c>
      <c r="W897" s="1">
        <v>1100000</v>
      </c>
      <c r="X897" s="1">
        <v>2260906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1798887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9702607</v>
      </c>
      <c r="AM897" s="1">
        <v>0</v>
      </c>
      <c r="AN897" s="1">
        <v>75773034</v>
      </c>
      <c r="AO897" s="1">
        <v>14929540</v>
      </c>
      <c r="AP897" s="1">
        <v>60843494</v>
      </c>
      <c r="AQ897" s="1">
        <v>14900607</v>
      </c>
      <c r="AR897" s="1">
        <v>2235091</v>
      </c>
      <c r="AS897" s="1">
        <v>0</v>
      </c>
      <c r="AT897" s="1">
        <f t="shared" si="91"/>
        <v>92908732</v>
      </c>
    </row>
    <row r="898" spans="1:46">
      <c r="A898" s="1" t="str">
        <f>"01156"</f>
        <v>01156</v>
      </c>
      <c r="B898" s="1" t="str">
        <f>"امير"</f>
        <v>امير</v>
      </c>
      <c r="C898" s="1" t="str">
        <f>"بهسرشت"</f>
        <v>بهسرشت</v>
      </c>
      <c r="D898" s="1" t="str">
        <f t="shared" si="95"/>
        <v>قراردادي بهره بردار</v>
      </c>
      <c r="E898" s="1" t="str">
        <f t="shared" si="96"/>
        <v>پروژه بهره برداري نيروگاه بوشهر</v>
      </c>
      <c r="F898" s="1">
        <v>14812588</v>
      </c>
      <c r="G898" s="1">
        <v>4350488</v>
      </c>
      <c r="H898" s="1">
        <v>0</v>
      </c>
      <c r="I898" s="1">
        <v>10606925</v>
      </c>
      <c r="J898" s="1">
        <v>0</v>
      </c>
      <c r="K898" s="1">
        <v>11870833</v>
      </c>
      <c r="L898" s="1">
        <v>0</v>
      </c>
      <c r="M898" s="1">
        <v>400000</v>
      </c>
      <c r="N898" s="1">
        <v>2380294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1270000</v>
      </c>
      <c r="U898" s="1">
        <v>0</v>
      </c>
      <c r="V898" s="1">
        <v>9580573</v>
      </c>
      <c r="W898" s="1">
        <v>1100000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1700211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3536437</v>
      </c>
      <c r="AM898" s="1">
        <v>0</v>
      </c>
      <c r="AN898" s="1">
        <v>61608349</v>
      </c>
      <c r="AO898" s="1">
        <v>9681739</v>
      </c>
      <c r="AP898" s="1">
        <v>51926610</v>
      </c>
      <c r="AQ898" s="1">
        <v>12067670</v>
      </c>
      <c r="AR898" s="1">
        <v>1810150</v>
      </c>
      <c r="AS898" s="1">
        <v>0</v>
      </c>
      <c r="AT898" s="1">
        <f t="shared" si="91"/>
        <v>75486169</v>
      </c>
    </row>
    <row r="899" spans="1:46">
      <c r="A899" s="1" t="str">
        <f>"01157"</f>
        <v>01157</v>
      </c>
      <c r="B899" s="1" t="str">
        <f>"مقداد"</f>
        <v>مقداد</v>
      </c>
      <c r="C899" s="1" t="str">
        <f>"پاداش"</f>
        <v>پاداش</v>
      </c>
      <c r="D899" s="1" t="str">
        <f t="shared" si="95"/>
        <v>قراردادي بهره بردار</v>
      </c>
      <c r="E899" s="1" t="str">
        <f t="shared" si="96"/>
        <v>پروژه بهره برداري نيروگاه بوشهر</v>
      </c>
      <c r="F899" s="1">
        <v>14348288</v>
      </c>
      <c r="G899" s="1">
        <v>6486108</v>
      </c>
      <c r="H899" s="1">
        <v>0</v>
      </c>
      <c r="I899" s="1">
        <v>10502559</v>
      </c>
      <c r="J899" s="1">
        <v>0</v>
      </c>
      <c r="K899" s="1">
        <v>5500000</v>
      </c>
      <c r="L899" s="1">
        <v>0</v>
      </c>
      <c r="M899" s="1">
        <v>400000</v>
      </c>
      <c r="N899" s="1">
        <v>2392716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1270000</v>
      </c>
      <c r="U899" s="1">
        <v>0</v>
      </c>
      <c r="V899" s="1">
        <v>11284999</v>
      </c>
      <c r="W899" s="1">
        <v>1100000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1709083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4238527</v>
      </c>
      <c r="AM899" s="1">
        <v>0</v>
      </c>
      <c r="AN899" s="1">
        <v>59232280</v>
      </c>
      <c r="AO899" s="1">
        <v>9660225</v>
      </c>
      <c r="AP899" s="1">
        <v>49572055</v>
      </c>
      <c r="AQ899" s="1">
        <v>11592456</v>
      </c>
      <c r="AR899" s="1">
        <v>1738868</v>
      </c>
      <c r="AS899" s="1">
        <v>0</v>
      </c>
      <c r="AT899" s="1">
        <f t="shared" ref="AT899:AT962" si="97">AS899+AR899+AQ899+AN899</f>
        <v>72563604</v>
      </c>
    </row>
    <row r="900" spans="1:46">
      <c r="A900" s="1" t="str">
        <f>"01158"</f>
        <v>01158</v>
      </c>
      <c r="B900" s="1" t="str">
        <f>"ميثم"</f>
        <v>ميثم</v>
      </c>
      <c r="C900" s="1" t="str">
        <f>"خان محمدي هزاوه"</f>
        <v>خان محمدي هزاوه</v>
      </c>
      <c r="D900" s="1" t="str">
        <f t="shared" si="95"/>
        <v>قراردادي بهره بردار</v>
      </c>
      <c r="E900" s="1" t="str">
        <f t="shared" si="96"/>
        <v>پروژه بهره برداري نيروگاه بوشهر</v>
      </c>
      <c r="F900" s="1">
        <v>13919742</v>
      </c>
      <c r="G900" s="1">
        <v>3005104</v>
      </c>
      <c r="H900" s="1">
        <v>0</v>
      </c>
      <c r="I900" s="1">
        <v>7165066</v>
      </c>
      <c r="J900" s="1">
        <v>0</v>
      </c>
      <c r="K900" s="1">
        <v>5500000</v>
      </c>
      <c r="L900" s="1">
        <v>0</v>
      </c>
      <c r="M900" s="1">
        <v>400000</v>
      </c>
      <c r="N900" s="1">
        <v>2318217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1270000</v>
      </c>
      <c r="U900" s="1">
        <v>0</v>
      </c>
      <c r="V900" s="1">
        <v>3122185</v>
      </c>
      <c r="W900" s="1">
        <v>1100000</v>
      </c>
      <c r="X900" s="1">
        <v>2087961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1655869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6162966</v>
      </c>
      <c r="AM900" s="1">
        <v>0</v>
      </c>
      <c r="AN900" s="1">
        <v>47707110</v>
      </c>
      <c r="AO900" s="1">
        <v>10369094</v>
      </c>
      <c r="AP900" s="1">
        <v>37338016</v>
      </c>
      <c r="AQ900" s="1">
        <v>9287422</v>
      </c>
      <c r="AR900" s="1">
        <v>1393113</v>
      </c>
      <c r="AS900" s="1">
        <v>0</v>
      </c>
      <c r="AT900" s="1">
        <f t="shared" si="97"/>
        <v>58387645</v>
      </c>
    </row>
    <row r="901" spans="1:46">
      <c r="A901" s="1" t="str">
        <f>"01159"</f>
        <v>01159</v>
      </c>
      <c r="B901" s="1" t="str">
        <f>"عليرضا"</f>
        <v>عليرضا</v>
      </c>
      <c r="C901" s="1" t="str">
        <f>"دهقاني"</f>
        <v>دهقاني</v>
      </c>
      <c r="D901" s="1" t="str">
        <f t="shared" si="95"/>
        <v>قراردادي بهره بردار</v>
      </c>
      <c r="E901" s="1" t="str">
        <f t="shared" si="96"/>
        <v>پروژه بهره برداري نيروگاه بوشهر</v>
      </c>
      <c r="F901" s="1">
        <v>13895568</v>
      </c>
      <c r="G901" s="1">
        <v>0</v>
      </c>
      <c r="H901" s="1">
        <v>0</v>
      </c>
      <c r="I901" s="1">
        <v>9181870</v>
      </c>
      <c r="J901" s="1">
        <v>0</v>
      </c>
      <c r="K901" s="1">
        <v>5500000</v>
      </c>
      <c r="L901" s="1">
        <v>0</v>
      </c>
      <c r="M901" s="1">
        <v>400000</v>
      </c>
      <c r="N901" s="1">
        <v>2170961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4951270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1550687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2326029</v>
      </c>
      <c r="AM901" s="1">
        <v>0</v>
      </c>
      <c r="AN901" s="1">
        <v>41076385</v>
      </c>
      <c r="AO901" s="1">
        <v>7832072</v>
      </c>
      <c r="AP901" s="1">
        <v>33244313</v>
      </c>
      <c r="AQ901" s="1">
        <v>8215277</v>
      </c>
      <c r="AR901" s="1">
        <v>1232292</v>
      </c>
      <c r="AS901" s="1">
        <v>0</v>
      </c>
      <c r="AT901" s="1">
        <f t="shared" si="97"/>
        <v>50523954</v>
      </c>
    </row>
    <row r="902" spans="1:46">
      <c r="A902" s="1" t="str">
        <f>"01160"</f>
        <v>01160</v>
      </c>
      <c r="B902" s="1" t="str">
        <f>"سيدحميدرضا"</f>
        <v>سيدحميدرضا</v>
      </c>
      <c r="C902" s="1" t="str">
        <f>"قريشي"</f>
        <v>قريشي</v>
      </c>
      <c r="D902" s="1" t="str">
        <f t="shared" si="95"/>
        <v>قراردادي بهره بردار</v>
      </c>
      <c r="E902" s="1" t="str">
        <f t="shared" si="96"/>
        <v>پروژه بهره برداري نيروگاه بوشهر</v>
      </c>
      <c r="F902" s="1">
        <v>13661126</v>
      </c>
      <c r="G902" s="1">
        <v>1683893</v>
      </c>
      <c r="H902" s="1">
        <v>0</v>
      </c>
      <c r="I902" s="1">
        <v>9406114</v>
      </c>
      <c r="J902" s="1">
        <v>0</v>
      </c>
      <c r="K902" s="1">
        <v>4125000</v>
      </c>
      <c r="L902" s="1">
        <v>0</v>
      </c>
      <c r="M902" s="1">
        <v>400000</v>
      </c>
      <c r="N902" s="1">
        <v>2115369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8652563</v>
      </c>
      <c r="W902" s="1">
        <v>1100000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1510978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3142834</v>
      </c>
      <c r="AM902" s="1">
        <v>0</v>
      </c>
      <c r="AN902" s="1">
        <v>45797877</v>
      </c>
      <c r="AO902" s="1">
        <v>6580940</v>
      </c>
      <c r="AP902" s="1">
        <v>39216937</v>
      </c>
      <c r="AQ902" s="1">
        <v>9159575</v>
      </c>
      <c r="AR902" s="1">
        <v>1373936</v>
      </c>
      <c r="AS902" s="1">
        <v>0</v>
      </c>
      <c r="AT902" s="1">
        <f t="shared" si="97"/>
        <v>56331388</v>
      </c>
    </row>
    <row r="903" spans="1:46">
      <c r="A903" s="1" t="str">
        <f>"01161"</f>
        <v>01161</v>
      </c>
      <c r="B903" s="1" t="str">
        <f>"صادق"</f>
        <v>صادق</v>
      </c>
      <c r="C903" s="1" t="str">
        <f>"گنجي"</f>
        <v>گنجي</v>
      </c>
      <c r="D903" s="1" t="str">
        <f t="shared" si="95"/>
        <v>قراردادي بهره بردار</v>
      </c>
      <c r="E903" s="1" t="str">
        <f t="shared" si="96"/>
        <v>پروژه بهره برداري نيروگاه بوشهر</v>
      </c>
      <c r="F903" s="1">
        <v>15049223</v>
      </c>
      <c r="G903" s="1">
        <v>1906570</v>
      </c>
      <c r="H903" s="1">
        <v>0</v>
      </c>
      <c r="I903" s="1">
        <v>10711744</v>
      </c>
      <c r="J903" s="1">
        <v>0</v>
      </c>
      <c r="K903" s="1">
        <v>5500000</v>
      </c>
      <c r="L903" s="1">
        <v>0</v>
      </c>
      <c r="M903" s="1">
        <v>400000</v>
      </c>
      <c r="N903" s="1">
        <v>2469453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1270000</v>
      </c>
      <c r="U903" s="1">
        <v>0</v>
      </c>
      <c r="V903" s="1">
        <v>10056632</v>
      </c>
      <c r="W903" s="1">
        <v>1100000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1763894</v>
      </c>
      <c r="AF903" s="1">
        <v>1111269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3527789</v>
      </c>
      <c r="AM903" s="1">
        <v>0</v>
      </c>
      <c r="AN903" s="1">
        <v>54866574</v>
      </c>
      <c r="AO903" s="1">
        <v>13597513</v>
      </c>
      <c r="AP903" s="1">
        <v>41269061</v>
      </c>
      <c r="AQ903" s="1">
        <v>10497061</v>
      </c>
      <c r="AR903" s="1">
        <v>1574559</v>
      </c>
      <c r="AS903" s="1">
        <v>0</v>
      </c>
      <c r="AT903" s="1">
        <f t="shared" si="97"/>
        <v>66938194</v>
      </c>
    </row>
    <row r="904" spans="1:46">
      <c r="A904" s="1" t="str">
        <f>"01163"</f>
        <v>01163</v>
      </c>
      <c r="B904" s="1" t="str">
        <f>"علي"</f>
        <v>علي</v>
      </c>
      <c r="C904" s="1" t="str">
        <f>"مطهر"</f>
        <v>مطهر</v>
      </c>
      <c r="D904" s="1" t="str">
        <f t="shared" si="95"/>
        <v>قراردادي بهره بردار</v>
      </c>
      <c r="E904" s="1" t="str">
        <f t="shared" si="96"/>
        <v>پروژه بهره برداري نيروگاه بوشهر</v>
      </c>
      <c r="F904" s="1">
        <v>14002882</v>
      </c>
      <c r="G904" s="1">
        <v>7048463</v>
      </c>
      <c r="H904" s="1">
        <v>0</v>
      </c>
      <c r="I904" s="1">
        <v>9376651</v>
      </c>
      <c r="J904" s="1">
        <v>0</v>
      </c>
      <c r="K904" s="1">
        <v>4125000</v>
      </c>
      <c r="L904" s="1">
        <v>0</v>
      </c>
      <c r="M904" s="1">
        <v>400000</v>
      </c>
      <c r="N904" s="1">
        <v>2227201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7435742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1590858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2545373</v>
      </c>
      <c r="AM904" s="1">
        <v>0</v>
      </c>
      <c r="AN904" s="1">
        <v>49852170</v>
      </c>
      <c r="AO904" s="1">
        <v>13396714</v>
      </c>
      <c r="AP904" s="1">
        <v>36455456</v>
      </c>
      <c r="AQ904" s="1">
        <v>9970434</v>
      </c>
      <c r="AR904" s="1">
        <v>1495565</v>
      </c>
      <c r="AS904" s="1">
        <v>0</v>
      </c>
      <c r="AT904" s="1">
        <f t="shared" si="97"/>
        <v>61318169</v>
      </c>
    </row>
    <row r="905" spans="1:46">
      <c r="A905" s="1" t="str">
        <f>"01164"</f>
        <v>01164</v>
      </c>
      <c r="B905" s="1" t="str">
        <f>"مجتبي"</f>
        <v>مجتبي</v>
      </c>
      <c r="C905" s="1" t="str">
        <f>"منفرد"</f>
        <v>منفرد</v>
      </c>
      <c r="D905" s="1" t="str">
        <f t="shared" si="95"/>
        <v>قراردادي بهره بردار</v>
      </c>
      <c r="E905" s="1" t="str">
        <f t="shared" si="96"/>
        <v>پروژه بهره برداري نيروگاه بوشهر</v>
      </c>
      <c r="F905" s="1">
        <v>13736807</v>
      </c>
      <c r="G905" s="1">
        <v>1994682</v>
      </c>
      <c r="H905" s="1">
        <v>0</v>
      </c>
      <c r="I905" s="1">
        <v>8712440</v>
      </c>
      <c r="J905" s="1">
        <v>0</v>
      </c>
      <c r="K905" s="1">
        <v>4125000</v>
      </c>
      <c r="L905" s="1">
        <v>0</v>
      </c>
      <c r="M905" s="1">
        <v>400000</v>
      </c>
      <c r="N905" s="1">
        <v>2116173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5699091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1511552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2418483</v>
      </c>
      <c r="AM905" s="1">
        <v>0</v>
      </c>
      <c r="AN905" s="1">
        <v>41814228</v>
      </c>
      <c r="AO905" s="1">
        <v>6809688</v>
      </c>
      <c r="AP905" s="1">
        <v>35004540</v>
      </c>
      <c r="AQ905" s="1">
        <v>8362846</v>
      </c>
      <c r="AR905" s="1">
        <v>1254427</v>
      </c>
      <c r="AS905" s="1">
        <v>0</v>
      </c>
      <c r="AT905" s="1">
        <f t="shared" si="97"/>
        <v>51431501</v>
      </c>
    </row>
    <row r="906" spans="1:46">
      <c r="A906" s="1" t="str">
        <f>"01165"</f>
        <v>01165</v>
      </c>
      <c r="B906" s="1" t="str">
        <f>"کاظم"</f>
        <v>کاظم</v>
      </c>
      <c r="C906" s="1" t="str">
        <f>"مهربانيان"</f>
        <v>مهربانيان</v>
      </c>
      <c r="D906" s="1" t="str">
        <f t="shared" si="95"/>
        <v>قراردادي بهره بردار</v>
      </c>
      <c r="E906" s="1" t="str">
        <f t="shared" si="96"/>
        <v>پروژه بهره برداري نيروگاه بوشهر</v>
      </c>
      <c r="F906" s="1">
        <v>14790090</v>
      </c>
      <c r="G906" s="1">
        <v>2937493</v>
      </c>
      <c r="H906" s="1">
        <v>0</v>
      </c>
      <c r="I906" s="1">
        <v>7689944</v>
      </c>
      <c r="J906" s="1">
        <v>0</v>
      </c>
      <c r="K906" s="1">
        <v>5500000</v>
      </c>
      <c r="L906" s="1">
        <v>0</v>
      </c>
      <c r="M906" s="1">
        <v>400000</v>
      </c>
      <c r="N906" s="1">
        <v>2479881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1270000</v>
      </c>
      <c r="U906" s="1">
        <v>0</v>
      </c>
      <c r="V906" s="1">
        <v>3329390</v>
      </c>
      <c r="W906" s="1">
        <v>1100000</v>
      </c>
      <c r="X906" s="1">
        <v>2218514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1771343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6562640</v>
      </c>
      <c r="AM906" s="1">
        <v>0</v>
      </c>
      <c r="AN906" s="1">
        <v>50049295</v>
      </c>
      <c r="AO906" s="1">
        <v>10816459</v>
      </c>
      <c r="AP906" s="1">
        <v>39232836</v>
      </c>
      <c r="AQ906" s="1">
        <v>9755859</v>
      </c>
      <c r="AR906" s="1">
        <v>1463379</v>
      </c>
      <c r="AS906" s="1">
        <v>0</v>
      </c>
      <c r="AT906" s="1">
        <f t="shared" si="97"/>
        <v>61268533</v>
      </c>
    </row>
    <row r="907" spans="1:46">
      <c r="A907" s="1" t="str">
        <f>"01166"</f>
        <v>01166</v>
      </c>
      <c r="B907" s="1" t="str">
        <f>"محمد"</f>
        <v>محمد</v>
      </c>
      <c r="C907" s="1" t="str">
        <f>"ميرعلائي"</f>
        <v>ميرعلائي</v>
      </c>
      <c r="D907" s="1" t="str">
        <f t="shared" si="95"/>
        <v>قراردادي بهره بردار</v>
      </c>
      <c r="E907" s="1" t="str">
        <f t="shared" si="96"/>
        <v>پروژه بهره برداري نيروگاه بوشهر</v>
      </c>
      <c r="F907" s="1">
        <v>15212757</v>
      </c>
      <c r="G907" s="1">
        <v>6841343</v>
      </c>
      <c r="H907" s="1">
        <v>0</v>
      </c>
      <c r="I907" s="1">
        <v>10815591</v>
      </c>
      <c r="J907" s="1">
        <v>0</v>
      </c>
      <c r="K907" s="1">
        <v>4125000</v>
      </c>
      <c r="L907" s="1">
        <v>0</v>
      </c>
      <c r="M907" s="1">
        <v>400000</v>
      </c>
      <c r="N907" s="1">
        <v>2533851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1270000</v>
      </c>
      <c r="U907" s="1">
        <v>0</v>
      </c>
      <c r="V907" s="1">
        <v>10831069</v>
      </c>
      <c r="W907" s="1">
        <v>1100000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1809894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3474996</v>
      </c>
      <c r="AM907" s="1">
        <v>0</v>
      </c>
      <c r="AN907" s="1">
        <v>58414501</v>
      </c>
      <c r="AO907" s="1">
        <v>11057364</v>
      </c>
      <c r="AP907" s="1">
        <v>47357137</v>
      </c>
      <c r="AQ907" s="1">
        <v>11428900</v>
      </c>
      <c r="AR907" s="1">
        <v>1714335</v>
      </c>
      <c r="AS907" s="1">
        <v>0</v>
      </c>
      <c r="AT907" s="1">
        <f t="shared" si="97"/>
        <v>71557736</v>
      </c>
    </row>
    <row r="908" spans="1:46">
      <c r="A908" s="1" t="str">
        <f>"01167"</f>
        <v>01167</v>
      </c>
      <c r="B908" s="1" t="str">
        <f>"محمد"</f>
        <v>محمد</v>
      </c>
      <c r="C908" s="1" t="str">
        <f>"سروش"</f>
        <v>سروش</v>
      </c>
      <c r="D908" s="1" t="str">
        <f t="shared" si="95"/>
        <v>قراردادي بهره بردار</v>
      </c>
      <c r="E908" s="1" t="str">
        <f t="shared" si="96"/>
        <v>پروژه بهره برداري نيروگاه بوشهر</v>
      </c>
      <c r="F908" s="1">
        <v>13725080</v>
      </c>
      <c r="G908" s="1">
        <v>2241145</v>
      </c>
      <c r="H908" s="1">
        <v>0</v>
      </c>
      <c r="I908" s="1">
        <v>7420785</v>
      </c>
      <c r="J908" s="1">
        <v>0</v>
      </c>
      <c r="K908" s="1">
        <v>4125000</v>
      </c>
      <c r="L908" s="1">
        <v>0</v>
      </c>
      <c r="M908" s="1">
        <v>400000</v>
      </c>
      <c r="N908" s="1">
        <v>2248855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3104615</v>
      </c>
      <c r="W908" s="1">
        <v>1100000</v>
      </c>
      <c r="X908" s="1">
        <v>2058762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1606325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6045114</v>
      </c>
      <c r="AM908" s="1">
        <v>0</v>
      </c>
      <c r="AN908" s="1">
        <v>44075681</v>
      </c>
      <c r="AO908" s="1">
        <v>5589612</v>
      </c>
      <c r="AP908" s="1">
        <v>38486069</v>
      </c>
      <c r="AQ908" s="1">
        <v>8815136</v>
      </c>
      <c r="AR908" s="1">
        <v>1322270</v>
      </c>
      <c r="AS908" s="1">
        <v>0</v>
      </c>
      <c r="AT908" s="1">
        <f t="shared" si="97"/>
        <v>54213087</v>
      </c>
    </row>
    <row r="909" spans="1:46">
      <c r="A909" s="1" t="str">
        <f>"01169"</f>
        <v>01169</v>
      </c>
      <c r="B909" s="1" t="str">
        <f>"محمدمهدي"</f>
        <v>محمدمهدي</v>
      </c>
      <c r="C909" s="1" t="str">
        <f>"مهدي نياي رود پشتي"</f>
        <v>مهدي نياي رود پشتي</v>
      </c>
      <c r="D909" s="1" t="str">
        <f t="shared" si="95"/>
        <v>قراردادي بهره بردار</v>
      </c>
      <c r="E909" s="1" t="str">
        <f t="shared" si="96"/>
        <v>پروژه بهره برداري نيروگاه بوشهر</v>
      </c>
      <c r="F909" s="1">
        <v>14086064</v>
      </c>
      <c r="G909" s="1">
        <v>3052280</v>
      </c>
      <c r="H909" s="1">
        <v>0</v>
      </c>
      <c r="I909" s="1">
        <v>7281695</v>
      </c>
      <c r="J909" s="1">
        <v>0</v>
      </c>
      <c r="K909" s="1">
        <v>5500000</v>
      </c>
      <c r="L909" s="1">
        <v>0</v>
      </c>
      <c r="M909" s="1">
        <v>400000</v>
      </c>
      <c r="N909" s="1">
        <v>2379385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1270000</v>
      </c>
      <c r="U909" s="1">
        <v>0</v>
      </c>
      <c r="V909" s="1">
        <v>3171200</v>
      </c>
      <c r="W909" s="1">
        <v>1100000</v>
      </c>
      <c r="X909" s="1">
        <v>2112910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1699561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6265292</v>
      </c>
      <c r="AM909" s="1">
        <v>0</v>
      </c>
      <c r="AN909" s="1">
        <v>48318387</v>
      </c>
      <c r="AO909" s="1">
        <v>11634555</v>
      </c>
      <c r="AP909" s="1">
        <v>36683832</v>
      </c>
      <c r="AQ909" s="1">
        <v>9409677</v>
      </c>
      <c r="AR909" s="1">
        <v>1411452</v>
      </c>
      <c r="AS909" s="1">
        <v>0</v>
      </c>
      <c r="AT909" s="1">
        <f t="shared" si="97"/>
        <v>59139516</v>
      </c>
    </row>
    <row r="910" spans="1:46">
      <c r="A910" s="1" t="str">
        <f>"01170"</f>
        <v>01170</v>
      </c>
      <c r="B910" s="1" t="str">
        <f>"عماد"</f>
        <v>عماد</v>
      </c>
      <c r="C910" s="1" t="str">
        <f>"نوري فر"</f>
        <v>نوري فر</v>
      </c>
      <c r="D910" s="1" t="str">
        <f t="shared" si="95"/>
        <v>قراردادي بهره بردار</v>
      </c>
      <c r="E910" s="1" t="str">
        <f t="shared" si="96"/>
        <v>پروژه بهره برداري نيروگاه بوشهر</v>
      </c>
      <c r="F910" s="1">
        <v>14333396</v>
      </c>
      <c r="G910" s="1">
        <v>3139388</v>
      </c>
      <c r="H910" s="1">
        <v>0</v>
      </c>
      <c r="I910" s="1">
        <v>7628025</v>
      </c>
      <c r="J910" s="1">
        <v>0</v>
      </c>
      <c r="K910" s="1">
        <v>4125000</v>
      </c>
      <c r="L910" s="1">
        <v>0</v>
      </c>
      <c r="M910" s="1">
        <v>400000</v>
      </c>
      <c r="N910" s="1">
        <v>2471615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3261702</v>
      </c>
      <c r="W910" s="1">
        <v>1100000</v>
      </c>
      <c r="X910" s="1">
        <v>2150009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1765438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6418546</v>
      </c>
      <c r="AM910" s="1">
        <v>0</v>
      </c>
      <c r="AN910" s="1">
        <v>46793119</v>
      </c>
      <c r="AO910" s="1">
        <v>8939895</v>
      </c>
      <c r="AP910" s="1">
        <v>37853224</v>
      </c>
      <c r="AQ910" s="1">
        <v>9358624</v>
      </c>
      <c r="AR910" s="1">
        <v>1403794</v>
      </c>
      <c r="AS910" s="1">
        <v>0</v>
      </c>
      <c r="AT910" s="1">
        <f t="shared" si="97"/>
        <v>57555537</v>
      </c>
    </row>
    <row r="911" spans="1:46">
      <c r="A911" s="1" t="str">
        <f>"01172"</f>
        <v>01172</v>
      </c>
      <c r="B911" s="1" t="str">
        <f>"مظاهر"</f>
        <v>مظاهر</v>
      </c>
      <c r="C911" s="1" t="str">
        <f>"اسکندري"</f>
        <v>اسکندري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13956266</v>
      </c>
      <c r="G911" s="1">
        <v>4330614</v>
      </c>
      <c r="H911" s="1">
        <v>0</v>
      </c>
      <c r="I911" s="1">
        <v>9528480</v>
      </c>
      <c r="J911" s="1">
        <v>0</v>
      </c>
      <c r="K911" s="1">
        <v>5500000</v>
      </c>
      <c r="L911" s="1">
        <v>0</v>
      </c>
      <c r="M911" s="1">
        <v>400000</v>
      </c>
      <c r="N911" s="1">
        <v>2225413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9369616</v>
      </c>
      <c r="W911" s="1">
        <v>1100000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1589581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2924829</v>
      </c>
      <c r="AM911" s="1">
        <v>0</v>
      </c>
      <c r="AN911" s="1">
        <v>50924799</v>
      </c>
      <c r="AO911" s="1">
        <v>9522326</v>
      </c>
      <c r="AP911" s="1">
        <v>41402473</v>
      </c>
      <c r="AQ911" s="1">
        <v>10184960</v>
      </c>
      <c r="AR911" s="1">
        <v>1527744</v>
      </c>
      <c r="AS911" s="1">
        <v>0</v>
      </c>
      <c r="AT911" s="1">
        <f t="shared" si="97"/>
        <v>62637503</v>
      </c>
    </row>
    <row r="912" spans="1:46">
      <c r="A912" s="1" t="str">
        <f>"01173"</f>
        <v>01173</v>
      </c>
      <c r="B912" s="1" t="str">
        <f>"حجت"</f>
        <v>حجت</v>
      </c>
      <c r="C912" s="1" t="str">
        <f>"تنگسير اصل"</f>
        <v>تنگسير اصل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13376625</v>
      </c>
      <c r="G912" s="1">
        <v>2138240</v>
      </c>
      <c r="H912" s="1">
        <v>0</v>
      </c>
      <c r="I912" s="1">
        <v>6784035</v>
      </c>
      <c r="J912" s="1">
        <v>0</v>
      </c>
      <c r="K912" s="1">
        <v>4125000</v>
      </c>
      <c r="L912" s="1">
        <v>0</v>
      </c>
      <c r="M912" s="1">
        <v>400000</v>
      </c>
      <c r="N912" s="1">
        <v>2118277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2962065</v>
      </c>
      <c r="W912" s="1">
        <v>1100000</v>
      </c>
      <c r="X912" s="1">
        <v>2006494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1513056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5828654</v>
      </c>
      <c r="AM912" s="1">
        <v>0</v>
      </c>
      <c r="AN912" s="1">
        <v>42352446</v>
      </c>
      <c r="AO912" s="1">
        <v>6117043</v>
      </c>
      <c r="AP912" s="1">
        <v>36235403</v>
      </c>
      <c r="AQ912" s="1">
        <v>8470489</v>
      </c>
      <c r="AR912" s="1">
        <v>1270573</v>
      </c>
      <c r="AS912" s="1">
        <v>0</v>
      </c>
      <c r="AT912" s="1">
        <f t="shared" si="97"/>
        <v>52093508</v>
      </c>
    </row>
    <row r="913" spans="1:46">
      <c r="A913" s="1" t="str">
        <f>"01174"</f>
        <v>01174</v>
      </c>
      <c r="B913" s="1" t="str">
        <f>"محمد"</f>
        <v>محمد</v>
      </c>
      <c r="C913" s="1" t="str">
        <f>"جاماسب خلاري"</f>
        <v>جاماسب خلاري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13658442</v>
      </c>
      <c r="G913" s="1">
        <v>9361034</v>
      </c>
      <c r="H913" s="1">
        <v>0</v>
      </c>
      <c r="I913" s="1">
        <v>9222732</v>
      </c>
      <c r="J913" s="1">
        <v>0</v>
      </c>
      <c r="K913" s="1">
        <v>4125000</v>
      </c>
      <c r="L913" s="1">
        <v>0</v>
      </c>
      <c r="M913" s="1">
        <v>400000</v>
      </c>
      <c r="N913" s="1">
        <v>2124289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9954269</v>
      </c>
      <c r="W913" s="1">
        <v>1100000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1517349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3641638</v>
      </c>
      <c r="AM913" s="1">
        <v>0</v>
      </c>
      <c r="AN913" s="1">
        <v>55104753</v>
      </c>
      <c r="AO913" s="1">
        <v>13573797</v>
      </c>
      <c r="AP913" s="1">
        <v>41530956</v>
      </c>
      <c r="AQ913" s="1">
        <v>11020951</v>
      </c>
      <c r="AR913" s="1">
        <v>1653143</v>
      </c>
      <c r="AS913" s="1">
        <v>0</v>
      </c>
      <c r="AT913" s="1">
        <f t="shared" si="97"/>
        <v>67778847</v>
      </c>
    </row>
    <row r="914" spans="1:46">
      <c r="A914" s="1" t="str">
        <f>"01175"</f>
        <v>01175</v>
      </c>
      <c r="B914" s="1" t="str">
        <f>"محمد مرتضي"</f>
        <v>محمد مرتضي</v>
      </c>
      <c r="C914" s="1" t="str">
        <f>"غلامي"</f>
        <v>غلامي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14057272</v>
      </c>
      <c r="G914" s="1">
        <v>7107098</v>
      </c>
      <c r="H914" s="1">
        <v>0</v>
      </c>
      <c r="I914" s="1">
        <v>9121800</v>
      </c>
      <c r="J914" s="1">
        <v>0</v>
      </c>
      <c r="K914" s="1">
        <v>4125000</v>
      </c>
      <c r="L914" s="1">
        <v>0</v>
      </c>
      <c r="M914" s="1">
        <v>400000</v>
      </c>
      <c r="N914" s="1">
        <v>2239752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6265210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1599823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2815687</v>
      </c>
      <c r="AM914" s="1">
        <v>0</v>
      </c>
      <c r="AN914" s="1">
        <v>48831642</v>
      </c>
      <c r="AO914" s="1">
        <v>10125403</v>
      </c>
      <c r="AP914" s="1">
        <v>38706239</v>
      </c>
      <c r="AQ914" s="1">
        <v>9766328</v>
      </c>
      <c r="AR914" s="1">
        <v>1464949</v>
      </c>
      <c r="AS914" s="1">
        <v>0</v>
      </c>
      <c r="AT914" s="1">
        <f t="shared" si="97"/>
        <v>60062919</v>
      </c>
    </row>
    <row r="915" spans="1:46">
      <c r="A915" s="1" t="str">
        <f>"01176"</f>
        <v>01176</v>
      </c>
      <c r="B915" s="1" t="str">
        <f>"محمد"</f>
        <v>محمد</v>
      </c>
      <c r="C915" s="1" t="str">
        <f>"مهري"</f>
        <v>مهري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16088262</v>
      </c>
      <c r="G915" s="1">
        <v>2494349</v>
      </c>
      <c r="H915" s="1">
        <v>0</v>
      </c>
      <c r="I915" s="1">
        <v>8182606</v>
      </c>
      <c r="J915" s="1">
        <v>0</v>
      </c>
      <c r="K915" s="1">
        <v>5500000</v>
      </c>
      <c r="L915" s="1">
        <v>0</v>
      </c>
      <c r="M915" s="1">
        <v>400000</v>
      </c>
      <c r="N915" s="1">
        <v>2572878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1270000</v>
      </c>
      <c r="U915" s="1">
        <v>0</v>
      </c>
      <c r="V915" s="1">
        <v>3887297</v>
      </c>
      <c r="W915" s="1">
        <v>1100000</v>
      </c>
      <c r="X915" s="1">
        <v>2413239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1837770</v>
      </c>
      <c r="AF915" s="1">
        <v>0</v>
      </c>
      <c r="AG915" s="1">
        <v>3159648</v>
      </c>
      <c r="AH915" s="1">
        <v>0</v>
      </c>
      <c r="AI915" s="1">
        <v>0</v>
      </c>
      <c r="AJ915" s="1">
        <v>0</v>
      </c>
      <c r="AK915" s="1">
        <v>0</v>
      </c>
      <c r="AL915" s="1">
        <v>7031803</v>
      </c>
      <c r="AM915" s="1">
        <v>0</v>
      </c>
      <c r="AN915" s="1">
        <v>55937852</v>
      </c>
      <c r="AO915" s="1">
        <v>10385096</v>
      </c>
      <c r="AP915" s="1">
        <v>45552756</v>
      </c>
      <c r="AQ915" s="1">
        <v>10933570</v>
      </c>
      <c r="AR915" s="1">
        <v>1640036</v>
      </c>
      <c r="AS915" s="1">
        <v>0</v>
      </c>
      <c r="AT915" s="1">
        <f t="shared" si="97"/>
        <v>68511458</v>
      </c>
    </row>
    <row r="916" spans="1:46">
      <c r="A916" s="1" t="str">
        <f>"01177"</f>
        <v>01177</v>
      </c>
      <c r="B916" s="1" t="str">
        <f>"مسلم"</f>
        <v>مسلم</v>
      </c>
      <c r="C916" s="1" t="str">
        <f>"صالحي"</f>
        <v>صالحي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8256751</v>
      </c>
      <c r="G916" s="1">
        <v>4028757</v>
      </c>
      <c r="H916" s="1">
        <v>0</v>
      </c>
      <c r="I916" s="1">
        <v>3968639</v>
      </c>
      <c r="J916" s="1">
        <v>0</v>
      </c>
      <c r="K916" s="1">
        <v>0</v>
      </c>
      <c r="L916" s="1">
        <v>0</v>
      </c>
      <c r="M916" s="1">
        <v>400000</v>
      </c>
      <c r="N916" s="1">
        <v>1103574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1270000</v>
      </c>
      <c r="U916" s="1">
        <v>0</v>
      </c>
      <c r="V916" s="1">
        <v>1522081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788268</v>
      </c>
      <c r="AF916" s="1">
        <v>1111269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1103574</v>
      </c>
      <c r="AM916" s="1">
        <v>0</v>
      </c>
      <c r="AN916" s="1">
        <v>24652913</v>
      </c>
      <c r="AO916" s="1">
        <v>8625261</v>
      </c>
      <c r="AP916" s="1">
        <v>16027652</v>
      </c>
      <c r="AQ916" s="1">
        <v>4454329</v>
      </c>
      <c r="AR916" s="1">
        <v>668149</v>
      </c>
      <c r="AS916" s="1">
        <v>0</v>
      </c>
      <c r="AT916" s="1">
        <f t="shared" si="97"/>
        <v>29775391</v>
      </c>
    </row>
    <row r="917" spans="1:46">
      <c r="A917" s="1" t="str">
        <f>"01178"</f>
        <v>01178</v>
      </c>
      <c r="B917" s="1" t="str">
        <f>"مجيد"</f>
        <v>مجيد</v>
      </c>
      <c r="C917" s="1" t="str">
        <f>"دانيالي"</f>
        <v>دانيالي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14093793</v>
      </c>
      <c r="G917" s="1">
        <v>1367969</v>
      </c>
      <c r="H917" s="1">
        <v>0</v>
      </c>
      <c r="I917" s="1">
        <v>9463092</v>
      </c>
      <c r="J917" s="1">
        <v>0</v>
      </c>
      <c r="K917" s="1">
        <v>5500000</v>
      </c>
      <c r="L917" s="1">
        <v>0</v>
      </c>
      <c r="M917" s="1">
        <v>400000</v>
      </c>
      <c r="N917" s="1">
        <v>2261095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7504290</v>
      </c>
      <c r="W917" s="1">
        <v>1100000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1615068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2584109</v>
      </c>
      <c r="AM917" s="1">
        <v>0</v>
      </c>
      <c r="AN917" s="1">
        <v>45889416</v>
      </c>
      <c r="AO917" s="1">
        <v>7424318</v>
      </c>
      <c r="AP917" s="1">
        <v>38465098</v>
      </c>
      <c r="AQ917" s="1">
        <v>9177883</v>
      </c>
      <c r="AR917" s="1">
        <v>1376682</v>
      </c>
      <c r="AS917" s="1">
        <v>0</v>
      </c>
      <c r="AT917" s="1">
        <f t="shared" si="97"/>
        <v>56443981</v>
      </c>
    </row>
    <row r="918" spans="1:46">
      <c r="A918" s="1" t="str">
        <f>"01179"</f>
        <v>01179</v>
      </c>
      <c r="B918" s="1" t="str">
        <f>"جواد"</f>
        <v>جواد</v>
      </c>
      <c r="C918" s="1" t="str">
        <f>"ذبيحي شيخ آبادي"</f>
        <v>ذبيحي شيخ آبادي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14130982</v>
      </c>
      <c r="G918" s="1">
        <v>7655651</v>
      </c>
      <c r="H918" s="1">
        <v>0</v>
      </c>
      <c r="I918" s="1">
        <v>10169608</v>
      </c>
      <c r="J918" s="1">
        <v>0</v>
      </c>
      <c r="K918" s="1">
        <v>5500000</v>
      </c>
      <c r="L918" s="1">
        <v>0</v>
      </c>
      <c r="M918" s="1">
        <v>400000</v>
      </c>
      <c r="N918" s="1">
        <v>2301094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9938154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1643638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3813240</v>
      </c>
      <c r="AM918" s="1">
        <v>0</v>
      </c>
      <c r="AN918" s="1">
        <v>56652367</v>
      </c>
      <c r="AO918" s="1">
        <v>11443952</v>
      </c>
      <c r="AP918" s="1">
        <v>45208415</v>
      </c>
      <c r="AQ918" s="1">
        <v>11330473</v>
      </c>
      <c r="AR918" s="1">
        <v>1699571</v>
      </c>
      <c r="AS918" s="1">
        <v>0</v>
      </c>
      <c r="AT918" s="1">
        <f t="shared" si="97"/>
        <v>69682411</v>
      </c>
    </row>
    <row r="919" spans="1:46">
      <c r="A919" s="1" t="str">
        <f>"01180"</f>
        <v>01180</v>
      </c>
      <c r="B919" s="1" t="str">
        <f>"نجمه"</f>
        <v>نجمه</v>
      </c>
      <c r="C919" s="1" t="str">
        <f>"ناظمي"</f>
        <v>ناظمي</v>
      </c>
      <c r="D919" s="1" t="str">
        <f t="shared" si="95"/>
        <v>قراردادي بهره بردار</v>
      </c>
      <c r="E919" s="1" t="str">
        <f t="shared" si="96"/>
        <v>پروژه بهره برداري نيروگاه بوشهر</v>
      </c>
      <c r="F919" s="1">
        <v>13009168</v>
      </c>
      <c r="G919" s="1">
        <v>222837</v>
      </c>
      <c r="H919" s="1">
        <v>0</v>
      </c>
      <c r="I919" s="1">
        <v>9261982</v>
      </c>
      <c r="J919" s="1">
        <v>0</v>
      </c>
      <c r="K919" s="1">
        <v>4125000</v>
      </c>
      <c r="L919" s="1">
        <v>0</v>
      </c>
      <c r="M919" s="1">
        <v>400000</v>
      </c>
      <c r="N919" s="1">
        <v>1978341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2778224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1413100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2119651</v>
      </c>
      <c r="AM919" s="1">
        <v>0</v>
      </c>
      <c r="AN919" s="1">
        <v>36408303</v>
      </c>
      <c r="AO919" s="1">
        <v>9631528</v>
      </c>
      <c r="AP919" s="1">
        <v>26776775</v>
      </c>
      <c r="AQ919" s="1">
        <v>7281661</v>
      </c>
      <c r="AR919" s="1">
        <v>1092249</v>
      </c>
      <c r="AS919" s="1">
        <v>0</v>
      </c>
      <c r="AT919" s="1">
        <f t="shared" si="97"/>
        <v>44782213</v>
      </c>
    </row>
    <row r="920" spans="1:46">
      <c r="A920" s="1" t="str">
        <f>"01182"</f>
        <v>01182</v>
      </c>
      <c r="B920" s="1" t="str">
        <f>"علي"</f>
        <v>علي</v>
      </c>
      <c r="C920" s="1" t="str">
        <f>"احدي"</f>
        <v>احدي</v>
      </c>
      <c r="D920" s="1" t="str">
        <f t="shared" si="95"/>
        <v>قراردادي بهره بردار</v>
      </c>
      <c r="E920" s="1" t="str">
        <f t="shared" si="96"/>
        <v>پروژه بهره برداري نيروگاه بوشهر</v>
      </c>
      <c r="F920" s="1">
        <v>14952050</v>
      </c>
      <c r="G920" s="1">
        <v>3552327</v>
      </c>
      <c r="H920" s="1">
        <v>0</v>
      </c>
      <c r="I920" s="1">
        <v>8094563</v>
      </c>
      <c r="J920" s="1">
        <v>0</v>
      </c>
      <c r="K920" s="1">
        <v>5500000</v>
      </c>
      <c r="L920" s="1">
        <v>0</v>
      </c>
      <c r="M920" s="1">
        <v>400000</v>
      </c>
      <c r="N920" s="1">
        <v>2541793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1270000</v>
      </c>
      <c r="U920" s="1">
        <v>0</v>
      </c>
      <c r="V920" s="1">
        <v>3406827</v>
      </c>
      <c r="W920" s="1">
        <v>1100000</v>
      </c>
      <c r="X920" s="1">
        <v>2242808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1815566</v>
      </c>
      <c r="AF920" s="1">
        <v>1111269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6664294</v>
      </c>
      <c r="AM920" s="1">
        <v>0</v>
      </c>
      <c r="AN920" s="1">
        <v>52651497</v>
      </c>
      <c r="AO920" s="1">
        <v>9523366</v>
      </c>
      <c r="AP920" s="1">
        <v>43128131</v>
      </c>
      <c r="AQ920" s="1">
        <v>10054046</v>
      </c>
      <c r="AR920" s="1">
        <v>1508107</v>
      </c>
      <c r="AS920" s="1">
        <v>0</v>
      </c>
      <c r="AT920" s="1">
        <f t="shared" si="97"/>
        <v>64213650</v>
      </c>
    </row>
    <row r="921" spans="1:46">
      <c r="A921" s="1" t="str">
        <f>"01183"</f>
        <v>01183</v>
      </c>
      <c r="B921" s="1" t="str">
        <f>"مسعود"</f>
        <v>مسعود</v>
      </c>
      <c r="C921" s="1" t="str">
        <f>"كرمي"</f>
        <v>كرمي</v>
      </c>
      <c r="D921" s="1" t="str">
        <f t="shared" si="95"/>
        <v>قراردادي بهره بردار</v>
      </c>
      <c r="E921" s="1" t="str">
        <f t="shared" si="96"/>
        <v>پروژه بهره برداري نيروگاه بوشهر</v>
      </c>
      <c r="F921" s="1">
        <v>16460377</v>
      </c>
      <c r="G921" s="1">
        <v>7063966</v>
      </c>
      <c r="H921" s="1">
        <v>0</v>
      </c>
      <c r="I921" s="1">
        <v>11194736</v>
      </c>
      <c r="J921" s="1">
        <v>0</v>
      </c>
      <c r="K921" s="1">
        <v>4125000</v>
      </c>
      <c r="L921" s="1">
        <v>0</v>
      </c>
      <c r="M921" s="1">
        <v>400000</v>
      </c>
      <c r="N921" s="1">
        <v>2650542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8807023</v>
      </c>
      <c r="W921" s="1">
        <v>1100000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1893244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3029190</v>
      </c>
      <c r="AM921" s="1">
        <v>0</v>
      </c>
      <c r="AN921" s="1">
        <v>56724078</v>
      </c>
      <c r="AO921" s="1">
        <v>9244541</v>
      </c>
      <c r="AP921" s="1">
        <v>47479537</v>
      </c>
      <c r="AQ921" s="1">
        <v>11344816</v>
      </c>
      <c r="AR921" s="1">
        <v>1701722</v>
      </c>
      <c r="AS921" s="1">
        <v>0</v>
      </c>
      <c r="AT921" s="1">
        <f t="shared" si="97"/>
        <v>69770616</v>
      </c>
    </row>
    <row r="922" spans="1:46">
      <c r="A922" s="1" t="str">
        <f>"01185"</f>
        <v>01185</v>
      </c>
      <c r="B922" s="1" t="str">
        <f>"محمود"</f>
        <v>محمود</v>
      </c>
      <c r="C922" s="1" t="str">
        <f>"دهقاني"</f>
        <v>دهقاني</v>
      </c>
      <c r="D922" s="1" t="str">
        <f>"قراردادي کارگري"</f>
        <v>قراردادي کارگري</v>
      </c>
      <c r="E922" s="1" t="str">
        <f>"پروژه تعميرات نيروگاه بوشهر"</f>
        <v>پروژه تعميرات نيروگاه بوشهر</v>
      </c>
      <c r="F922" s="1">
        <v>8058492</v>
      </c>
      <c r="G922" s="1">
        <v>8022523</v>
      </c>
      <c r="H922" s="1">
        <v>0</v>
      </c>
      <c r="I922" s="1">
        <v>4835095</v>
      </c>
      <c r="J922" s="1">
        <v>0</v>
      </c>
      <c r="K922" s="1">
        <v>0</v>
      </c>
      <c r="L922" s="1">
        <v>3620700</v>
      </c>
      <c r="M922" s="1">
        <v>400000</v>
      </c>
      <c r="N922" s="1">
        <v>4297862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6693645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2222538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39250855</v>
      </c>
      <c r="AO922" s="1">
        <v>8225574</v>
      </c>
      <c r="AP922" s="1">
        <v>31025281</v>
      </c>
      <c r="AQ922" s="1">
        <v>7405663</v>
      </c>
      <c r="AR922" s="1">
        <v>1110850</v>
      </c>
      <c r="AS922" s="1">
        <v>795000</v>
      </c>
      <c r="AT922" s="1">
        <f t="shared" si="97"/>
        <v>48562368</v>
      </c>
    </row>
    <row r="923" spans="1:46">
      <c r="A923" s="1" t="str">
        <f>"01186"</f>
        <v>01186</v>
      </c>
      <c r="B923" s="1" t="str">
        <f>"امير"</f>
        <v>امير</v>
      </c>
      <c r="C923" s="1" t="str">
        <f>"بختياري فرد"</f>
        <v>بختياري فرد</v>
      </c>
      <c r="D923" s="1" t="str">
        <f>"قراردادي کارگري"</f>
        <v>قراردادي کارگري</v>
      </c>
      <c r="E923" s="1" t="str">
        <f>"پروژه تعميرات نيروگاه بوشهر"</f>
        <v>پروژه تعميرات نيروگاه بوشهر</v>
      </c>
      <c r="F923" s="1">
        <v>5518656</v>
      </c>
      <c r="G923" s="1">
        <v>0</v>
      </c>
      <c r="H923" s="1">
        <v>0</v>
      </c>
      <c r="I923" s="1">
        <v>3311194</v>
      </c>
      <c r="J923" s="1">
        <v>0</v>
      </c>
      <c r="K923" s="1">
        <v>0</v>
      </c>
      <c r="L923" s="1">
        <v>3620700</v>
      </c>
      <c r="M923" s="1">
        <v>400000</v>
      </c>
      <c r="N923" s="1">
        <v>2943283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5068150</v>
      </c>
      <c r="W923" s="1">
        <v>1100000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21961983</v>
      </c>
      <c r="AO923" s="1">
        <v>3532236</v>
      </c>
      <c r="AP923" s="1">
        <v>18429747</v>
      </c>
      <c r="AQ923" s="1">
        <v>4392397</v>
      </c>
      <c r="AR923" s="1">
        <v>658859</v>
      </c>
      <c r="AS923" s="1">
        <v>300000</v>
      </c>
      <c r="AT923" s="1">
        <f t="shared" si="97"/>
        <v>27313239</v>
      </c>
    </row>
    <row r="924" spans="1:46">
      <c r="A924" s="1" t="str">
        <f>"01187"</f>
        <v>01187</v>
      </c>
      <c r="B924" s="1" t="str">
        <f>"محمد جواد"</f>
        <v>محمد جواد</v>
      </c>
      <c r="C924" s="1" t="str">
        <f>"پرستار سنگي"</f>
        <v>پرستار سنگي</v>
      </c>
      <c r="D924" s="1" t="str">
        <f>"قراردادي کارگري"</f>
        <v>قراردادي کارگري</v>
      </c>
      <c r="E924" s="1" t="str">
        <f>"پروژه تعميرات نيروگاه بوشهر"</f>
        <v>پروژه تعميرات نيروگاه بوشهر</v>
      </c>
      <c r="F924" s="1">
        <v>4834050</v>
      </c>
      <c r="G924" s="1">
        <v>0</v>
      </c>
      <c r="H924" s="1">
        <v>0</v>
      </c>
      <c r="I924" s="1">
        <v>2900430</v>
      </c>
      <c r="J924" s="1">
        <v>0</v>
      </c>
      <c r="K924" s="1">
        <v>0</v>
      </c>
      <c r="L924" s="1">
        <v>3620700</v>
      </c>
      <c r="M924" s="1">
        <v>400000</v>
      </c>
      <c r="N924" s="1">
        <v>2578160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1543334</v>
      </c>
      <c r="W924" s="1">
        <v>1100000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16976674</v>
      </c>
      <c r="AO924" s="1">
        <v>8111033</v>
      </c>
      <c r="AP924" s="1">
        <v>8865641</v>
      </c>
      <c r="AQ924" s="1">
        <v>3395335</v>
      </c>
      <c r="AR924" s="1">
        <v>509300</v>
      </c>
      <c r="AS924" s="1">
        <v>300000</v>
      </c>
      <c r="AT924" s="1">
        <f t="shared" si="97"/>
        <v>21181309</v>
      </c>
    </row>
    <row r="925" spans="1:46">
      <c r="A925" s="1" t="str">
        <f>"01188"</f>
        <v>01188</v>
      </c>
      <c r="B925" s="1" t="str">
        <f>"آرش"</f>
        <v>آرش</v>
      </c>
      <c r="C925" s="1" t="str">
        <f>"احمد خسروي"</f>
        <v>احمد خسروي</v>
      </c>
      <c r="D925" s="1" t="str">
        <f>"قراردادي بهره بردار"</f>
        <v>قراردادي بهره بردار</v>
      </c>
      <c r="E925" s="1" t="str">
        <f t="shared" ref="E925:E941" si="98">"پروژه بهره برداري نيروگاه بوشهر"</f>
        <v>پروژه بهره برداري نيروگاه بوشهر</v>
      </c>
      <c r="F925" s="1">
        <v>14665727</v>
      </c>
      <c r="G925" s="1">
        <v>2953351</v>
      </c>
      <c r="H925" s="1">
        <v>0</v>
      </c>
      <c r="I925" s="1">
        <v>9893024</v>
      </c>
      <c r="J925" s="1">
        <v>0</v>
      </c>
      <c r="K925" s="1">
        <v>4125000</v>
      </c>
      <c r="L925" s="1">
        <v>0</v>
      </c>
      <c r="M925" s="1">
        <v>400000</v>
      </c>
      <c r="N925" s="1">
        <v>2291427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5878982</v>
      </c>
      <c r="W925" s="1">
        <v>1100000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1636734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2455100</v>
      </c>
      <c r="AM925" s="1">
        <v>0</v>
      </c>
      <c r="AN925" s="1">
        <v>45399345</v>
      </c>
      <c r="AO925" s="1">
        <v>7541223</v>
      </c>
      <c r="AP925" s="1">
        <v>37858122</v>
      </c>
      <c r="AQ925" s="1">
        <v>9079869</v>
      </c>
      <c r="AR925" s="1">
        <v>1361980</v>
      </c>
      <c r="AS925" s="1">
        <v>0</v>
      </c>
      <c r="AT925" s="1">
        <f t="shared" si="97"/>
        <v>55841194</v>
      </c>
    </row>
    <row r="926" spans="1:46">
      <c r="A926" s="1" t="str">
        <f>"01189"</f>
        <v>01189</v>
      </c>
      <c r="B926" s="1" t="str">
        <f>"سيد علي"</f>
        <v>سيد علي</v>
      </c>
      <c r="C926" s="1" t="str">
        <f>"احمدي"</f>
        <v>احمدي</v>
      </c>
      <c r="D926" s="1" t="str">
        <f>"قراردادي بهره بردار"</f>
        <v>قراردادي بهره بردار</v>
      </c>
      <c r="E926" s="1" t="str">
        <f t="shared" si="98"/>
        <v>پروژه بهره برداري نيروگاه بوشهر</v>
      </c>
      <c r="F926" s="1">
        <v>15253321</v>
      </c>
      <c r="G926" s="1">
        <v>5411776</v>
      </c>
      <c r="H926" s="1">
        <v>0</v>
      </c>
      <c r="I926" s="1">
        <v>11025689</v>
      </c>
      <c r="J926" s="1">
        <v>0</v>
      </c>
      <c r="K926" s="1">
        <v>4125000</v>
      </c>
      <c r="L926" s="1">
        <v>0</v>
      </c>
      <c r="M926" s="1">
        <v>400000</v>
      </c>
      <c r="N926" s="1">
        <v>2525459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6872096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1803900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3752111</v>
      </c>
      <c r="AM926" s="1">
        <v>0</v>
      </c>
      <c r="AN926" s="1">
        <v>52269352</v>
      </c>
      <c r="AO926" s="1">
        <v>8072419</v>
      </c>
      <c r="AP926" s="1">
        <v>44196933</v>
      </c>
      <c r="AQ926" s="1">
        <v>10453870</v>
      </c>
      <c r="AR926" s="1">
        <v>1568081</v>
      </c>
      <c r="AS926" s="1">
        <v>0</v>
      </c>
      <c r="AT926" s="1">
        <f t="shared" si="97"/>
        <v>64291303</v>
      </c>
    </row>
    <row r="927" spans="1:46">
      <c r="A927" s="1" t="str">
        <f>"01190"</f>
        <v>01190</v>
      </c>
      <c r="B927" s="1" t="str">
        <f>"علي"</f>
        <v>علي</v>
      </c>
      <c r="C927" s="1" t="str">
        <f>"بازياري"</f>
        <v>بازياري</v>
      </c>
      <c r="D927" s="1" t="str">
        <f>"قراردادي بهره بردار"</f>
        <v>قراردادي بهره بردار</v>
      </c>
      <c r="E927" s="1" t="str">
        <f t="shared" si="98"/>
        <v>پروژه بهره برداري نيروگاه بوشهر</v>
      </c>
      <c r="F927" s="1">
        <v>13131757</v>
      </c>
      <c r="G927" s="1">
        <v>2549713</v>
      </c>
      <c r="H927" s="1">
        <v>0</v>
      </c>
      <c r="I927" s="1">
        <v>6612251</v>
      </c>
      <c r="J927" s="1">
        <v>0</v>
      </c>
      <c r="K927" s="1">
        <v>5500000</v>
      </c>
      <c r="L927" s="1">
        <v>0</v>
      </c>
      <c r="M927" s="1">
        <v>400000</v>
      </c>
      <c r="N927" s="1">
        <v>2028141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1270000</v>
      </c>
      <c r="U927" s="1">
        <v>0</v>
      </c>
      <c r="V927" s="1">
        <v>2889876</v>
      </c>
      <c r="W927" s="1">
        <v>1100000</v>
      </c>
      <c r="X927" s="1">
        <v>1969764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1448673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5677935</v>
      </c>
      <c r="AM927" s="1">
        <v>0</v>
      </c>
      <c r="AN927" s="1">
        <v>44578110</v>
      </c>
      <c r="AO927" s="1">
        <v>10944408</v>
      </c>
      <c r="AP927" s="1">
        <v>33633702</v>
      </c>
      <c r="AQ927" s="1">
        <v>8661622</v>
      </c>
      <c r="AR927" s="1">
        <v>1299243</v>
      </c>
      <c r="AS927" s="1">
        <v>0</v>
      </c>
      <c r="AT927" s="1">
        <f t="shared" si="97"/>
        <v>54538975</v>
      </c>
    </row>
    <row r="928" spans="1:46">
      <c r="A928" s="1" t="str">
        <f>"01191"</f>
        <v>01191</v>
      </c>
      <c r="B928" s="1" t="str">
        <f>"احسان"</f>
        <v>احسان</v>
      </c>
      <c r="C928" s="1" t="str">
        <f>"خان خانان"</f>
        <v>خان خانان</v>
      </c>
      <c r="D928" s="1" t="str">
        <f>"قراردادي بهره بردار"</f>
        <v>قراردادي بهره بردار</v>
      </c>
      <c r="E928" s="1" t="str">
        <f t="shared" si="98"/>
        <v>پروژه بهره برداري نيروگاه بوشهر</v>
      </c>
      <c r="F928" s="1">
        <v>11611761</v>
      </c>
      <c r="G928" s="1">
        <v>10520980</v>
      </c>
      <c r="H928" s="1">
        <v>0</v>
      </c>
      <c r="I928" s="1">
        <v>8997677</v>
      </c>
      <c r="J928" s="1">
        <v>0</v>
      </c>
      <c r="K928" s="1">
        <v>4620000</v>
      </c>
      <c r="L928" s="1">
        <v>0</v>
      </c>
      <c r="M928" s="1">
        <v>400000</v>
      </c>
      <c r="N928" s="1">
        <v>2164549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1270000</v>
      </c>
      <c r="U928" s="1">
        <v>0</v>
      </c>
      <c r="V928" s="1">
        <v>10848701</v>
      </c>
      <c r="W928" s="1">
        <v>1100000</v>
      </c>
      <c r="X928" s="1">
        <v>1741764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1546107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8554759</v>
      </c>
      <c r="AM928" s="1">
        <v>0</v>
      </c>
      <c r="AN928" s="1">
        <v>63376298</v>
      </c>
      <c r="AO928" s="1">
        <v>14269422</v>
      </c>
      <c r="AP928" s="1">
        <v>49106876</v>
      </c>
      <c r="AQ928" s="1">
        <v>12421260</v>
      </c>
      <c r="AR928" s="1">
        <v>1863189</v>
      </c>
      <c r="AS928" s="1">
        <v>0</v>
      </c>
      <c r="AT928" s="1">
        <f t="shared" si="97"/>
        <v>77660747</v>
      </c>
    </row>
    <row r="929" spans="1:46">
      <c r="A929" s="1" t="str">
        <f>"01192"</f>
        <v>01192</v>
      </c>
      <c r="B929" s="1" t="str">
        <f>"حسين"</f>
        <v>حسين</v>
      </c>
      <c r="C929" s="1" t="str">
        <f>"معيني"</f>
        <v>معيني</v>
      </c>
      <c r="D929" s="1" t="str">
        <f>"قراردادي بهره بردار"</f>
        <v>قراردادي بهره بردار</v>
      </c>
      <c r="E929" s="1" t="str">
        <f t="shared" si="98"/>
        <v>پروژه بهره برداري نيروگاه بوشهر</v>
      </c>
      <c r="F929" s="1">
        <v>11637040</v>
      </c>
      <c r="G929" s="1">
        <v>13783785</v>
      </c>
      <c r="H929" s="1">
        <v>0</v>
      </c>
      <c r="I929" s="1">
        <v>9104085</v>
      </c>
      <c r="J929" s="1">
        <v>0</v>
      </c>
      <c r="K929" s="1">
        <v>4620000</v>
      </c>
      <c r="L929" s="1">
        <v>0</v>
      </c>
      <c r="M929" s="1">
        <v>400000</v>
      </c>
      <c r="N929" s="1">
        <v>2174333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1270000</v>
      </c>
      <c r="U929" s="1">
        <v>0</v>
      </c>
      <c r="V929" s="1">
        <v>10907759</v>
      </c>
      <c r="W929" s="1">
        <v>1100000</v>
      </c>
      <c r="X929" s="1">
        <v>1745556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1553095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8585262</v>
      </c>
      <c r="AM929" s="1">
        <v>0</v>
      </c>
      <c r="AN929" s="1">
        <v>66880915</v>
      </c>
      <c r="AO929" s="1">
        <v>14501531</v>
      </c>
      <c r="AP929" s="1">
        <v>52379384</v>
      </c>
      <c r="AQ929" s="1">
        <v>13122183</v>
      </c>
      <c r="AR929" s="1">
        <v>1968327</v>
      </c>
      <c r="AS929" s="1">
        <v>0</v>
      </c>
      <c r="AT929" s="1">
        <f t="shared" si="97"/>
        <v>81971425</v>
      </c>
    </row>
    <row r="930" spans="1:46">
      <c r="A930" s="1" t="str">
        <f>"01193"</f>
        <v>01193</v>
      </c>
      <c r="B930" s="1" t="str">
        <f>"محمد حسين"</f>
        <v>محمد حسين</v>
      </c>
      <c r="C930" s="1" t="str">
        <f>"افضلي"</f>
        <v>افضلي</v>
      </c>
      <c r="D930" s="1" t="str">
        <f>"قراردادي کارگري"</f>
        <v>قراردادي کارگري</v>
      </c>
      <c r="E930" s="1" t="str">
        <f t="shared" si="98"/>
        <v>پروژه بهره برداري نيروگاه بوشهر</v>
      </c>
      <c r="F930" s="1">
        <v>8741115</v>
      </c>
      <c r="G930" s="1">
        <v>405590</v>
      </c>
      <c r="H930" s="1">
        <v>0</v>
      </c>
      <c r="I930" s="1">
        <v>4641416</v>
      </c>
      <c r="J930" s="1">
        <v>0</v>
      </c>
      <c r="K930" s="1">
        <v>0</v>
      </c>
      <c r="L930" s="1">
        <v>0</v>
      </c>
      <c r="M930" s="1">
        <v>400000</v>
      </c>
      <c r="N930" s="1">
        <v>1279577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1685567</v>
      </c>
      <c r="W930" s="1">
        <v>1100000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913983</v>
      </c>
      <c r="AF930" s="1">
        <v>1111269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1279577</v>
      </c>
      <c r="AM930" s="1">
        <v>0</v>
      </c>
      <c r="AN930" s="1">
        <v>21558094</v>
      </c>
      <c r="AO930" s="1">
        <v>4655278</v>
      </c>
      <c r="AP930" s="1">
        <v>16902816</v>
      </c>
      <c r="AQ930" s="1">
        <v>4089365</v>
      </c>
      <c r="AR930" s="1">
        <v>613405</v>
      </c>
      <c r="AS930" s="1">
        <v>0</v>
      </c>
      <c r="AT930" s="1">
        <f t="shared" si="97"/>
        <v>26260864</v>
      </c>
    </row>
    <row r="931" spans="1:46">
      <c r="A931" s="1" t="str">
        <f>"01194"</f>
        <v>01194</v>
      </c>
      <c r="B931" s="1" t="str">
        <f>"محمد هادي"</f>
        <v>محمد هادي</v>
      </c>
      <c r="C931" s="1" t="str">
        <f>"كارآمد"</f>
        <v>كارآمد</v>
      </c>
      <c r="D931" s="1" t="str">
        <f>"قراردادي بهره بردار"</f>
        <v>قراردادي بهره بردار</v>
      </c>
      <c r="E931" s="1" t="str">
        <f t="shared" si="98"/>
        <v>پروژه بهره برداري نيروگاه بوشهر</v>
      </c>
      <c r="F931" s="1">
        <v>11801687</v>
      </c>
      <c r="G931" s="1">
        <v>7207409</v>
      </c>
      <c r="H931" s="1">
        <v>0</v>
      </c>
      <c r="I931" s="1">
        <v>9366399</v>
      </c>
      <c r="J931" s="1">
        <v>0</v>
      </c>
      <c r="K931" s="1">
        <v>3465000</v>
      </c>
      <c r="L931" s="1">
        <v>0</v>
      </c>
      <c r="M931" s="1">
        <v>400000</v>
      </c>
      <c r="N931" s="1">
        <v>2236262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11147872</v>
      </c>
      <c r="W931" s="1">
        <v>1100000</v>
      </c>
      <c r="X931" s="1">
        <v>1770253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1597330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8779750</v>
      </c>
      <c r="AM931" s="1">
        <v>0</v>
      </c>
      <c r="AN931" s="1">
        <v>58871962</v>
      </c>
      <c r="AO931" s="1">
        <v>12342719</v>
      </c>
      <c r="AP931" s="1">
        <v>46529243</v>
      </c>
      <c r="AQ931" s="1">
        <v>11774392</v>
      </c>
      <c r="AR931" s="1">
        <v>1766159</v>
      </c>
      <c r="AS931" s="1">
        <v>0</v>
      </c>
      <c r="AT931" s="1">
        <f t="shared" si="97"/>
        <v>72412513</v>
      </c>
    </row>
    <row r="932" spans="1:46">
      <c r="A932" s="1" t="str">
        <f>"01195"</f>
        <v>01195</v>
      </c>
      <c r="B932" s="1" t="str">
        <f>"عليرضا"</f>
        <v>عليرضا</v>
      </c>
      <c r="C932" s="1" t="str">
        <f>"ايزدبخش"</f>
        <v>ايزدبخش</v>
      </c>
      <c r="D932" s="1" t="str">
        <f>"قراردادي بهره بردار"</f>
        <v>قراردادي بهره بردار</v>
      </c>
      <c r="E932" s="1" t="str">
        <f t="shared" si="98"/>
        <v>پروژه بهره برداري نيروگاه بوشهر</v>
      </c>
      <c r="F932" s="1">
        <v>11094495</v>
      </c>
      <c r="G932" s="1">
        <v>14112990</v>
      </c>
      <c r="H932" s="1">
        <v>0</v>
      </c>
      <c r="I932" s="1">
        <v>10591763</v>
      </c>
      <c r="J932" s="1">
        <v>0</v>
      </c>
      <c r="K932" s="1">
        <v>3465000</v>
      </c>
      <c r="L932" s="1">
        <v>0</v>
      </c>
      <c r="M932" s="1">
        <v>400000</v>
      </c>
      <c r="N932" s="1">
        <v>1983849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6043320</v>
      </c>
      <c r="W932" s="1">
        <v>1100000</v>
      </c>
      <c r="X932" s="1">
        <v>1664174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1417035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7579453</v>
      </c>
      <c r="AM932" s="1">
        <v>0</v>
      </c>
      <c r="AN932" s="1">
        <v>59452079</v>
      </c>
      <c r="AO932" s="1">
        <v>17734736</v>
      </c>
      <c r="AP932" s="1">
        <v>41717343</v>
      </c>
      <c r="AQ932" s="1">
        <v>11890416</v>
      </c>
      <c r="AR932" s="1">
        <v>1783562</v>
      </c>
      <c r="AS932" s="1">
        <v>0</v>
      </c>
      <c r="AT932" s="1">
        <f t="shared" si="97"/>
        <v>73126057</v>
      </c>
    </row>
    <row r="933" spans="1:46">
      <c r="A933" s="1" t="str">
        <f>"01196"</f>
        <v>01196</v>
      </c>
      <c r="B933" s="1" t="str">
        <f>"محمد"</f>
        <v>محمد</v>
      </c>
      <c r="C933" s="1" t="str">
        <f>"نژاد فرحاني"</f>
        <v>نژاد فرحاني</v>
      </c>
      <c r="D933" s="1" t="str">
        <f>"قراردادي بهره بردار"</f>
        <v>قراردادي بهره بردار</v>
      </c>
      <c r="E933" s="1" t="str">
        <f t="shared" si="98"/>
        <v>پروژه بهره برداري نيروگاه بوشهر</v>
      </c>
      <c r="F933" s="1">
        <v>13319195</v>
      </c>
      <c r="G933" s="1">
        <v>17771822</v>
      </c>
      <c r="H933" s="1">
        <v>0</v>
      </c>
      <c r="I933" s="1">
        <v>13830386</v>
      </c>
      <c r="J933" s="1">
        <v>0</v>
      </c>
      <c r="K933" s="1">
        <v>4620000</v>
      </c>
      <c r="L933" s="1">
        <v>0</v>
      </c>
      <c r="M933" s="1">
        <v>400000</v>
      </c>
      <c r="N933" s="1">
        <v>2522968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1270000</v>
      </c>
      <c r="U933" s="1">
        <v>0</v>
      </c>
      <c r="V933" s="1">
        <v>7868782</v>
      </c>
      <c r="W933" s="1">
        <v>1100000</v>
      </c>
      <c r="X933" s="1">
        <v>1997879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1802120</v>
      </c>
      <c r="AF933" s="1">
        <v>2222538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9402119</v>
      </c>
      <c r="AM933" s="1">
        <v>0</v>
      </c>
      <c r="AN933" s="1">
        <v>78127809</v>
      </c>
      <c r="AO933" s="1">
        <v>23289608</v>
      </c>
      <c r="AP933" s="1">
        <v>54838201</v>
      </c>
      <c r="AQ933" s="1">
        <v>14927054</v>
      </c>
      <c r="AR933" s="1">
        <v>2239058</v>
      </c>
      <c r="AS933" s="1">
        <v>0</v>
      </c>
      <c r="AT933" s="1">
        <f t="shared" si="97"/>
        <v>95293921</v>
      </c>
    </row>
    <row r="934" spans="1:46">
      <c r="A934" s="1" t="str">
        <f>"01197"</f>
        <v>01197</v>
      </c>
      <c r="B934" s="1" t="str">
        <f>"حميدرضا"</f>
        <v>حميدرضا</v>
      </c>
      <c r="C934" s="1" t="str">
        <f>"بني اسد"</f>
        <v>بني اسد</v>
      </c>
      <c r="D934" s="1" t="str">
        <f>"قراردادي بهره بردار"</f>
        <v>قراردادي بهره بردار</v>
      </c>
      <c r="E934" s="1" t="str">
        <f t="shared" si="98"/>
        <v>پروژه بهره برداري نيروگاه بوشهر</v>
      </c>
      <c r="F934" s="1">
        <v>10745712</v>
      </c>
      <c r="G934" s="1">
        <v>13645746</v>
      </c>
      <c r="H934" s="1">
        <v>0</v>
      </c>
      <c r="I934" s="1">
        <v>10739625</v>
      </c>
      <c r="J934" s="1">
        <v>0</v>
      </c>
      <c r="K934" s="1">
        <v>4620000</v>
      </c>
      <c r="L934" s="1">
        <v>0</v>
      </c>
      <c r="M934" s="1">
        <v>400000</v>
      </c>
      <c r="N934" s="1">
        <v>2123874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1270000</v>
      </c>
      <c r="U934" s="1">
        <v>0</v>
      </c>
      <c r="V934" s="1">
        <v>6086710</v>
      </c>
      <c r="W934" s="1">
        <v>1100000</v>
      </c>
      <c r="X934" s="1">
        <v>1611857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1517052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7774872</v>
      </c>
      <c r="AM934" s="1">
        <v>0</v>
      </c>
      <c r="AN934" s="1">
        <v>61635448</v>
      </c>
      <c r="AO934" s="1">
        <v>13464190</v>
      </c>
      <c r="AP934" s="1">
        <v>48171258</v>
      </c>
      <c r="AQ934" s="1">
        <v>12073090</v>
      </c>
      <c r="AR934" s="1">
        <v>1810963</v>
      </c>
      <c r="AS934" s="1">
        <v>0</v>
      </c>
      <c r="AT934" s="1">
        <f t="shared" si="97"/>
        <v>75519501</v>
      </c>
    </row>
    <row r="935" spans="1:46">
      <c r="A935" s="1" t="str">
        <f>"01198"</f>
        <v>01198</v>
      </c>
      <c r="B935" s="1" t="str">
        <f>"امين"</f>
        <v>امين</v>
      </c>
      <c r="C935" s="1" t="str">
        <f>"غريب زاده"</f>
        <v>غريب زاده</v>
      </c>
      <c r="D935" s="1" t="str">
        <f>"قراردادي کارگري"</f>
        <v>قراردادي کارگري</v>
      </c>
      <c r="E935" s="1" t="str">
        <f t="shared" si="98"/>
        <v>پروژه بهره برداري نيروگاه بوشهر</v>
      </c>
      <c r="F935" s="1">
        <v>8838254</v>
      </c>
      <c r="G935" s="1">
        <v>1235908</v>
      </c>
      <c r="H935" s="1">
        <v>0</v>
      </c>
      <c r="I935" s="1">
        <v>4714424</v>
      </c>
      <c r="J935" s="1">
        <v>0</v>
      </c>
      <c r="K935" s="1">
        <v>0</v>
      </c>
      <c r="L935" s="1">
        <v>0</v>
      </c>
      <c r="M935" s="1">
        <v>400000</v>
      </c>
      <c r="N935" s="1">
        <v>1314572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1712080</v>
      </c>
      <c r="W935" s="1">
        <v>1100000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938981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1314572</v>
      </c>
      <c r="AM935" s="1">
        <v>0</v>
      </c>
      <c r="AN935" s="1">
        <v>21568791</v>
      </c>
      <c r="AO935" s="1">
        <v>1553815</v>
      </c>
      <c r="AP935" s="1">
        <v>20014976</v>
      </c>
      <c r="AQ935" s="1">
        <v>4313758</v>
      </c>
      <c r="AR935" s="1">
        <v>647064</v>
      </c>
      <c r="AS935" s="1">
        <v>0</v>
      </c>
      <c r="AT935" s="1">
        <f t="shared" si="97"/>
        <v>26529613</v>
      </c>
    </row>
    <row r="936" spans="1:46">
      <c r="A936" s="1" t="str">
        <f>"01199"</f>
        <v>01199</v>
      </c>
      <c r="B936" s="1" t="str">
        <f>"مهدي"</f>
        <v>مهدي</v>
      </c>
      <c r="C936" s="1" t="str">
        <f>"غلام نژاد دزفولي"</f>
        <v>غلام نژاد دزفولي</v>
      </c>
      <c r="D936" s="1" t="str">
        <f t="shared" ref="D936:D943" si="99">"قراردادي بهره بردار"</f>
        <v>قراردادي بهره بردار</v>
      </c>
      <c r="E936" s="1" t="str">
        <f t="shared" si="98"/>
        <v>پروژه بهره برداري نيروگاه بوشهر</v>
      </c>
      <c r="F936" s="1">
        <v>10256320</v>
      </c>
      <c r="G936" s="1">
        <v>13109919</v>
      </c>
      <c r="H936" s="1">
        <v>0</v>
      </c>
      <c r="I936" s="1">
        <v>9784010</v>
      </c>
      <c r="J936" s="1">
        <v>0</v>
      </c>
      <c r="K936" s="1">
        <v>4620000</v>
      </c>
      <c r="L936" s="1">
        <v>0</v>
      </c>
      <c r="M936" s="1">
        <v>400000</v>
      </c>
      <c r="N936" s="1">
        <v>1873826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5613796</v>
      </c>
      <c r="W936" s="1">
        <v>1100000</v>
      </c>
      <c r="X936" s="1">
        <v>1538448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1338447</v>
      </c>
      <c r="AF936" s="1">
        <v>1111269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7092237</v>
      </c>
      <c r="AM936" s="1">
        <v>0</v>
      </c>
      <c r="AN936" s="1">
        <v>57838272</v>
      </c>
      <c r="AO936" s="1">
        <v>10527667</v>
      </c>
      <c r="AP936" s="1">
        <v>47310605</v>
      </c>
      <c r="AQ936" s="1">
        <v>11345401</v>
      </c>
      <c r="AR936" s="1">
        <v>1701810</v>
      </c>
      <c r="AS936" s="1">
        <v>0</v>
      </c>
      <c r="AT936" s="1">
        <f t="shared" si="97"/>
        <v>70885483</v>
      </c>
    </row>
    <row r="937" spans="1:46">
      <c r="A937" s="1" t="str">
        <f>"01200"</f>
        <v>01200</v>
      </c>
      <c r="B937" s="1" t="str">
        <f>"ابراهيم"</f>
        <v>ابراهيم</v>
      </c>
      <c r="C937" s="1" t="str">
        <f>"حيدري"</f>
        <v>حيدري</v>
      </c>
      <c r="D937" s="1" t="str">
        <f t="shared" si="99"/>
        <v>قراردادي بهره بردار</v>
      </c>
      <c r="E937" s="1" t="str">
        <f t="shared" si="98"/>
        <v>پروژه بهره برداري نيروگاه بوشهر</v>
      </c>
      <c r="F937" s="1">
        <v>10500112</v>
      </c>
      <c r="G937" s="1">
        <v>467783</v>
      </c>
      <c r="H937" s="1">
        <v>0</v>
      </c>
      <c r="I937" s="1">
        <v>9827526</v>
      </c>
      <c r="J937" s="1">
        <v>0</v>
      </c>
      <c r="K937" s="1">
        <v>4620000</v>
      </c>
      <c r="L937" s="1">
        <v>0</v>
      </c>
      <c r="M937" s="1">
        <v>400000</v>
      </c>
      <c r="N937" s="1">
        <v>1747709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1270000</v>
      </c>
      <c r="U937" s="1">
        <v>0</v>
      </c>
      <c r="V937" s="1">
        <v>5007728</v>
      </c>
      <c r="W937" s="1">
        <v>1100000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1248363</v>
      </c>
      <c r="AF937" s="1">
        <v>2222538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3745090</v>
      </c>
      <c r="AM937" s="1">
        <v>0</v>
      </c>
      <c r="AN937" s="1">
        <v>42156849</v>
      </c>
      <c r="AO937" s="1">
        <v>13020285</v>
      </c>
      <c r="AP937" s="1">
        <v>29136564</v>
      </c>
      <c r="AQ937" s="1">
        <v>7732862</v>
      </c>
      <c r="AR937" s="1">
        <v>1159929</v>
      </c>
      <c r="AS937" s="1">
        <v>0</v>
      </c>
      <c r="AT937" s="1">
        <f t="shared" si="97"/>
        <v>51049640</v>
      </c>
    </row>
    <row r="938" spans="1:46">
      <c r="A938" s="1" t="str">
        <f>"01201"</f>
        <v>01201</v>
      </c>
      <c r="B938" s="1" t="str">
        <f>"مهدي"</f>
        <v>مهدي</v>
      </c>
      <c r="C938" s="1" t="str">
        <f>"عوض پور"</f>
        <v>عوض پور</v>
      </c>
      <c r="D938" s="1" t="str">
        <f t="shared" si="99"/>
        <v>قراردادي بهره بردار</v>
      </c>
      <c r="E938" s="1" t="str">
        <f t="shared" si="98"/>
        <v>پروژه بهره برداري نيروگاه بوشهر</v>
      </c>
      <c r="F938" s="1">
        <v>11147369</v>
      </c>
      <c r="G938" s="1">
        <v>14165014</v>
      </c>
      <c r="H938" s="1">
        <v>0</v>
      </c>
      <c r="I938" s="1">
        <v>10569211</v>
      </c>
      <c r="J938" s="1">
        <v>0</v>
      </c>
      <c r="K938" s="1">
        <v>4620000</v>
      </c>
      <c r="L938" s="1">
        <v>0</v>
      </c>
      <c r="M938" s="1">
        <v>400000</v>
      </c>
      <c r="N938" s="1">
        <v>2003095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1270000</v>
      </c>
      <c r="U938" s="1">
        <v>0</v>
      </c>
      <c r="V938" s="1">
        <v>6065598</v>
      </c>
      <c r="W938" s="1">
        <v>1100000</v>
      </c>
      <c r="X938" s="1">
        <v>1672105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1430782</v>
      </c>
      <c r="AF938" s="1">
        <v>1111269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7636555</v>
      </c>
      <c r="AM938" s="1">
        <v>0</v>
      </c>
      <c r="AN938" s="1">
        <v>63190998</v>
      </c>
      <c r="AO938" s="1">
        <v>13250706</v>
      </c>
      <c r="AP938" s="1">
        <v>49940292</v>
      </c>
      <c r="AQ938" s="1">
        <v>12161946</v>
      </c>
      <c r="AR938" s="1">
        <v>1824292</v>
      </c>
      <c r="AS938" s="1">
        <v>0</v>
      </c>
      <c r="AT938" s="1">
        <f t="shared" si="97"/>
        <v>77177236</v>
      </c>
    </row>
    <row r="939" spans="1:46">
      <c r="A939" s="1" t="str">
        <f>"01203"</f>
        <v>01203</v>
      </c>
      <c r="B939" s="1" t="str">
        <f>"علي"</f>
        <v>علي</v>
      </c>
      <c r="C939" s="1" t="str">
        <f>"زنده بودي"</f>
        <v>زنده بودي</v>
      </c>
      <c r="D939" s="1" t="str">
        <f t="shared" si="99"/>
        <v>قراردادي بهره بردار</v>
      </c>
      <c r="E939" s="1" t="str">
        <f t="shared" si="98"/>
        <v>پروژه بهره برداري نيروگاه بوشهر</v>
      </c>
      <c r="F939" s="1">
        <v>11524827</v>
      </c>
      <c r="G939" s="1">
        <v>14397233</v>
      </c>
      <c r="H939" s="1">
        <v>0</v>
      </c>
      <c r="I939" s="1">
        <v>11384091</v>
      </c>
      <c r="J939" s="1">
        <v>0</v>
      </c>
      <c r="K939" s="1">
        <v>4620000</v>
      </c>
      <c r="L939" s="1">
        <v>0</v>
      </c>
      <c r="M939" s="1">
        <v>400000</v>
      </c>
      <c r="N939" s="1">
        <v>2145005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1270000</v>
      </c>
      <c r="U939" s="1">
        <v>0</v>
      </c>
      <c r="V939" s="1">
        <v>6494993</v>
      </c>
      <c r="W939" s="1">
        <v>1100000</v>
      </c>
      <c r="X939" s="1">
        <v>1728724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1532147</v>
      </c>
      <c r="AF939" s="1">
        <v>2222538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8053888</v>
      </c>
      <c r="AM939" s="1">
        <v>0</v>
      </c>
      <c r="AN939" s="1">
        <v>66873446</v>
      </c>
      <c r="AO939" s="1">
        <v>18068411</v>
      </c>
      <c r="AP939" s="1">
        <v>48805035</v>
      </c>
      <c r="AQ939" s="1">
        <v>12676182</v>
      </c>
      <c r="AR939" s="1">
        <v>1901427</v>
      </c>
      <c r="AS939" s="1">
        <v>0</v>
      </c>
      <c r="AT939" s="1">
        <f t="shared" si="97"/>
        <v>81451055</v>
      </c>
    </row>
    <row r="940" spans="1:46">
      <c r="A940" s="1" t="str">
        <f>"01204"</f>
        <v>01204</v>
      </c>
      <c r="B940" s="1" t="str">
        <f>"فتح اله"</f>
        <v>فتح اله</v>
      </c>
      <c r="C940" s="1" t="str">
        <f>"محسني پور"</f>
        <v>محسني پور</v>
      </c>
      <c r="D940" s="1" t="str">
        <f t="shared" si="99"/>
        <v>قراردادي بهره بردار</v>
      </c>
      <c r="E940" s="1" t="str">
        <f t="shared" si="98"/>
        <v>پروژه بهره برداري نيروگاه بوشهر</v>
      </c>
      <c r="F940" s="1">
        <v>12488068</v>
      </c>
      <c r="G940" s="1">
        <v>16806876</v>
      </c>
      <c r="H940" s="1">
        <v>0</v>
      </c>
      <c r="I940" s="1">
        <v>12845208</v>
      </c>
      <c r="J940" s="1">
        <v>0</v>
      </c>
      <c r="K940" s="1">
        <v>4620000</v>
      </c>
      <c r="L940" s="1">
        <v>0</v>
      </c>
      <c r="M940" s="1">
        <v>400000</v>
      </c>
      <c r="N940" s="1">
        <v>2504145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1270000</v>
      </c>
      <c r="U940" s="1">
        <v>0</v>
      </c>
      <c r="V940" s="1">
        <v>7360322</v>
      </c>
      <c r="W940" s="1">
        <v>1100000</v>
      </c>
      <c r="X940" s="1">
        <v>1873210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1788674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9112443</v>
      </c>
      <c r="AM940" s="1">
        <v>0</v>
      </c>
      <c r="AN940" s="1">
        <v>72168946</v>
      </c>
      <c r="AO940" s="1">
        <v>15732533</v>
      </c>
      <c r="AP940" s="1">
        <v>56436413</v>
      </c>
      <c r="AQ940" s="1">
        <v>14179789</v>
      </c>
      <c r="AR940" s="1">
        <v>2126968</v>
      </c>
      <c r="AS940" s="1">
        <v>0</v>
      </c>
      <c r="AT940" s="1">
        <f t="shared" si="97"/>
        <v>88475703</v>
      </c>
    </row>
    <row r="941" spans="1:46">
      <c r="A941" s="1" t="str">
        <f>"01205"</f>
        <v>01205</v>
      </c>
      <c r="B941" s="1" t="str">
        <f>"مهدي"</f>
        <v>مهدي</v>
      </c>
      <c r="C941" s="1" t="str">
        <f>"عالي زاده"</f>
        <v>عالي زاده</v>
      </c>
      <c r="D941" s="1" t="str">
        <f t="shared" si="99"/>
        <v>قراردادي بهره بردار</v>
      </c>
      <c r="E941" s="1" t="str">
        <f t="shared" si="98"/>
        <v>پروژه بهره برداري نيروگاه بوشهر</v>
      </c>
      <c r="F941" s="1">
        <v>10934773</v>
      </c>
      <c r="G941" s="1">
        <v>18778460</v>
      </c>
      <c r="H941" s="1">
        <v>0</v>
      </c>
      <c r="I941" s="1">
        <v>9419474</v>
      </c>
      <c r="J941" s="1">
        <v>0</v>
      </c>
      <c r="K941" s="1">
        <v>4620000</v>
      </c>
      <c r="L941" s="1">
        <v>0</v>
      </c>
      <c r="M941" s="1">
        <v>400000</v>
      </c>
      <c r="N941" s="1">
        <v>1911304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1270000</v>
      </c>
      <c r="U941" s="1">
        <v>0</v>
      </c>
      <c r="V941" s="1">
        <v>5433189</v>
      </c>
      <c r="W941" s="1">
        <v>1100000</v>
      </c>
      <c r="X941" s="1">
        <v>1640216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1365217</v>
      </c>
      <c r="AF941" s="1">
        <v>2222538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5737822</v>
      </c>
      <c r="AM941" s="1">
        <v>0</v>
      </c>
      <c r="AN941" s="1">
        <v>64832993</v>
      </c>
      <c r="AO941" s="1">
        <v>14969411</v>
      </c>
      <c r="AP941" s="1">
        <v>49863582</v>
      </c>
      <c r="AQ941" s="1">
        <v>12268091</v>
      </c>
      <c r="AR941" s="1">
        <v>1840214</v>
      </c>
      <c r="AS941" s="1">
        <v>0</v>
      </c>
      <c r="AT941" s="1">
        <f t="shared" si="97"/>
        <v>78941298</v>
      </c>
    </row>
    <row r="942" spans="1:46">
      <c r="A942" s="1" t="str">
        <f>"01206"</f>
        <v>01206</v>
      </c>
      <c r="B942" s="1" t="str">
        <f>"عليرضا"</f>
        <v>عليرضا</v>
      </c>
      <c r="C942" s="1" t="str">
        <f>"قايد"</f>
        <v>قايد</v>
      </c>
      <c r="D942" s="1" t="str">
        <f t="shared" si="99"/>
        <v>قراردادي بهره بردار</v>
      </c>
      <c r="E942" s="1" t="str">
        <f>"پروژه تعميرات نيروگاه بوشهر"</f>
        <v>پروژه تعميرات نيروگاه بوشهر</v>
      </c>
      <c r="F942" s="1">
        <v>33914781</v>
      </c>
      <c r="G942" s="1">
        <v>0</v>
      </c>
      <c r="H942" s="1">
        <v>0</v>
      </c>
      <c r="I942" s="1">
        <v>39687712</v>
      </c>
      <c r="J942" s="1">
        <v>0</v>
      </c>
      <c r="K942" s="1">
        <v>5500000</v>
      </c>
      <c r="L942" s="1">
        <v>0</v>
      </c>
      <c r="M942" s="1">
        <v>400000</v>
      </c>
      <c r="N942" s="1">
        <v>5228461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8779403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3734615</v>
      </c>
      <c r="AF942" s="1">
        <v>3333807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5228461</v>
      </c>
      <c r="AM942" s="1">
        <v>0</v>
      </c>
      <c r="AN942" s="1">
        <v>106907240</v>
      </c>
      <c r="AO942" s="1">
        <v>21417544</v>
      </c>
      <c r="AP942" s="1">
        <v>85489696</v>
      </c>
      <c r="AQ942" s="1">
        <v>15557766</v>
      </c>
      <c r="AR942" s="1">
        <v>2333665</v>
      </c>
      <c r="AS942" s="1">
        <v>0</v>
      </c>
      <c r="AT942" s="1">
        <f t="shared" si="97"/>
        <v>124798671</v>
      </c>
    </row>
    <row r="943" spans="1:46">
      <c r="A943" s="1" t="str">
        <f>"01207"</f>
        <v>01207</v>
      </c>
      <c r="B943" s="1" t="str">
        <f>"ابوالفضل"</f>
        <v>ابوالفضل</v>
      </c>
      <c r="C943" s="1" t="str">
        <f>"شهابي"</f>
        <v>شهابي</v>
      </c>
      <c r="D943" s="1" t="str">
        <f t="shared" si="99"/>
        <v>قراردادي بهره بردار</v>
      </c>
      <c r="E943" s="1" t="str">
        <f>"پروژه بهره برداري نيروگاه بوشهر"</f>
        <v>پروژه بهره برداري نيروگاه بوشهر</v>
      </c>
      <c r="F943" s="1">
        <v>14939474</v>
      </c>
      <c r="G943" s="1">
        <v>7393809</v>
      </c>
      <c r="H943" s="1">
        <v>0</v>
      </c>
      <c r="I943" s="1">
        <v>11140759</v>
      </c>
      <c r="J943" s="1">
        <v>0</v>
      </c>
      <c r="K943" s="1">
        <v>5500000</v>
      </c>
      <c r="L943" s="1">
        <v>0</v>
      </c>
      <c r="M943" s="1">
        <v>400000</v>
      </c>
      <c r="N943" s="1">
        <v>2219332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3178708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1585237</v>
      </c>
      <c r="AF943" s="1">
        <v>1111269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1902285</v>
      </c>
      <c r="AM943" s="1">
        <v>0</v>
      </c>
      <c r="AN943" s="1">
        <v>50470873</v>
      </c>
      <c r="AO943" s="1">
        <v>7698437</v>
      </c>
      <c r="AP943" s="1">
        <v>42772436</v>
      </c>
      <c r="AQ943" s="1">
        <v>9871921</v>
      </c>
      <c r="AR943" s="1">
        <v>1480788</v>
      </c>
      <c r="AS943" s="1">
        <v>0</v>
      </c>
      <c r="AT943" s="1">
        <f t="shared" si="97"/>
        <v>61823582</v>
      </c>
    </row>
    <row r="944" spans="1:46">
      <c r="A944" s="1" t="str">
        <f>"01208"</f>
        <v>01208</v>
      </c>
      <c r="B944" s="1" t="str">
        <f>"عليرضا"</f>
        <v>عليرضا</v>
      </c>
      <c r="C944" s="1" t="str">
        <f>"فياض"</f>
        <v>فياض</v>
      </c>
      <c r="D944" s="1" t="str">
        <f t="shared" ref="D944:D951" si="100">"قراردادي کارگري"</f>
        <v>قراردادي کارگري</v>
      </c>
      <c r="E944" s="1" t="str">
        <f t="shared" ref="E944:E951" si="101">"پروژه تعميرات نيروگاه بوشهر"</f>
        <v>پروژه تعميرات نيروگاه بوشهر</v>
      </c>
      <c r="F944" s="1">
        <v>5450718</v>
      </c>
      <c r="G944" s="1">
        <v>547347</v>
      </c>
      <c r="H944" s="1">
        <v>0</v>
      </c>
      <c r="I944" s="1">
        <v>3270431</v>
      </c>
      <c r="J944" s="1">
        <v>0</v>
      </c>
      <c r="K944" s="1">
        <v>0</v>
      </c>
      <c r="L944" s="1">
        <v>3620700</v>
      </c>
      <c r="M944" s="1">
        <v>400000</v>
      </c>
      <c r="N944" s="1">
        <v>2907050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3517269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20813515</v>
      </c>
      <c r="AO944" s="1">
        <v>3641843</v>
      </c>
      <c r="AP944" s="1">
        <v>17171672</v>
      </c>
      <c r="AQ944" s="1">
        <v>4162703</v>
      </c>
      <c r="AR944" s="1">
        <v>624405</v>
      </c>
      <c r="AS944" s="1">
        <v>265000</v>
      </c>
      <c r="AT944" s="1">
        <f t="shared" si="97"/>
        <v>25865623</v>
      </c>
    </row>
    <row r="945" spans="1:46">
      <c r="A945" s="1" t="str">
        <f>"01209"</f>
        <v>01209</v>
      </c>
      <c r="B945" s="1" t="str">
        <f>"اسماعيل"</f>
        <v>اسماعيل</v>
      </c>
      <c r="C945" s="1" t="str">
        <f>"انصاري"</f>
        <v>انصاري</v>
      </c>
      <c r="D945" s="1" t="str">
        <f t="shared" si="100"/>
        <v>قراردادي کارگري</v>
      </c>
      <c r="E945" s="1" t="str">
        <f t="shared" si="101"/>
        <v>پروژه تعميرات نيروگاه بوشهر</v>
      </c>
      <c r="F945" s="1">
        <v>5905380</v>
      </c>
      <c r="G945" s="1">
        <v>4099378</v>
      </c>
      <c r="H945" s="1">
        <v>0</v>
      </c>
      <c r="I945" s="1">
        <v>3543228</v>
      </c>
      <c r="J945" s="1">
        <v>0</v>
      </c>
      <c r="K945" s="1">
        <v>0</v>
      </c>
      <c r="L945" s="1">
        <v>3620700</v>
      </c>
      <c r="M945" s="1">
        <v>400000</v>
      </c>
      <c r="N945" s="1">
        <v>3149536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5404247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2432827</v>
      </c>
      <c r="AE945" s="1">
        <v>0</v>
      </c>
      <c r="AF945" s="1">
        <v>1111269</v>
      </c>
      <c r="AG945" s="1">
        <v>0</v>
      </c>
      <c r="AH945" s="1">
        <v>0</v>
      </c>
      <c r="AI945" s="1">
        <v>0</v>
      </c>
      <c r="AJ945" s="1">
        <v>3027233</v>
      </c>
      <c r="AK945" s="1">
        <v>0</v>
      </c>
      <c r="AL945" s="1">
        <v>0</v>
      </c>
      <c r="AM945" s="1">
        <v>0</v>
      </c>
      <c r="AN945" s="1">
        <v>33793798</v>
      </c>
      <c r="AO945" s="1">
        <v>6399688</v>
      </c>
      <c r="AP945" s="1">
        <v>27394110</v>
      </c>
      <c r="AQ945" s="1">
        <v>6536506</v>
      </c>
      <c r="AR945" s="1">
        <v>980476</v>
      </c>
      <c r="AS945" s="1">
        <v>585000</v>
      </c>
      <c r="AT945" s="1">
        <f t="shared" si="97"/>
        <v>41895780</v>
      </c>
    </row>
    <row r="946" spans="1:46">
      <c r="A946" s="1" t="str">
        <f>"01210"</f>
        <v>01210</v>
      </c>
      <c r="B946" s="1" t="str">
        <f>"رضا"</f>
        <v>رضا</v>
      </c>
      <c r="C946" s="1" t="str">
        <f>"يادگاري"</f>
        <v>يادگاري</v>
      </c>
      <c r="D946" s="1" t="str">
        <f t="shared" si="100"/>
        <v>قراردادي کارگري</v>
      </c>
      <c r="E946" s="1" t="str">
        <f t="shared" si="101"/>
        <v>پروژه تعميرات نيروگاه بوشهر</v>
      </c>
      <c r="F946" s="1">
        <v>5330520</v>
      </c>
      <c r="G946" s="1">
        <v>0</v>
      </c>
      <c r="H946" s="1">
        <v>0</v>
      </c>
      <c r="I946" s="1">
        <v>3198312</v>
      </c>
      <c r="J946" s="1">
        <v>0</v>
      </c>
      <c r="K946" s="1">
        <v>0</v>
      </c>
      <c r="L946" s="1">
        <v>3620700</v>
      </c>
      <c r="M946" s="1">
        <v>400000</v>
      </c>
      <c r="N946" s="1">
        <v>2842944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5030205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2222538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23745219</v>
      </c>
      <c r="AO946" s="1">
        <v>7988151</v>
      </c>
      <c r="AP946" s="1">
        <v>15757068</v>
      </c>
      <c r="AQ946" s="1">
        <v>4304536</v>
      </c>
      <c r="AR946" s="1">
        <v>645680</v>
      </c>
      <c r="AS946" s="1">
        <v>1060000</v>
      </c>
      <c r="AT946" s="1">
        <f t="shared" si="97"/>
        <v>29755435</v>
      </c>
    </row>
    <row r="947" spans="1:46">
      <c r="A947" s="1" t="str">
        <f>"01211"</f>
        <v>01211</v>
      </c>
      <c r="B947" s="1" t="str">
        <f>"اميد"</f>
        <v>اميد</v>
      </c>
      <c r="C947" s="1" t="str">
        <f>"غريبي"</f>
        <v>غريبي</v>
      </c>
      <c r="D947" s="1" t="str">
        <f t="shared" si="100"/>
        <v>قراردادي کارگري</v>
      </c>
      <c r="E947" s="1" t="str">
        <f t="shared" si="101"/>
        <v>پروژه تعميرات نيروگاه بوشهر</v>
      </c>
      <c r="F947" s="1">
        <v>5346198</v>
      </c>
      <c r="G947" s="1">
        <v>3351433</v>
      </c>
      <c r="H947" s="1">
        <v>0</v>
      </c>
      <c r="I947" s="1">
        <v>3207719</v>
      </c>
      <c r="J947" s="1">
        <v>0</v>
      </c>
      <c r="K947" s="1">
        <v>0</v>
      </c>
      <c r="L947" s="1">
        <v>3620700</v>
      </c>
      <c r="M947" s="1">
        <v>400000</v>
      </c>
      <c r="N947" s="1">
        <v>2851306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4957777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24835133</v>
      </c>
      <c r="AO947" s="1">
        <v>3393356</v>
      </c>
      <c r="AP947" s="1">
        <v>21441777</v>
      </c>
      <c r="AQ947" s="1">
        <v>4967027</v>
      </c>
      <c r="AR947" s="1">
        <v>745054</v>
      </c>
      <c r="AS947" s="1">
        <v>530000</v>
      </c>
      <c r="AT947" s="1">
        <f t="shared" si="97"/>
        <v>31077214</v>
      </c>
    </row>
    <row r="948" spans="1:46">
      <c r="A948" s="1" t="str">
        <f>"01212"</f>
        <v>01212</v>
      </c>
      <c r="B948" s="1" t="str">
        <f>"پيمان"</f>
        <v>پيمان</v>
      </c>
      <c r="C948" s="1" t="str">
        <f>"زارعي"</f>
        <v>زارعي</v>
      </c>
      <c r="D948" s="1" t="str">
        <f t="shared" si="100"/>
        <v>قراردادي کارگري</v>
      </c>
      <c r="E948" s="1" t="str">
        <f t="shared" si="101"/>
        <v>پروژه تعميرات نيروگاه بوشهر</v>
      </c>
      <c r="F948" s="1">
        <v>5335746</v>
      </c>
      <c r="G948" s="1">
        <v>2910062</v>
      </c>
      <c r="H948" s="1">
        <v>0</v>
      </c>
      <c r="I948" s="1">
        <v>3201448</v>
      </c>
      <c r="J948" s="1">
        <v>0</v>
      </c>
      <c r="K948" s="1">
        <v>0</v>
      </c>
      <c r="L948" s="1">
        <v>3620700</v>
      </c>
      <c r="M948" s="1">
        <v>400000</v>
      </c>
      <c r="N948" s="1">
        <v>2845731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4951087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24364774</v>
      </c>
      <c r="AO948" s="1">
        <v>3967097</v>
      </c>
      <c r="AP948" s="1">
        <v>20397677</v>
      </c>
      <c r="AQ948" s="1">
        <v>4872955</v>
      </c>
      <c r="AR948" s="1">
        <v>730943</v>
      </c>
      <c r="AS948" s="1">
        <v>0</v>
      </c>
      <c r="AT948" s="1">
        <f t="shared" si="97"/>
        <v>29968672</v>
      </c>
    </row>
    <row r="949" spans="1:46">
      <c r="A949" s="1" t="str">
        <f>"01214"</f>
        <v>01214</v>
      </c>
      <c r="B949" s="1" t="str">
        <f>"سيدمحمد"</f>
        <v>سيدمحمد</v>
      </c>
      <c r="C949" s="1" t="str">
        <f>"مساوات"</f>
        <v>مساوات</v>
      </c>
      <c r="D949" s="1" t="str">
        <f t="shared" si="100"/>
        <v>قراردادي کارگري</v>
      </c>
      <c r="E949" s="1" t="str">
        <f t="shared" si="101"/>
        <v>پروژه تعميرات نيروگاه بوشهر</v>
      </c>
      <c r="F949" s="1">
        <v>5429814</v>
      </c>
      <c r="G949" s="1">
        <v>737027</v>
      </c>
      <c r="H949" s="1">
        <v>0</v>
      </c>
      <c r="I949" s="1">
        <v>3257888</v>
      </c>
      <c r="J949" s="1">
        <v>0</v>
      </c>
      <c r="K949" s="1">
        <v>0</v>
      </c>
      <c r="L949" s="1">
        <v>3620700</v>
      </c>
      <c r="M949" s="1">
        <v>400000</v>
      </c>
      <c r="N949" s="1">
        <v>2895901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5011291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22452621</v>
      </c>
      <c r="AO949" s="1">
        <v>3226580</v>
      </c>
      <c r="AP949" s="1">
        <v>19226041</v>
      </c>
      <c r="AQ949" s="1">
        <v>4490524</v>
      </c>
      <c r="AR949" s="1">
        <v>673579</v>
      </c>
      <c r="AS949" s="1">
        <v>530000</v>
      </c>
      <c r="AT949" s="1">
        <f t="shared" si="97"/>
        <v>28146724</v>
      </c>
    </row>
    <row r="950" spans="1:46">
      <c r="A950" s="1" t="str">
        <f>"01215"</f>
        <v>01215</v>
      </c>
      <c r="B950" s="1" t="str">
        <f>"عبدالمحمد"</f>
        <v>عبدالمحمد</v>
      </c>
      <c r="C950" s="1" t="str">
        <f>"ماهيني"</f>
        <v>ماهيني</v>
      </c>
      <c r="D950" s="1" t="str">
        <f t="shared" si="100"/>
        <v>قراردادي کارگري</v>
      </c>
      <c r="E950" s="1" t="str">
        <f t="shared" si="101"/>
        <v>پروژه تعميرات نيروگاه بوشهر</v>
      </c>
      <c r="F950" s="1">
        <v>5053542</v>
      </c>
      <c r="G950" s="1">
        <v>6682395</v>
      </c>
      <c r="H950" s="1">
        <v>0</v>
      </c>
      <c r="I950" s="1">
        <v>3032125</v>
      </c>
      <c r="J950" s="1">
        <v>0</v>
      </c>
      <c r="K950" s="1">
        <v>0</v>
      </c>
      <c r="L950" s="1">
        <v>3620700</v>
      </c>
      <c r="M950" s="1">
        <v>400000</v>
      </c>
      <c r="N950" s="1">
        <v>2695222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4690969</v>
      </c>
      <c r="W950" s="1">
        <v>1100000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2160238</v>
      </c>
      <c r="AE950" s="1">
        <v>0</v>
      </c>
      <c r="AF950" s="1">
        <v>1111269</v>
      </c>
      <c r="AG950" s="1">
        <v>0</v>
      </c>
      <c r="AH950" s="1">
        <v>0</v>
      </c>
      <c r="AI950" s="1">
        <v>0</v>
      </c>
      <c r="AJ950" s="1">
        <v>2672958</v>
      </c>
      <c r="AK950" s="1">
        <v>0</v>
      </c>
      <c r="AL950" s="1">
        <v>0</v>
      </c>
      <c r="AM950" s="1">
        <v>0</v>
      </c>
      <c r="AN950" s="1">
        <v>33219418</v>
      </c>
      <c r="AO950" s="1">
        <v>5608419</v>
      </c>
      <c r="AP950" s="1">
        <v>27610999</v>
      </c>
      <c r="AQ950" s="1">
        <v>6421630</v>
      </c>
      <c r="AR950" s="1">
        <v>963244</v>
      </c>
      <c r="AS950" s="1">
        <v>795000</v>
      </c>
      <c r="AT950" s="1">
        <f t="shared" si="97"/>
        <v>41399292</v>
      </c>
    </row>
    <row r="951" spans="1:46">
      <c r="A951" s="1" t="str">
        <f>"01216"</f>
        <v>01216</v>
      </c>
      <c r="B951" s="1" t="str">
        <f>"محمدصادق"</f>
        <v>محمدصادق</v>
      </c>
      <c r="C951" s="1" t="str">
        <f>"احمدي"</f>
        <v>احمدي</v>
      </c>
      <c r="D951" s="1" t="str">
        <f t="shared" si="100"/>
        <v>قراردادي کارگري</v>
      </c>
      <c r="E951" s="1" t="str">
        <f t="shared" si="101"/>
        <v>پروژه تعميرات نيروگاه بوشهر</v>
      </c>
      <c r="F951" s="1">
        <v>4844502</v>
      </c>
      <c r="G951" s="1">
        <v>6271315</v>
      </c>
      <c r="H951" s="1">
        <v>0</v>
      </c>
      <c r="I951" s="1">
        <v>2906701</v>
      </c>
      <c r="J951" s="1">
        <v>0</v>
      </c>
      <c r="K951" s="1">
        <v>0</v>
      </c>
      <c r="L951" s="1">
        <v>3620700</v>
      </c>
      <c r="M951" s="1">
        <v>400000</v>
      </c>
      <c r="N951" s="1">
        <v>2583734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3245684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2093346</v>
      </c>
      <c r="AE951" s="1">
        <v>0</v>
      </c>
      <c r="AF951" s="1">
        <v>1111269</v>
      </c>
      <c r="AG951" s="1">
        <v>0</v>
      </c>
      <c r="AH951" s="1">
        <v>0</v>
      </c>
      <c r="AI951" s="1">
        <v>0</v>
      </c>
      <c r="AJ951" s="1">
        <v>2408185</v>
      </c>
      <c r="AK951" s="1">
        <v>0</v>
      </c>
      <c r="AL951" s="1">
        <v>0</v>
      </c>
      <c r="AM951" s="1">
        <v>0</v>
      </c>
      <c r="AN951" s="1">
        <v>30585436</v>
      </c>
      <c r="AO951" s="1">
        <v>4969604</v>
      </c>
      <c r="AP951" s="1">
        <v>25615832</v>
      </c>
      <c r="AQ951" s="1">
        <v>5894833</v>
      </c>
      <c r="AR951" s="1">
        <v>884225</v>
      </c>
      <c r="AS951" s="1">
        <v>795000</v>
      </c>
      <c r="AT951" s="1">
        <f t="shared" si="97"/>
        <v>38159494</v>
      </c>
    </row>
    <row r="952" spans="1:46">
      <c r="A952" s="1" t="str">
        <f>"01217"</f>
        <v>01217</v>
      </c>
      <c r="B952" s="1" t="str">
        <f>"ابراهيم"</f>
        <v>ابراهيم</v>
      </c>
      <c r="C952" s="1" t="str">
        <f>"محمدي نژاد"</f>
        <v>محمدي نژاد</v>
      </c>
      <c r="D952" s="1" t="str">
        <f>"قراردادي بهره بردار"</f>
        <v>قراردادي بهره بردار</v>
      </c>
      <c r="E952" s="1" t="str">
        <f>"پروژه بهره برداري نيروگاه بوشهر"</f>
        <v>پروژه بهره برداري نيروگاه بوشهر</v>
      </c>
      <c r="F952" s="1">
        <v>11713855</v>
      </c>
      <c r="G952" s="1">
        <v>17683813</v>
      </c>
      <c r="H952" s="1">
        <v>0</v>
      </c>
      <c r="I952" s="1">
        <v>11443537</v>
      </c>
      <c r="J952" s="1">
        <v>0</v>
      </c>
      <c r="K952" s="1">
        <v>5500000</v>
      </c>
      <c r="L952" s="1">
        <v>0</v>
      </c>
      <c r="M952" s="1">
        <v>400000</v>
      </c>
      <c r="N952" s="1">
        <v>2214123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1270000</v>
      </c>
      <c r="U952" s="1">
        <v>0</v>
      </c>
      <c r="V952" s="1">
        <v>6602202</v>
      </c>
      <c r="W952" s="1">
        <v>1100000</v>
      </c>
      <c r="X952" s="1">
        <v>1757078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1581517</v>
      </c>
      <c r="AF952" s="1">
        <v>1111269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8258707</v>
      </c>
      <c r="AM952" s="1">
        <v>0</v>
      </c>
      <c r="AN952" s="1">
        <v>70636101</v>
      </c>
      <c r="AO952" s="1">
        <v>13496638</v>
      </c>
      <c r="AP952" s="1">
        <v>57139463</v>
      </c>
      <c r="AQ952" s="1">
        <v>13650966</v>
      </c>
      <c r="AR952" s="1">
        <v>2047645</v>
      </c>
      <c r="AS952" s="1">
        <v>0</v>
      </c>
      <c r="AT952" s="1">
        <f t="shared" si="97"/>
        <v>86334712</v>
      </c>
    </row>
    <row r="953" spans="1:46">
      <c r="A953" s="1" t="str">
        <f>"01218"</f>
        <v>01218</v>
      </c>
      <c r="B953" s="1" t="str">
        <f>"عليرضا"</f>
        <v>عليرضا</v>
      </c>
      <c r="C953" s="1" t="str">
        <f>"حاجياني"</f>
        <v>حاجياني</v>
      </c>
      <c r="D953" s="1" t="str">
        <f>"قراردادي بهره بردار"</f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11343611</v>
      </c>
      <c r="G953" s="1">
        <v>14138568</v>
      </c>
      <c r="H953" s="1">
        <v>0</v>
      </c>
      <c r="I953" s="1">
        <v>11325855</v>
      </c>
      <c r="J953" s="1">
        <v>0</v>
      </c>
      <c r="K953" s="1">
        <v>4620000</v>
      </c>
      <c r="L953" s="1">
        <v>0</v>
      </c>
      <c r="M953" s="1">
        <v>400000</v>
      </c>
      <c r="N953" s="1">
        <v>2078436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1270000</v>
      </c>
      <c r="U953" s="1">
        <v>0</v>
      </c>
      <c r="V953" s="1">
        <v>6306535</v>
      </c>
      <c r="W953" s="1">
        <v>1100000</v>
      </c>
      <c r="X953" s="1">
        <v>1701542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1484598</v>
      </c>
      <c r="AF953" s="1">
        <v>2222538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7856875</v>
      </c>
      <c r="AM953" s="1">
        <v>0</v>
      </c>
      <c r="AN953" s="1">
        <v>65848558</v>
      </c>
      <c r="AO953" s="1">
        <v>12029469</v>
      </c>
      <c r="AP953" s="1">
        <v>53819089</v>
      </c>
      <c r="AQ953" s="1">
        <v>12471204</v>
      </c>
      <c r="AR953" s="1">
        <v>1870681</v>
      </c>
      <c r="AS953" s="1">
        <v>0</v>
      </c>
      <c r="AT953" s="1">
        <f t="shared" si="97"/>
        <v>80190443</v>
      </c>
    </row>
    <row r="954" spans="1:46">
      <c r="A954" s="1" t="str">
        <f>"01219"</f>
        <v>01219</v>
      </c>
      <c r="B954" s="1" t="str">
        <f>"محسن"</f>
        <v>محسن</v>
      </c>
      <c r="C954" s="1" t="str">
        <f>"قيصي زاده"</f>
        <v>قيصي زاده</v>
      </c>
      <c r="D954" s="1" t="str">
        <f>"قراردادي بهره بردار"</f>
        <v>قراردادي بهره بردار</v>
      </c>
      <c r="E954" s="1" t="str">
        <f>"پروژه بهره برداري نيروگاه بوشهر"</f>
        <v>پروژه بهره برداري نيروگاه بوشهر</v>
      </c>
      <c r="F954" s="1">
        <v>23181300</v>
      </c>
      <c r="G954" s="1">
        <v>10695026</v>
      </c>
      <c r="H954" s="1">
        <v>0</v>
      </c>
      <c r="I954" s="1">
        <v>18565575</v>
      </c>
      <c r="J954" s="1">
        <v>0</v>
      </c>
      <c r="K954" s="1">
        <v>5500000</v>
      </c>
      <c r="L954" s="1">
        <v>0</v>
      </c>
      <c r="M954" s="1">
        <v>400000</v>
      </c>
      <c r="N954" s="1">
        <v>3299472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5333623</v>
      </c>
      <c r="W954" s="1">
        <v>1100000</v>
      </c>
      <c r="X954" s="1">
        <v>0</v>
      </c>
      <c r="Y954" s="1">
        <v>0</v>
      </c>
      <c r="Z954" s="1">
        <v>5345542</v>
      </c>
      <c r="AA954" s="1">
        <v>0</v>
      </c>
      <c r="AB954" s="1">
        <v>0</v>
      </c>
      <c r="AC954" s="1">
        <v>0</v>
      </c>
      <c r="AD954" s="1">
        <v>0</v>
      </c>
      <c r="AE954" s="1">
        <v>2356766</v>
      </c>
      <c r="AF954" s="1">
        <v>1111269</v>
      </c>
      <c r="AG954" s="1">
        <v>3105000</v>
      </c>
      <c r="AH954" s="1">
        <v>0</v>
      </c>
      <c r="AI954" s="1">
        <v>0</v>
      </c>
      <c r="AJ954" s="1">
        <v>0</v>
      </c>
      <c r="AK954" s="1">
        <v>0</v>
      </c>
      <c r="AL954" s="1">
        <v>2828119</v>
      </c>
      <c r="AM954" s="1">
        <v>0</v>
      </c>
      <c r="AN954" s="1">
        <v>82821692</v>
      </c>
      <c r="AO954" s="1">
        <v>7786185</v>
      </c>
      <c r="AP954" s="1">
        <v>75035507</v>
      </c>
      <c r="AQ954" s="1">
        <v>15272976</v>
      </c>
      <c r="AR954" s="1">
        <v>2290946</v>
      </c>
      <c r="AS954" s="1">
        <v>2550000</v>
      </c>
      <c r="AT954" s="1">
        <f t="shared" si="97"/>
        <v>102935614</v>
      </c>
    </row>
    <row r="955" spans="1:46">
      <c r="A955" s="1" t="str">
        <f>"01220"</f>
        <v>01220</v>
      </c>
      <c r="B955" s="1" t="str">
        <f>"امير"</f>
        <v>امير</v>
      </c>
      <c r="C955" s="1" t="str">
        <f>"عالي پور"</f>
        <v>عالي پور</v>
      </c>
      <c r="D955" s="1" t="str">
        <f>"قراردادي کارگري"</f>
        <v>قراردادي کارگري</v>
      </c>
      <c r="E955" s="1" t="str">
        <f>"پروژه تعميرات نيروگاه بوشهر"</f>
        <v>پروژه تعميرات نيروگاه بوشهر</v>
      </c>
      <c r="F955" s="1">
        <v>4630236</v>
      </c>
      <c r="G955" s="1">
        <v>984269</v>
      </c>
      <c r="H955" s="1">
        <v>0</v>
      </c>
      <c r="I955" s="1">
        <v>2778142</v>
      </c>
      <c r="J955" s="1">
        <v>0</v>
      </c>
      <c r="K955" s="1">
        <v>0</v>
      </c>
      <c r="L955" s="1">
        <v>3620700</v>
      </c>
      <c r="M955" s="1">
        <v>400000</v>
      </c>
      <c r="N955" s="1">
        <v>2469459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1499854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2024781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2799700</v>
      </c>
      <c r="AK955" s="1">
        <v>0</v>
      </c>
      <c r="AL955" s="1">
        <v>0</v>
      </c>
      <c r="AM955" s="1">
        <v>0</v>
      </c>
      <c r="AN955" s="1">
        <v>22307141</v>
      </c>
      <c r="AO955" s="1">
        <v>4296397</v>
      </c>
      <c r="AP955" s="1">
        <v>18010744</v>
      </c>
      <c r="AQ955" s="1">
        <v>4461428</v>
      </c>
      <c r="AR955" s="1">
        <v>669214</v>
      </c>
      <c r="AS955" s="1">
        <v>195000</v>
      </c>
      <c r="AT955" s="1">
        <f t="shared" si="97"/>
        <v>27632783</v>
      </c>
    </row>
    <row r="956" spans="1:46">
      <c r="A956" s="1" t="str">
        <f>"01221"</f>
        <v>01221</v>
      </c>
      <c r="B956" s="1" t="str">
        <f>"بهروز"</f>
        <v>بهروز</v>
      </c>
      <c r="C956" s="1" t="str">
        <f>"ايسپره"</f>
        <v>ايسپره</v>
      </c>
      <c r="D956" s="1" t="str">
        <f t="shared" ref="D956:D968" si="102">"قراردادي بهره بردار"</f>
        <v>قراردادي بهره بردار</v>
      </c>
      <c r="E956" s="1" t="str">
        <f t="shared" ref="E956:E968" si="103">"پروژه بهره برداري نيروگاه بوشهر"</f>
        <v>پروژه بهره برداري نيروگاه بوشهر</v>
      </c>
      <c r="F956" s="1">
        <v>12098673</v>
      </c>
      <c r="G956" s="1">
        <v>7193691</v>
      </c>
      <c r="H956" s="1">
        <v>0</v>
      </c>
      <c r="I956" s="1">
        <v>8821728</v>
      </c>
      <c r="J956" s="1">
        <v>0</v>
      </c>
      <c r="K956" s="1">
        <v>4125000</v>
      </c>
      <c r="L956" s="1">
        <v>0</v>
      </c>
      <c r="M956" s="1">
        <v>400000</v>
      </c>
      <c r="N956" s="1">
        <v>1646616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2562502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1176155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1881848</v>
      </c>
      <c r="AM956" s="1">
        <v>0</v>
      </c>
      <c r="AN956" s="1">
        <v>41006213</v>
      </c>
      <c r="AO956" s="1">
        <v>8427666</v>
      </c>
      <c r="AP956" s="1">
        <v>32578547</v>
      </c>
      <c r="AQ956" s="1">
        <v>8201243</v>
      </c>
      <c r="AR956" s="1">
        <v>1230186</v>
      </c>
      <c r="AS956" s="1">
        <v>0</v>
      </c>
      <c r="AT956" s="1">
        <f t="shared" si="97"/>
        <v>50437642</v>
      </c>
    </row>
    <row r="957" spans="1:46">
      <c r="A957" s="1" t="str">
        <f>"01222"</f>
        <v>01222</v>
      </c>
      <c r="B957" s="1" t="str">
        <f>"محمد"</f>
        <v>محمد</v>
      </c>
      <c r="C957" s="1" t="str">
        <f>"اومن"</f>
        <v>اومن</v>
      </c>
      <c r="D957" s="1" t="str">
        <f t="shared" si="102"/>
        <v>قراردادي بهره بردار</v>
      </c>
      <c r="E957" s="1" t="str">
        <f t="shared" si="103"/>
        <v>پروژه بهره برداري نيروگاه بوشهر</v>
      </c>
      <c r="F957" s="1">
        <v>12843299</v>
      </c>
      <c r="G957" s="1">
        <v>2020393</v>
      </c>
      <c r="H957" s="1">
        <v>0</v>
      </c>
      <c r="I957" s="1">
        <v>6350789</v>
      </c>
      <c r="J957" s="1">
        <v>0</v>
      </c>
      <c r="K957" s="1">
        <v>4125000</v>
      </c>
      <c r="L957" s="1">
        <v>0</v>
      </c>
      <c r="M957" s="1">
        <v>400000</v>
      </c>
      <c r="N957" s="1">
        <v>1921518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1270000</v>
      </c>
      <c r="U957" s="1">
        <v>0</v>
      </c>
      <c r="V957" s="1">
        <v>2798813</v>
      </c>
      <c r="W957" s="1">
        <v>1100000</v>
      </c>
      <c r="X957" s="1">
        <v>1926495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1372513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5500005</v>
      </c>
      <c r="AM957" s="1">
        <v>0</v>
      </c>
      <c r="AN957" s="1">
        <v>41628825</v>
      </c>
      <c r="AO957" s="1">
        <v>4921180</v>
      </c>
      <c r="AP957" s="1">
        <v>36707645</v>
      </c>
      <c r="AQ957" s="1">
        <v>8071765</v>
      </c>
      <c r="AR957" s="1">
        <v>1210765</v>
      </c>
      <c r="AS957" s="1">
        <v>0</v>
      </c>
      <c r="AT957" s="1">
        <f t="shared" si="97"/>
        <v>50911355</v>
      </c>
    </row>
    <row r="958" spans="1:46">
      <c r="A958" s="1" t="str">
        <f>"01223"</f>
        <v>01223</v>
      </c>
      <c r="B958" s="1" t="str">
        <f>"مهدي"</f>
        <v>مهدي</v>
      </c>
      <c r="C958" s="1" t="str">
        <f>"سالاروند"</f>
        <v>سالاروند</v>
      </c>
      <c r="D958" s="1" t="str">
        <f t="shared" si="102"/>
        <v>قراردادي بهره بردار</v>
      </c>
      <c r="E958" s="1" t="str">
        <f t="shared" si="103"/>
        <v>پروژه بهره برداري نيروگاه بوشهر</v>
      </c>
      <c r="F958" s="1">
        <v>13783933</v>
      </c>
      <c r="G958" s="1">
        <v>5687469</v>
      </c>
      <c r="H958" s="1">
        <v>0</v>
      </c>
      <c r="I958" s="1">
        <v>9279642</v>
      </c>
      <c r="J958" s="1">
        <v>0</v>
      </c>
      <c r="K958" s="1">
        <v>5500000</v>
      </c>
      <c r="L958" s="1">
        <v>0</v>
      </c>
      <c r="M958" s="1">
        <v>400000</v>
      </c>
      <c r="N958" s="1">
        <v>2140191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1270000</v>
      </c>
      <c r="U958" s="1">
        <v>0</v>
      </c>
      <c r="V958" s="1">
        <v>5909059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1528707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2812822</v>
      </c>
      <c r="AM958" s="1">
        <v>0</v>
      </c>
      <c r="AN958" s="1">
        <v>49411823</v>
      </c>
      <c r="AO958" s="1">
        <v>9090724</v>
      </c>
      <c r="AP958" s="1">
        <v>40321099</v>
      </c>
      <c r="AQ958" s="1">
        <v>9628365</v>
      </c>
      <c r="AR958" s="1">
        <v>1444255</v>
      </c>
      <c r="AS958" s="1">
        <v>0</v>
      </c>
      <c r="AT958" s="1">
        <f t="shared" si="97"/>
        <v>60484443</v>
      </c>
    </row>
    <row r="959" spans="1:46">
      <c r="A959" s="1" t="str">
        <f>"01224"</f>
        <v>01224</v>
      </c>
      <c r="B959" s="1" t="str">
        <f>"يوسف"</f>
        <v>يوسف</v>
      </c>
      <c r="C959" s="1" t="str">
        <f>"رضايي بانبيدي"</f>
        <v>رضايي بانبيدي</v>
      </c>
      <c r="D959" s="1" t="str">
        <f t="shared" si="102"/>
        <v>قراردادي بهره بردار</v>
      </c>
      <c r="E959" s="1" t="str">
        <f t="shared" si="103"/>
        <v>پروژه بهره برداري نيروگاه بوشهر</v>
      </c>
      <c r="F959" s="1">
        <v>9708022</v>
      </c>
      <c r="G959" s="1">
        <v>2859404</v>
      </c>
      <c r="H959" s="1">
        <v>0</v>
      </c>
      <c r="I959" s="1">
        <v>6266718</v>
      </c>
      <c r="J959" s="1">
        <v>0</v>
      </c>
      <c r="K959" s="1">
        <v>4620000</v>
      </c>
      <c r="L959" s="1">
        <v>0</v>
      </c>
      <c r="M959" s="1">
        <v>400000</v>
      </c>
      <c r="N959" s="1">
        <v>1634101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2097042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1167215</v>
      </c>
      <c r="AF959" s="1">
        <v>1111269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2194364</v>
      </c>
      <c r="AM959" s="1">
        <v>0</v>
      </c>
      <c r="AN959" s="1">
        <v>33158135</v>
      </c>
      <c r="AO959" s="1">
        <v>6739898</v>
      </c>
      <c r="AP959" s="1">
        <v>26418237</v>
      </c>
      <c r="AQ959" s="1">
        <v>6409373</v>
      </c>
      <c r="AR959" s="1">
        <v>961406</v>
      </c>
      <c r="AS959" s="1">
        <v>0</v>
      </c>
      <c r="AT959" s="1">
        <f t="shared" si="97"/>
        <v>40528914</v>
      </c>
    </row>
    <row r="960" spans="1:46">
      <c r="A960" s="1" t="str">
        <f>"01225"</f>
        <v>01225</v>
      </c>
      <c r="B960" s="1" t="str">
        <f>"حامد"</f>
        <v>حامد</v>
      </c>
      <c r="C960" s="1" t="str">
        <f>"علي نژاد"</f>
        <v>علي نژاد</v>
      </c>
      <c r="D960" s="1" t="str">
        <f t="shared" si="102"/>
        <v>قراردادي بهره بردار</v>
      </c>
      <c r="E960" s="1" t="str">
        <f t="shared" si="103"/>
        <v>پروژه بهره برداري نيروگاه بوشهر</v>
      </c>
      <c r="F960" s="1">
        <v>13244204</v>
      </c>
      <c r="G960" s="1">
        <v>4640167</v>
      </c>
      <c r="H960" s="1">
        <v>0</v>
      </c>
      <c r="I960" s="1">
        <v>8255955</v>
      </c>
      <c r="J960" s="1">
        <v>0</v>
      </c>
      <c r="K960" s="1">
        <v>5500000</v>
      </c>
      <c r="L960" s="1">
        <v>0</v>
      </c>
      <c r="M960" s="1">
        <v>400000</v>
      </c>
      <c r="N960" s="1">
        <v>1929752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5080231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1378395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1929752</v>
      </c>
      <c r="AM960" s="1">
        <v>0</v>
      </c>
      <c r="AN960" s="1">
        <v>43458456</v>
      </c>
      <c r="AO960" s="1">
        <v>6843021</v>
      </c>
      <c r="AP960" s="1">
        <v>36615435</v>
      </c>
      <c r="AQ960" s="1">
        <v>8691691</v>
      </c>
      <c r="AR960" s="1">
        <v>1303754</v>
      </c>
      <c r="AS960" s="1">
        <v>0</v>
      </c>
      <c r="AT960" s="1">
        <f t="shared" si="97"/>
        <v>53453901</v>
      </c>
    </row>
    <row r="961" spans="1:46">
      <c r="A961" s="1" t="str">
        <f>"01226"</f>
        <v>01226</v>
      </c>
      <c r="B961" s="1" t="str">
        <f>"حيدر"</f>
        <v>حيدر</v>
      </c>
      <c r="C961" s="1" t="str">
        <f>"مير علايي"</f>
        <v>مير علايي</v>
      </c>
      <c r="D961" s="1" t="str">
        <f t="shared" si="102"/>
        <v>قراردادي بهره بردار</v>
      </c>
      <c r="E961" s="1" t="str">
        <f t="shared" si="103"/>
        <v>پروژه بهره برداري نيروگاه بوشهر</v>
      </c>
      <c r="F961" s="1">
        <v>9686446</v>
      </c>
      <c r="G961" s="1">
        <v>2567660</v>
      </c>
      <c r="H961" s="1">
        <v>0</v>
      </c>
      <c r="I961" s="1">
        <v>5663925</v>
      </c>
      <c r="J961" s="1">
        <v>0</v>
      </c>
      <c r="K961" s="1">
        <v>4620000</v>
      </c>
      <c r="L961" s="1">
        <v>0</v>
      </c>
      <c r="M961" s="1">
        <v>400000</v>
      </c>
      <c r="N961" s="1">
        <v>1504555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3912625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1074683</v>
      </c>
      <c r="AF961" s="1">
        <v>1111269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1633517</v>
      </c>
      <c r="AM961" s="1">
        <v>0</v>
      </c>
      <c r="AN961" s="1">
        <v>33274680</v>
      </c>
      <c r="AO961" s="1">
        <v>3979477</v>
      </c>
      <c r="AP961" s="1">
        <v>29295203</v>
      </c>
      <c r="AQ961" s="1">
        <v>6432682</v>
      </c>
      <c r="AR961" s="1">
        <v>964902</v>
      </c>
      <c r="AS961" s="1">
        <v>0</v>
      </c>
      <c r="AT961" s="1">
        <f t="shared" si="97"/>
        <v>40672264</v>
      </c>
    </row>
    <row r="962" spans="1:46">
      <c r="A962" s="1" t="str">
        <f>"01227"</f>
        <v>01227</v>
      </c>
      <c r="B962" s="1" t="str">
        <f>"اصغر"</f>
        <v>اصغر</v>
      </c>
      <c r="C962" s="1" t="str">
        <f>"خسروي"</f>
        <v>خسروي</v>
      </c>
      <c r="D962" s="1" t="str">
        <f t="shared" si="102"/>
        <v>قراردادي بهره بردار</v>
      </c>
      <c r="E962" s="1" t="str">
        <f t="shared" si="103"/>
        <v>پروژه بهره برداري نيروگاه بوشهر</v>
      </c>
      <c r="F962" s="1">
        <v>9837788</v>
      </c>
      <c r="G962" s="1">
        <v>0</v>
      </c>
      <c r="H962" s="1">
        <v>0</v>
      </c>
      <c r="I962" s="1">
        <v>6121536</v>
      </c>
      <c r="J962" s="1">
        <v>0</v>
      </c>
      <c r="K962" s="1">
        <v>4620000</v>
      </c>
      <c r="L962" s="1">
        <v>0</v>
      </c>
      <c r="M962" s="1">
        <v>400000</v>
      </c>
      <c r="N962" s="1">
        <v>1685662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4131020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1204045</v>
      </c>
      <c r="AF962" s="1">
        <v>1111269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1806068</v>
      </c>
      <c r="AM962" s="1">
        <v>0</v>
      </c>
      <c r="AN962" s="1">
        <v>32017388</v>
      </c>
      <c r="AO962" s="1">
        <v>5154918</v>
      </c>
      <c r="AP962" s="1">
        <v>26862470</v>
      </c>
      <c r="AQ962" s="1">
        <v>6181224</v>
      </c>
      <c r="AR962" s="1">
        <v>927184</v>
      </c>
      <c r="AS962" s="1">
        <v>0</v>
      </c>
      <c r="AT962" s="1">
        <f t="shared" si="97"/>
        <v>39125796</v>
      </c>
    </row>
    <row r="963" spans="1:46">
      <c r="A963" s="1" t="str">
        <f>"01228"</f>
        <v>01228</v>
      </c>
      <c r="B963" s="1" t="str">
        <f>"پيمان"</f>
        <v>پيمان</v>
      </c>
      <c r="C963" s="1" t="str">
        <f>"قائدي"</f>
        <v>قائدي</v>
      </c>
      <c r="D963" s="1" t="str">
        <f t="shared" si="102"/>
        <v>قراردادي بهره بردار</v>
      </c>
      <c r="E963" s="1" t="str">
        <f t="shared" si="103"/>
        <v>پروژه بهره برداري نيروگاه بوشهر</v>
      </c>
      <c r="F963" s="1">
        <v>10191509</v>
      </c>
      <c r="G963" s="1">
        <v>2741298</v>
      </c>
      <c r="H963" s="1">
        <v>0</v>
      </c>
      <c r="I963" s="1">
        <v>5994044</v>
      </c>
      <c r="J963" s="1">
        <v>0</v>
      </c>
      <c r="K963" s="1">
        <v>3465000</v>
      </c>
      <c r="L963" s="1">
        <v>0</v>
      </c>
      <c r="M963" s="1">
        <v>400000</v>
      </c>
      <c r="N963" s="1">
        <v>1687368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4177217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1205263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1807895</v>
      </c>
      <c r="AM963" s="1">
        <v>0</v>
      </c>
      <c r="AN963" s="1">
        <v>32769594</v>
      </c>
      <c r="AO963" s="1">
        <v>6310855</v>
      </c>
      <c r="AP963" s="1">
        <v>26458739</v>
      </c>
      <c r="AQ963" s="1">
        <v>6553919</v>
      </c>
      <c r="AR963" s="1">
        <v>983088</v>
      </c>
      <c r="AS963" s="1">
        <v>0</v>
      </c>
      <c r="AT963" s="1">
        <f t="shared" ref="AT963:AT1026" si="104">AS963+AR963+AQ963+AN963</f>
        <v>40306601</v>
      </c>
    </row>
    <row r="964" spans="1:46">
      <c r="A964" s="1" t="str">
        <f>"01229"</f>
        <v>01229</v>
      </c>
      <c r="B964" s="1" t="str">
        <f>"ميثم"</f>
        <v>ميثم</v>
      </c>
      <c r="C964" s="1" t="str">
        <f>"دهقاني"</f>
        <v>دهقاني</v>
      </c>
      <c r="D964" s="1" t="str">
        <f t="shared" si="102"/>
        <v>قراردادي بهره بردار</v>
      </c>
      <c r="E964" s="1" t="str">
        <f t="shared" si="103"/>
        <v>پروژه بهره برداري نيروگاه بوشهر</v>
      </c>
      <c r="F964" s="1">
        <v>11939466</v>
      </c>
      <c r="G964" s="1">
        <v>5178692</v>
      </c>
      <c r="H964" s="1">
        <v>0</v>
      </c>
      <c r="I964" s="1">
        <v>7960053</v>
      </c>
      <c r="J964" s="1">
        <v>0</v>
      </c>
      <c r="K964" s="1">
        <v>4620000</v>
      </c>
      <c r="L964" s="1">
        <v>0</v>
      </c>
      <c r="M964" s="1">
        <v>400000</v>
      </c>
      <c r="N964" s="1">
        <v>2016452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4930286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1440322</v>
      </c>
      <c r="AF964" s="1">
        <v>1111269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2592580</v>
      </c>
      <c r="AM964" s="1">
        <v>0</v>
      </c>
      <c r="AN964" s="1">
        <v>43289120</v>
      </c>
      <c r="AO964" s="1">
        <v>5381903</v>
      </c>
      <c r="AP964" s="1">
        <v>37907217</v>
      </c>
      <c r="AQ964" s="1">
        <v>8435570</v>
      </c>
      <c r="AR964" s="1">
        <v>1265336</v>
      </c>
      <c r="AS964" s="1">
        <v>0</v>
      </c>
      <c r="AT964" s="1">
        <f t="shared" si="104"/>
        <v>52990026</v>
      </c>
    </row>
    <row r="965" spans="1:46">
      <c r="A965" s="1" t="str">
        <f>"01230"</f>
        <v>01230</v>
      </c>
      <c r="B965" s="1" t="str">
        <f>"محمد شريف"</f>
        <v>محمد شريف</v>
      </c>
      <c r="C965" s="1" t="str">
        <f>"دل آرام"</f>
        <v>دل آرام</v>
      </c>
      <c r="D965" s="1" t="str">
        <f t="shared" si="102"/>
        <v>قراردادي بهره بردار</v>
      </c>
      <c r="E965" s="1" t="str">
        <f t="shared" si="103"/>
        <v>پروژه بهره برداري نيروگاه بوشهر</v>
      </c>
      <c r="F965" s="1">
        <v>15013297</v>
      </c>
      <c r="G965" s="1">
        <v>5983775</v>
      </c>
      <c r="H965" s="1">
        <v>0</v>
      </c>
      <c r="I965" s="1">
        <v>10809103</v>
      </c>
      <c r="J965" s="1">
        <v>0</v>
      </c>
      <c r="K965" s="1">
        <v>0</v>
      </c>
      <c r="L965" s="1">
        <v>0</v>
      </c>
      <c r="M965" s="1">
        <v>400000</v>
      </c>
      <c r="N965" s="1">
        <v>2440349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1270000</v>
      </c>
      <c r="U965" s="1">
        <v>0</v>
      </c>
      <c r="V965" s="1">
        <v>7121187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1743107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3904558</v>
      </c>
      <c r="AM965" s="1">
        <v>0</v>
      </c>
      <c r="AN965" s="1">
        <v>49785376</v>
      </c>
      <c r="AO965" s="1">
        <v>6291481</v>
      </c>
      <c r="AP965" s="1">
        <v>43493895</v>
      </c>
      <c r="AQ965" s="1">
        <v>9703075</v>
      </c>
      <c r="AR965" s="1">
        <v>1455461</v>
      </c>
      <c r="AS965" s="1">
        <v>0</v>
      </c>
      <c r="AT965" s="1">
        <f t="shared" si="104"/>
        <v>60943912</v>
      </c>
    </row>
    <row r="966" spans="1:46">
      <c r="A966" s="1" t="str">
        <f>"01231"</f>
        <v>01231</v>
      </c>
      <c r="B966" s="1" t="str">
        <f>"جواد"</f>
        <v>جواد</v>
      </c>
      <c r="C966" s="1" t="str">
        <f>"سهرابي"</f>
        <v>سهرابي</v>
      </c>
      <c r="D966" s="1" t="str">
        <f t="shared" si="102"/>
        <v>قراردادي بهره بردار</v>
      </c>
      <c r="E966" s="1" t="str">
        <f t="shared" si="103"/>
        <v>پروژه بهره برداري نيروگاه بوشهر</v>
      </c>
      <c r="F966" s="1">
        <v>9466876</v>
      </c>
      <c r="G966" s="1">
        <v>1483414</v>
      </c>
      <c r="H966" s="1">
        <v>0</v>
      </c>
      <c r="I966" s="1">
        <v>5382000</v>
      </c>
      <c r="J966" s="1">
        <v>0</v>
      </c>
      <c r="K966" s="1">
        <v>4620000</v>
      </c>
      <c r="L966" s="1">
        <v>0</v>
      </c>
      <c r="M966" s="1">
        <v>400000</v>
      </c>
      <c r="N966" s="1">
        <v>1424331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3767400</v>
      </c>
      <c r="W966" s="1">
        <v>1100000</v>
      </c>
      <c r="X966" s="1">
        <v>1420031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1017378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1546416</v>
      </c>
      <c r="AM966" s="1">
        <v>0</v>
      </c>
      <c r="AN966" s="1">
        <v>31627846</v>
      </c>
      <c r="AO966" s="1">
        <v>3498375</v>
      </c>
      <c r="AP966" s="1">
        <v>28129471</v>
      </c>
      <c r="AQ966" s="1">
        <v>6325569</v>
      </c>
      <c r="AR966" s="1">
        <v>948835</v>
      </c>
      <c r="AS966" s="1">
        <v>0</v>
      </c>
      <c r="AT966" s="1">
        <f t="shared" si="104"/>
        <v>38902250</v>
      </c>
    </row>
    <row r="967" spans="1:46">
      <c r="A967" s="1" t="str">
        <f>"01232"</f>
        <v>01232</v>
      </c>
      <c r="B967" s="1" t="str">
        <f>"محمد جواد"</f>
        <v>محمد جواد</v>
      </c>
      <c r="C967" s="1" t="str">
        <f>"حيدري"</f>
        <v>حيدري</v>
      </c>
      <c r="D967" s="1" t="str">
        <f t="shared" si="102"/>
        <v>قراردادي بهره بردار</v>
      </c>
      <c r="E967" s="1" t="str">
        <f t="shared" si="103"/>
        <v>پروژه بهره برداري نيروگاه بوشهر</v>
      </c>
      <c r="F967" s="1">
        <v>9560154</v>
      </c>
      <c r="G967" s="1">
        <v>488293</v>
      </c>
      <c r="H967" s="1">
        <v>0</v>
      </c>
      <c r="I967" s="1">
        <v>5462702</v>
      </c>
      <c r="J967" s="1">
        <v>0</v>
      </c>
      <c r="K967" s="1">
        <v>3465000</v>
      </c>
      <c r="L967" s="1">
        <v>0</v>
      </c>
      <c r="M967" s="1">
        <v>400000</v>
      </c>
      <c r="N967" s="1">
        <v>1455911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3243363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1039937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1559905</v>
      </c>
      <c r="AM967" s="1">
        <v>0</v>
      </c>
      <c r="AN967" s="1">
        <v>27775265</v>
      </c>
      <c r="AO967" s="1">
        <v>3753141</v>
      </c>
      <c r="AP967" s="1">
        <v>24022124</v>
      </c>
      <c r="AQ967" s="1">
        <v>5555053</v>
      </c>
      <c r="AR967" s="1">
        <v>833258</v>
      </c>
      <c r="AS967" s="1">
        <v>0</v>
      </c>
      <c r="AT967" s="1">
        <f t="shared" si="104"/>
        <v>34163576</v>
      </c>
    </row>
    <row r="968" spans="1:46">
      <c r="A968" s="1" t="str">
        <f>"01233"</f>
        <v>01233</v>
      </c>
      <c r="B968" s="1" t="str">
        <f>"کامران"</f>
        <v>کامران</v>
      </c>
      <c r="C968" s="1" t="str">
        <f>"زارعي"</f>
        <v>زارعي</v>
      </c>
      <c r="D968" s="1" t="str">
        <f t="shared" si="102"/>
        <v>قراردادي بهره بردار</v>
      </c>
      <c r="E968" s="1" t="str">
        <f t="shared" si="103"/>
        <v>پروژه بهره برداري نيروگاه بوشهر</v>
      </c>
      <c r="F968" s="1">
        <v>11391898</v>
      </c>
      <c r="G968" s="1">
        <v>0</v>
      </c>
      <c r="H968" s="1">
        <v>0</v>
      </c>
      <c r="I968" s="1">
        <v>6838963</v>
      </c>
      <c r="J968" s="1">
        <v>0</v>
      </c>
      <c r="K968" s="1">
        <v>4125000</v>
      </c>
      <c r="L968" s="1">
        <v>0</v>
      </c>
      <c r="M968" s="1">
        <v>400000</v>
      </c>
      <c r="N968" s="1">
        <v>1376839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2186965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983456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1278493</v>
      </c>
      <c r="AM968" s="1">
        <v>0</v>
      </c>
      <c r="AN968" s="1">
        <v>29681614</v>
      </c>
      <c r="AO968" s="1">
        <v>9001018</v>
      </c>
      <c r="AP968" s="1">
        <v>20680596</v>
      </c>
      <c r="AQ968" s="1">
        <v>5936323</v>
      </c>
      <c r="AR968" s="1">
        <v>890448</v>
      </c>
      <c r="AS968" s="1">
        <v>0</v>
      </c>
      <c r="AT968" s="1">
        <f t="shared" si="104"/>
        <v>36508385</v>
      </c>
    </row>
    <row r="969" spans="1:46">
      <c r="A969" s="1" t="str">
        <f>"01234"</f>
        <v>01234</v>
      </c>
      <c r="B969" s="1" t="str">
        <f>"محسن"</f>
        <v>محسن</v>
      </c>
      <c r="C969" s="1" t="str">
        <f>"نيکنام"</f>
        <v>نيکنام</v>
      </c>
      <c r="D969" s="1" t="str">
        <f>"قراردادي کارگري"</f>
        <v>قراردادي کارگري</v>
      </c>
      <c r="E969" s="1" t="str">
        <f>"پروژه تعميرات نيروگاه بوشهر"</f>
        <v>پروژه تعميرات نيروگاه بوشهر</v>
      </c>
      <c r="F969" s="1">
        <v>7070778</v>
      </c>
      <c r="G969" s="1">
        <v>9218543</v>
      </c>
      <c r="H969" s="1">
        <v>0</v>
      </c>
      <c r="I969" s="1">
        <v>4242467</v>
      </c>
      <c r="J969" s="1">
        <v>0</v>
      </c>
      <c r="K969" s="1">
        <v>0</v>
      </c>
      <c r="L969" s="1">
        <v>3620700</v>
      </c>
      <c r="M969" s="1">
        <v>400000</v>
      </c>
      <c r="N969" s="1">
        <v>3771082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2020503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2222538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33666611</v>
      </c>
      <c r="AO969" s="1">
        <v>7478278</v>
      </c>
      <c r="AP969" s="1">
        <v>26188333</v>
      </c>
      <c r="AQ969" s="1">
        <v>6288815</v>
      </c>
      <c r="AR969" s="1">
        <v>943322</v>
      </c>
      <c r="AS969" s="1">
        <v>1200000</v>
      </c>
      <c r="AT969" s="1">
        <f t="shared" si="104"/>
        <v>42098748</v>
      </c>
    </row>
    <row r="970" spans="1:46">
      <c r="A970" s="1" t="str">
        <f>"01235"</f>
        <v>01235</v>
      </c>
      <c r="B970" s="1" t="str">
        <f>"محمد"</f>
        <v>محمد</v>
      </c>
      <c r="C970" s="1" t="str">
        <f>"حسن زاده"</f>
        <v>حسن زاده</v>
      </c>
      <c r="D970" s="1" t="str">
        <f t="shared" ref="D970:D975" si="105">"قراردادي بهره بردار"</f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14347114</v>
      </c>
      <c r="G970" s="1">
        <v>7596047</v>
      </c>
      <c r="H970" s="1">
        <v>0</v>
      </c>
      <c r="I970" s="1">
        <v>11132619</v>
      </c>
      <c r="J970" s="1">
        <v>0</v>
      </c>
      <c r="K970" s="1">
        <v>5500000</v>
      </c>
      <c r="L970" s="1">
        <v>0</v>
      </c>
      <c r="M970" s="1">
        <v>400000</v>
      </c>
      <c r="N970" s="1">
        <v>2336598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6160326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1668999</v>
      </c>
      <c r="AF970" s="1">
        <v>2222538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2937438</v>
      </c>
      <c r="AM970" s="1">
        <v>0</v>
      </c>
      <c r="AN970" s="1">
        <v>55401679</v>
      </c>
      <c r="AO970" s="1">
        <v>7841246</v>
      </c>
      <c r="AP970" s="1">
        <v>47560433</v>
      </c>
      <c r="AQ970" s="1">
        <v>10635828</v>
      </c>
      <c r="AR970" s="1">
        <v>1595374</v>
      </c>
      <c r="AS970" s="1">
        <v>0</v>
      </c>
      <c r="AT970" s="1">
        <f t="shared" si="104"/>
        <v>67632881</v>
      </c>
    </row>
    <row r="971" spans="1:46">
      <c r="A971" s="1" t="str">
        <f>"01236"</f>
        <v>01236</v>
      </c>
      <c r="B971" s="1" t="str">
        <f>"لاله"</f>
        <v>لاله</v>
      </c>
      <c r="C971" s="1" t="str">
        <f>"محمدي"</f>
        <v>محمدي</v>
      </c>
      <c r="D971" s="1" t="str">
        <f t="shared" si="105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11548077</v>
      </c>
      <c r="G971" s="1">
        <v>0</v>
      </c>
      <c r="H971" s="1">
        <v>0</v>
      </c>
      <c r="I971" s="1">
        <v>7187739</v>
      </c>
      <c r="J971" s="1">
        <v>0</v>
      </c>
      <c r="K971" s="1">
        <v>4125000</v>
      </c>
      <c r="L971" s="1">
        <v>0</v>
      </c>
      <c r="M971" s="1">
        <v>400000</v>
      </c>
      <c r="N971" s="1">
        <v>1434948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1270000</v>
      </c>
      <c r="U971" s="1">
        <v>0</v>
      </c>
      <c r="V971" s="1">
        <v>2242568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1024963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1229955</v>
      </c>
      <c r="AM971" s="1">
        <v>0</v>
      </c>
      <c r="AN971" s="1">
        <v>31563250</v>
      </c>
      <c r="AO971" s="1">
        <v>4268798</v>
      </c>
      <c r="AP971" s="1">
        <v>27294452</v>
      </c>
      <c r="AQ971" s="1">
        <v>6058650</v>
      </c>
      <c r="AR971" s="1">
        <v>908798</v>
      </c>
      <c r="AS971" s="1">
        <v>0</v>
      </c>
      <c r="AT971" s="1">
        <f t="shared" si="104"/>
        <v>38530698</v>
      </c>
    </row>
    <row r="972" spans="1:46">
      <c r="A972" s="1" t="str">
        <f>"01237"</f>
        <v>01237</v>
      </c>
      <c r="B972" s="1" t="str">
        <f>"اميد"</f>
        <v>اميد</v>
      </c>
      <c r="C972" s="1" t="str">
        <f>"تکين"</f>
        <v>تکين</v>
      </c>
      <c r="D972" s="1" t="str">
        <f t="shared" si="105"/>
        <v>قراردادي بهره بردار</v>
      </c>
      <c r="E972" s="1" t="str">
        <f>"پروژه بهره برداري نيروگاه بوشهر"</f>
        <v>پروژه بهره برداري نيروگاه بوشهر</v>
      </c>
      <c r="F972" s="1">
        <v>11496255</v>
      </c>
      <c r="G972" s="1">
        <v>13798759</v>
      </c>
      <c r="H972" s="1">
        <v>0</v>
      </c>
      <c r="I972" s="1">
        <v>10048400</v>
      </c>
      <c r="J972" s="1">
        <v>0</v>
      </c>
      <c r="K972" s="1">
        <v>4620000</v>
      </c>
      <c r="L972" s="1">
        <v>0</v>
      </c>
      <c r="M972" s="1">
        <v>400000</v>
      </c>
      <c r="N972" s="1">
        <v>2127609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1270000</v>
      </c>
      <c r="U972" s="1">
        <v>0</v>
      </c>
      <c r="V972" s="1">
        <v>6225004</v>
      </c>
      <c r="W972" s="1">
        <v>1100000</v>
      </c>
      <c r="X972" s="1">
        <v>1724438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1519721</v>
      </c>
      <c r="AF972" s="1">
        <v>1111269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8008038</v>
      </c>
      <c r="AM972" s="1">
        <v>0</v>
      </c>
      <c r="AN972" s="1">
        <v>63449493</v>
      </c>
      <c r="AO972" s="1">
        <v>11908152</v>
      </c>
      <c r="AP972" s="1">
        <v>51541341</v>
      </c>
      <c r="AQ972" s="1">
        <v>12213645</v>
      </c>
      <c r="AR972" s="1">
        <v>1832047</v>
      </c>
      <c r="AS972" s="1">
        <v>0</v>
      </c>
      <c r="AT972" s="1">
        <f t="shared" si="104"/>
        <v>77495185</v>
      </c>
    </row>
    <row r="973" spans="1:46">
      <c r="A973" s="1" t="str">
        <f>"01238"</f>
        <v>01238</v>
      </c>
      <c r="B973" s="1" t="str">
        <f>"محمد امين"</f>
        <v>محمد امين</v>
      </c>
      <c r="C973" s="1" t="str">
        <f>"صمصامي"</f>
        <v>صمصامي</v>
      </c>
      <c r="D973" s="1" t="str">
        <f t="shared" si="105"/>
        <v>قراردادي بهره بردار</v>
      </c>
      <c r="E973" s="1" t="str">
        <f>"پروژه تعميرات نيروگاه بوشهر"</f>
        <v>پروژه تعميرات نيروگاه بوشهر</v>
      </c>
      <c r="F973" s="1">
        <v>12686042</v>
      </c>
      <c r="G973" s="1">
        <v>4108881</v>
      </c>
      <c r="H973" s="1">
        <v>0</v>
      </c>
      <c r="I973" s="1">
        <v>8513995</v>
      </c>
      <c r="J973" s="1">
        <v>0</v>
      </c>
      <c r="K973" s="1">
        <v>5500000</v>
      </c>
      <c r="L973" s="1">
        <v>0</v>
      </c>
      <c r="M973" s="1">
        <v>400000</v>
      </c>
      <c r="N973" s="1">
        <v>1544819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2561381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1103442</v>
      </c>
      <c r="AF973" s="1">
        <v>1111269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1765508</v>
      </c>
      <c r="AM973" s="1">
        <v>0</v>
      </c>
      <c r="AN973" s="1">
        <v>40395337</v>
      </c>
      <c r="AO973" s="1">
        <v>10186784</v>
      </c>
      <c r="AP973" s="1">
        <v>30208553</v>
      </c>
      <c r="AQ973" s="1">
        <v>7856814</v>
      </c>
      <c r="AR973" s="1">
        <v>1178522</v>
      </c>
      <c r="AS973" s="1">
        <v>0</v>
      </c>
      <c r="AT973" s="1">
        <f t="shared" si="104"/>
        <v>49430673</v>
      </c>
    </row>
    <row r="974" spans="1:46">
      <c r="A974" s="1" t="str">
        <f>"01239"</f>
        <v>01239</v>
      </c>
      <c r="B974" s="1" t="str">
        <f>"مختار"</f>
        <v>مختار</v>
      </c>
      <c r="C974" s="1" t="str">
        <f>"كانيک زاده"</f>
        <v>كانيک زاده</v>
      </c>
      <c r="D974" s="1" t="str">
        <f t="shared" si="105"/>
        <v>قراردادي بهره بردار</v>
      </c>
      <c r="E974" s="1" t="str">
        <f>"پروژه بهره برداري نيروگاه بوشهر"</f>
        <v>پروژه بهره برداري نيروگاه بوشهر</v>
      </c>
      <c r="F974" s="1">
        <v>12375792</v>
      </c>
      <c r="G974" s="1">
        <v>3031169</v>
      </c>
      <c r="H974" s="1">
        <v>0</v>
      </c>
      <c r="I974" s="1">
        <v>5833807</v>
      </c>
      <c r="J974" s="1">
        <v>0</v>
      </c>
      <c r="K974" s="1">
        <v>4125000</v>
      </c>
      <c r="L974" s="1">
        <v>0</v>
      </c>
      <c r="M974" s="1">
        <v>400000</v>
      </c>
      <c r="N974" s="1">
        <v>1563534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2223012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1116810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1340172</v>
      </c>
      <c r="AM974" s="1">
        <v>0</v>
      </c>
      <c r="AN974" s="1">
        <v>33109296</v>
      </c>
      <c r="AO974" s="1">
        <v>4701259</v>
      </c>
      <c r="AP974" s="1">
        <v>28408037</v>
      </c>
      <c r="AQ974" s="1">
        <v>6621859</v>
      </c>
      <c r="AR974" s="1">
        <v>993279</v>
      </c>
      <c r="AS974" s="1">
        <v>0</v>
      </c>
      <c r="AT974" s="1">
        <f t="shared" si="104"/>
        <v>40724434</v>
      </c>
    </row>
    <row r="975" spans="1:46">
      <c r="A975" s="1" t="str">
        <f>"01240"</f>
        <v>01240</v>
      </c>
      <c r="B975" s="1" t="str">
        <f>"رضا"</f>
        <v>رضا</v>
      </c>
      <c r="C975" s="1" t="str">
        <f>"كريمي"</f>
        <v>كريمي</v>
      </c>
      <c r="D975" s="1" t="str">
        <f t="shared" si="105"/>
        <v>قراردادي بهره بردار</v>
      </c>
      <c r="E975" s="1" t="str">
        <f>"پروژه بهره برداري نيروگاه بوشهر"</f>
        <v>پروژه بهره برداري نيروگاه بوشهر</v>
      </c>
      <c r="F975" s="1">
        <v>8969601</v>
      </c>
      <c r="G975" s="1">
        <v>4256290</v>
      </c>
      <c r="H975" s="1">
        <v>0</v>
      </c>
      <c r="I975" s="1">
        <v>5623752</v>
      </c>
      <c r="J975" s="1">
        <v>0</v>
      </c>
      <c r="K975" s="1">
        <v>4620000</v>
      </c>
      <c r="L975" s="1">
        <v>0</v>
      </c>
      <c r="M975" s="1">
        <v>400000</v>
      </c>
      <c r="N975" s="1">
        <v>1365026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1270000</v>
      </c>
      <c r="U975" s="1">
        <v>0</v>
      </c>
      <c r="V975" s="1">
        <v>1829843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975019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1365026</v>
      </c>
      <c r="AM975" s="1">
        <v>0</v>
      </c>
      <c r="AN975" s="1">
        <v>31774557</v>
      </c>
      <c r="AO975" s="1">
        <v>11932300</v>
      </c>
      <c r="AP975" s="1">
        <v>19842257</v>
      </c>
      <c r="AQ975" s="1">
        <v>6100911</v>
      </c>
      <c r="AR975" s="1">
        <v>915137</v>
      </c>
      <c r="AS975" s="1">
        <v>0</v>
      </c>
      <c r="AT975" s="1">
        <f t="shared" si="104"/>
        <v>38790605</v>
      </c>
    </row>
    <row r="976" spans="1:46">
      <c r="A976" s="1" t="str">
        <f>"01241"</f>
        <v>01241</v>
      </c>
      <c r="B976" s="1" t="str">
        <f>"عباس"</f>
        <v>عباس</v>
      </c>
      <c r="C976" s="1" t="str">
        <f>"احمدي"</f>
        <v>احمدي</v>
      </c>
      <c r="D976" s="1" t="str">
        <f t="shared" ref="D976:D993" si="106">"قراردادي کارگري"</f>
        <v>قراردادي کارگري</v>
      </c>
      <c r="E976" s="1" t="str">
        <f>"پروژه بهره برداري نيروگاه بوشهر"</f>
        <v>پروژه بهره برداري نيروگاه بوشهر</v>
      </c>
      <c r="F976" s="1">
        <v>11686370</v>
      </c>
      <c r="G976" s="1">
        <v>3321646</v>
      </c>
      <c r="H976" s="1">
        <v>0</v>
      </c>
      <c r="I976" s="1">
        <v>6716492</v>
      </c>
      <c r="J976" s="1">
        <v>0</v>
      </c>
      <c r="K976" s="1">
        <v>0</v>
      </c>
      <c r="L976" s="1">
        <v>0</v>
      </c>
      <c r="M976" s="1">
        <v>400000</v>
      </c>
      <c r="N976" s="1">
        <v>1319622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2179617</v>
      </c>
      <c r="W976" s="1">
        <v>1100000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942588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1131105</v>
      </c>
      <c r="AM976" s="1">
        <v>0</v>
      </c>
      <c r="AN976" s="1">
        <v>28797440</v>
      </c>
      <c r="AO976" s="1">
        <v>4625970</v>
      </c>
      <c r="AP976" s="1">
        <v>24171470</v>
      </c>
      <c r="AQ976" s="1">
        <v>5759488</v>
      </c>
      <c r="AR976" s="1">
        <v>863923</v>
      </c>
      <c r="AS976" s="1">
        <v>0</v>
      </c>
      <c r="AT976" s="1">
        <f t="shared" si="104"/>
        <v>35420851</v>
      </c>
    </row>
    <row r="977" spans="1:46">
      <c r="A977" s="1" t="str">
        <f>"01242"</f>
        <v>01242</v>
      </c>
      <c r="B977" s="1" t="str">
        <f>"مسعود"</f>
        <v>مسعود</v>
      </c>
      <c r="C977" s="1" t="str">
        <f>"احمدي باغکي"</f>
        <v>احمدي باغکي</v>
      </c>
      <c r="D977" s="1" t="str">
        <f t="shared" si="106"/>
        <v>قراردادي کارگري</v>
      </c>
      <c r="E977" s="1" t="str">
        <f t="shared" ref="E977:E993" si="107">"پروژه تعميرات نيروگاه بوشهر"</f>
        <v>پروژه تعميرات نيروگاه بوشهر</v>
      </c>
      <c r="F977" s="1">
        <v>4510038</v>
      </c>
      <c r="G977" s="1">
        <v>0</v>
      </c>
      <c r="H977" s="1">
        <v>0</v>
      </c>
      <c r="I977" s="1">
        <v>2706023</v>
      </c>
      <c r="J977" s="1">
        <v>0</v>
      </c>
      <c r="K977" s="1">
        <v>0</v>
      </c>
      <c r="L977" s="1">
        <v>3663840</v>
      </c>
      <c r="M977" s="1">
        <v>400000</v>
      </c>
      <c r="N977" s="1">
        <v>2405354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1478525</v>
      </c>
      <c r="W977" s="1">
        <v>1100000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16263780</v>
      </c>
      <c r="AO977" s="1">
        <v>2833362</v>
      </c>
      <c r="AP977" s="1">
        <v>13430418</v>
      </c>
      <c r="AQ977" s="1">
        <v>3252756</v>
      </c>
      <c r="AR977" s="1">
        <v>487913</v>
      </c>
      <c r="AS977" s="1">
        <v>300000</v>
      </c>
      <c r="AT977" s="1">
        <f t="shared" si="104"/>
        <v>20304449</v>
      </c>
    </row>
    <row r="978" spans="1:46">
      <c r="A978" s="1" t="str">
        <f>"01244"</f>
        <v>01244</v>
      </c>
      <c r="B978" s="1" t="str">
        <f>"مهدي"</f>
        <v>مهدي</v>
      </c>
      <c r="C978" s="1" t="str">
        <f>"باروني"</f>
        <v>باروني</v>
      </c>
      <c r="D978" s="1" t="str">
        <f t="shared" si="106"/>
        <v>قراردادي کارگري</v>
      </c>
      <c r="E978" s="1" t="str">
        <f t="shared" si="107"/>
        <v>پروژه تعميرات نيروگاه بوشهر</v>
      </c>
      <c r="F978" s="1">
        <v>5502978</v>
      </c>
      <c r="G978" s="1">
        <v>997143</v>
      </c>
      <c r="H978" s="1">
        <v>0</v>
      </c>
      <c r="I978" s="1">
        <v>3301787</v>
      </c>
      <c r="J978" s="1">
        <v>0</v>
      </c>
      <c r="K978" s="1">
        <v>0</v>
      </c>
      <c r="L978" s="1">
        <v>3663840</v>
      </c>
      <c r="M978" s="1">
        <v>400000</v>
      </c>
      <c r="N978" s="1">
        <v>2934922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1690353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19591023</v>
      </c>
      <c r="AO978" s="1">
        <v>3066269</v>
      </c>
      <c r="AP978" s="1">
        <v>16524754</v>
      </c>
      <c r="AQ978" s="1">
        <v>3918205</v>
      </c>
      <c r="AR978" s="1">
        <v>587731</v>
      </c>
      <c r="AS978" s="1">
        <v>300000</v>
      </c>
      <c r="AT978" s="1">
        <f t="shared" si="104"/>
        <v>24396959</v>
      </c>
    </row>
    <row r="979" spans="1:46">
      <c r="A979" s="1" t="str">
        <f>"01245"</f>
        <v>01245</v>
      </c>
      <c r="B979" s="1" t="str">
        <f>"محمد"</f>
        <v>محمد</v>
      </c>
      <c r="C979" s="1" t="str">
        <f>"براشکه"</f>
        <v>براشکه</v>
      </c>
      <c r="D979" s="1" t="str">
        <f t="shared" si="106"/>
        <v>قراردادي کارگري</v>
      </c>
      <c r="E979" s="1" t="str">
        <f t="shared" si="107"/>
        <v>پروژه تعميرات نيروگاه بوشهر</v>
      </c>
      <c r="F979" s="1">
        <v>4886310</v>
      </c>
      <c r="G979" s="1">
        <v>912728</v>
      </c>
      <c r="H979" s="1">
        <v>0</v>
      </c>
      <c r="I979" s="1">
        <v>2931786</v>
      </c>
      <c r="J979" s="1">
        <v>0</v>
      </c>
      <c r="K979" s="1">
        <v>0</v>
      </c>
      <c r="L979" s="1">
        <v>3663840</v>
      </c>
      <c r="M979" s="1">
        <v>400000</v>
      </c>
      <c r="N979" s="1">
        <v>2606032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1558797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18059493</v>
      </c>
      <c r="AO979" s="1">
        <v>2389062</v>
      </c>
      <c r="AP979" s="1">
        <v>15670431</v>
      </c>
      <c r="AQ979" s="1">
        <v>3611899</v>
      </c>
      <c r="AR979" s="1">
        <v>541785</v>
      </c>
      <c r="AS979" s="1">
        <v>265000</v>
      </c>
      <c r="AT979" s="1">
        <f t="shared" si="104"/>
        <v>22478177</v>
      </c>
    </row>
    <row r="980" spans="1:46">
      <c r="A980" s="1" t="str">
        <f>"01246"</f>
        <v>01246</v>
      </c>
      <c r="B980" s="1" t="str">
        <f>"دانيال"</f>
        <v>دانيال</v>
      </c>
      <c r="C980" s="1" t="str">
        <f>"برزگر"</f>
        <v>برزگر</v>
      </c>
      <c r="D980" s="1" t="str">
        <f t="shared" si="106"/>
        <v>قراردادي کارگري</v>
      </c>
      <c r="E980" s="1" t="str">
        <f t="shared" si="107"/>
        <v>پروژه تعميرات نيروگاه بوشهر</v>
      </c>
      <c r="F980" s="1">
        <v>4640688</v>
      </c>
      <c r="G980" s="1">
        <v>1977986</v>
      </c>
      <c r="H980" s="1">
        <v>0</v>
      </c>
      <c r="I980" s="1">
        <v>2784413</v>
      </c>
      <c r="J980" s="1">
        <v>0</v>
      </c>
      <c r="K980" s="1">
        <v>0</v>
      </c>
      <c r="L980" s="1">
        <v>3663840</v>
      </c>
      <c r="M980" s="1">
        <v>400000</v>
      </c>
      <c r="N980" s="1">
        <v>2475034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1506397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18548358</v>
      </c>
      <c r="AO980" s="1">
        <v>3700636</v>
      </c>
      <c r="AP980" s="1">
        <v>14847722</v>
      </c>
      <c r="AQ980" s="1">
        <v>3709672</v>
      </c>
      <c r="AR980" s="1">
        <v>556451</v>
      </c>
      <c r="AS980" s="1">
        <v>0</v>
      </c>
      <c r="AT980" s="1">
        <f t="shared" si="104"/>
        <v>22814481</v>
      </c>
    </row>
    <row r="981" spans="1:46">
      <c r="A981" s="1" t="str">
        <f>"01247"</f>
        <v>01247</v>
      </c>
      <c r="B981" s="1" t="str">
        <f>"ميثم"</f>
        <v>ميثم</v>
      </c>
      <c r="C981" s="1" t="str">
        <f>"بلاغي"</f>
        <v>بلاغي</v>
      </c>
      <c r="D981" s="1" t="str">
        <f t="shared" si="106"/>
        <v>قراردادي کارگري</v>
      </c>
      <c r="E981" s="1" t="str">
        <f t="shared" si="107"/>
        <v>پروژه تعميرات نيروگاه بوشهر</v>
      </c>
      <c r="F981" s="1">
        <v>4541394</v>
      </c>
      <c r="G981" s="1">
        <v>1731026</v>
      </c>
      <c r="H981" s="1">
        <v>0</v>
      </c>
      <c r="I981" s="1">
        <v>2724836</v>
      </c>
      <c r="J981" s="1">
        <v>0</v>
      </c>
      <c r="K981" s="1">
        <v>0</v>
      </c>
      <c r="L981" s="1">
        <v>3663840</v>
      </c>
      <c r="M981" s="1">
        <v>400000</v>
      </c>
      <c r="N981" s="1">
        <v>2422077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1485215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18068388</v>
      </c>
      <c r="AO981" s="1">
        <v>2389684</v>
      </c>
      <c r="AP981" s="1">
        <v>15678704</v>
      </c>
      <c r="AQ981" s="1">
        <v>3613678</v>
      </c>
      <c r="AR981" s="1">
        <v>542052</v>
      </c>
      <c r="AS981" s="1">
        <v>265000</v>
      </c>
      <c r="AT981" s="1">
        <f t="shared" si="104"/>
        <v>22489118</v>
      </c>
    </row>
    <row r="982" spans="1:46">
      <c r="A982" s="1" t="str">
        <f>"01249"</f>
        <v>01249</v>
      </c>
      <c r="B982" s="1" t="str">
        <f>"محمدرضا"</f>
        <v>محمدرضا</v>
      </c>
      <c r="C982" s="1" t="str">
        <f>"پورجماد"</f>
        <v>پورجماد</v>
      </c>
      <c r="D982" s="1" t="str">
        <f t="shared" si="106"/>
        <v>قراردادي کارگري</v>
      </c>
      <c r="E982" s="1" t="str">
        <f t="shared" si="107"/>
        <v>پروژه تعميرات نيروگاه بوشهر</v>
      </c>
      <c r="F982" s="1">
        <v>5226000</v>
      </c>
      <c r="G982" s="1">
        <v>0</v>
      </c>
      <c r="H982" s="1">
        <v>0</v>
      </c>
      <c r="I982" s="1">
        <v>3135600</v>
      </c>
      <c r="J982" s="1">
        <v>0</v>
      </c>
      <c r="K982" s="1">
        <v>0</v>
      </c>
      <c r="L982" s="1">
        <v>3663840</v>
      </c>
      <c r="M982" s="1">
        <v>400000</v>
      </c>
      <c r="N982" s="1">
        <v>2787200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1631264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2222538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20166442</v>
      </c>
      <c r="AO982" s="1">
        <v>6167636</v>
      </c>
      <c r="AP982" s="1">
        <v>13998806</v>
      </c>
      <c r="AQ982" s="1">
        <v>3588781</v>
      </c>
      <c r="AR982" s="1">
        <v>538317</v>
      </c>
      <c r="AS982" s="1">
        <v>795000</v>
      </c>
      <c r="AT982" s="1">
        <f t="shared" si="104"/>
        <v>25088540</v>
      </c>
    </row>
    <row r="983" spans="1:46">
      <c r="A983" s="1" t="str">
        <f>"01250"</f>
        <v>01250</v>
      </c>
      <c r="B983" s="1" t="str">
        <f>"حيدر"</f>
        <v>حيدر</v>
      </c>
      <c r="C983" s="1" t="str">
        <f>"پورمحمد"</f>
        <v>پورمحمد</v>
      </c>
      <c r="D983" s="1" t="str">
        <f t="shared" si="106"/>
        <v>قراردادي کارگري</v>
      </c>
      <c r="E983" s="1" t="str">
        <f t="shared" si="107"/>
        <v>پروژه تعميرات نيروگاه بوشهر</v>
      </c>
      <c r="F983" s="1">
        <v>4604106</v>
      </c>
      <c r="G983" s="1">
        <v>0</v>
      </c>
      <c r="H983" s="1">
        <v>0</v>
      </c>
      <c r="I983" s="1">
        <v>2762464</v>
      </c>
      <c r="J983" s="1">
        <v>0</v>
      </c>
      <c r="K983" s="1">
        <v>0</v>
      </c>
      <c r="L983" s="1">
        <v>3663840</v>
      </c>
      <c r="M983" s="1">
        <v>400000</v>
      </c>
      <c r="N983" s="1">
        <v>2455523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1498593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1111269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17595795</v>
      </c>
      <c r="AO983" s="1">
        <v>5005480</v>
      </c>
      <c r="AP983" s="1">
        <v>12590315</v>
      </c>
      <c r="AQ983" s="1">
        <v>3296905</v>
      </c>
      <c r="AR983" s="1">
        <v>494536</v>
      </c>
      <c r="AS983" s="1">
        <v>795000</v>
      </c>
      <c r="AT983" s="1">
        <f t="shared" si="104"/>
        <v>22182236</v>
      </c>
    </row>
    <row r="984" spans="1:46">
      <c r="A984" s="1" t="str">
        <f>"01252"</f>
        <v>01252</v>
      </c>
      <c r="B984" s="1" t="str">
        <f>"امراله"</f>
        <v>امراله</v>
      </c>
      <c r="C984" s="1" t="str">
        <f>"ثابت لقب"</f>
        <v>ثابت لقب</v>
      </c>
      <c r="D984" s="1" t="str">
        <f t="shared" si="106"/>
        <v>قراردادي کارگري</v>
      </c>
      <c r="E984" s="1" t="str">
        <f t="shared" si="107"/>
        <v>پروژه تعميرات نيروگاه بوشهر</v>
      </c>
      <c r="F984" s="1">
        <v>5638854</v>
      </c>
      <c r="G984" s="1">
        <v>1015743</v>
      </c>
      <c r="H984" s="1">
        <v>0</v>
      </c>
      <c r="I984" s="1">
        <v>3383312</v>
      </c>
      <c r="J984" s="1">
        <v>0</v>
      </c>
      <c r="K984" s="1">
        <v>0</v>
      </c>
      <c r="L984" s="1">
        <v>3663840</v>
      </c>
      <c r="M984" s="1">
        <v>400000</v>
      </c>
      <c r="N984" s="1">
        <v>3007389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1719340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19928478</v>
      </c>
      <c r="AO984" s="1">
        <v>5776556</v>
      </c>
      <c r="AP984" s="1">
        <v>14151922</v>
      </c>
      <c r="AQ984" s="1">
        <v>3985696</v>
      </c>
      <c r="AR984" s="1">
        <v>597854</v>
      </c>
      <c r="AS984" s="1">
        <v>530000</v>
      </c>
      <c r="AT984" s="1">
        <f t="shared" si="104"/>
        <v>25042028</v>
      </c>
    </row>
    <row r="985" spans="1:46">
      <c r="A985" s="1" t="str">
        <f>"01255"</f>
        <v>01255</v>
      </c>
      <c r="B985" s="1" t="str">
        <f>"سيد جعفر"</f>
        <v>سيد جعفر</v>
      </c>
      <c r="C985" s="1" t="str">
        <f>"حسيني"</f>
        <v>حسيني</v>
      </c>
      <c r="D985" s="1" t="str">
        <f t="shared" si="106"/>
        <v>قراردادي کارگري</v>
      </c>
      <c r="E985" s="1" t="str">
        <f t="shared" si="107"/>
        <v>پروژه تعميرات نيروگاه بوشهر</v>
      </c>
      <c r="F985" s="1">
        <v>4734756</v>
      </c>
      <c r="G985" s="1">
        <v>1672466</v>
      </c>
      <c r="H985" s="1">
        <v>0</v>
      </c>
      <c r="I985" s="1">
        <v>2840854</v>
      </c>
      <c r="J985" s="1">
        <v>0</v>
      </c>
      <c r="K985" s="1">
        <v>0</v>
      </c>
      <c r="L985" s="1">
        <v>3663840</v>
      </c>
      <c r="M985" s="1">
        <v>400000</v>
      </c>
      <c r="N985" s="1">
        <v>2525203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1526465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1111269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19574853</v>
      </c>
      <c r="AO985" s="1">
        <v>6887348</v>
      </c>
      <c r="AP985" s="1">
        <v>12687505</v>
      </c>
      <c r="AQ985" s="1">
        <v>3692717</v>
      </c>
      <c r="AR985" s="1">
        <v>553908</v>
      </c>
      <c r="AS985" s="1">
        <v>900000</v>
      </c>
      <c r="AT985" s="1">
        <f t="shared" si="104"/>
        <v>24721478</v>
      </c>
    </row>
    <row r="986" spans="1:46">
      <c r="A986" s="1" t="str">
        <f>"01256"</f>
        <v>01256</v>
      </c>
      <c r="B986" s="1" t="str">
        <f>"احمد"</f>
        <v>احمد</v>
      </c>
      <c r="C986" s="1" t="str">
        <f>"حسيني ملائي"</f>
        <v>حسيني ملائي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4839276</v>
      </c>
      <c r="G986" s="1">
        <v>566431</v>
      </c>
      <c r="H986" s="1">
        <v>0</v>
      </c>
      <c r="I986" s="1">
        <v>2903566</v>
      </c>
      <c r="J986" s="1">
        <v>0</v>
      </c>
      <c r="K986" s="1">
        <v>0</v>
      </c>
      <c r="L986" s="1">
        <v>3663840</v>
      </c>
      <c r="M986" s="1">
        <v>400000</v>
      </c>
      <c r="N986" s="1">
        <v>2580947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1548763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17602823</v>
      </c>
      <c r="AO986" s="1">
        <v>4553761</v>
      </c>
      <c r="AP986" s="1">
        <v>13049062</v>
      </c>
      <c r="AQ986" s="1">
        <v>3520565</v>
      </c>
      <c r="AR986" s="1">
        <v>528085</v>
      </c>
      <c r="AS986" s="1">
        <v>530000</v>
      </c>
      <c r="AT986" s="1">
        <f t="shared" si="104"/>
        <v>22181473</v>
      </c>
    </row>
    <row r="987" spans="1:46">
      <c r="A987" s="1" t="str">
        <f>"01259"</f>
        <v>01259</v>
      </c>
      <c r="B987" s="1" t="str">
        <f>"علي"</f>
        <v>علي</v>
      </c>
      <c r="C987" s="1" t="str">
        <f>"شمسائي"</f>
        <v>شمسائي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7498416</v>
      </c>
      <c r="G987" s="1">
        <v>2091121</v>
      </c>
      <c r="H987" s="1">
        <v>0</v>
      </c>
      <c r="I987" s="1">
        <v>4499056</v>
      </c>
      <c r="J987" s="1">
        <v>0</v>
      </c>
      <c r="K987" s="1">
        <v>0</v>
      </c>
      <c r="L987" s="1">
        <v>13428768</v>
      </c>
      <c r="M987" s="1">
        <v>400000</v>
      </c>
      <c r="N987" s="1">
        <v>3999151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3092537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357612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355305</v>
      </c>
      <c r="AK987" s="1">
        <v>0</v>
      </c>
      <c r="AL987" s="1">
        <v>0</v>
      </c>
      <c r="AM987" s="1">
        <v>0</v>
      </c>
      <c r="AN987" s="1">
        <v>36821966</v>
      </c>
      <c r="AO987" s="1">
        <v>4250330</v>
      </c>
      <c r="AP987" s="1">
        <v>32571636</v>
      </c>
      <c r="AQ987" s="1">
        <v>7364393</v>
      </c>
      <c r="AR987" s="1">
        <v>1104657</v>
      </c>
      <c r="AS987" s="1">
        <v>265000</v>
      </c>
      <c r="AT987" s="1">
        <f t="shared" si="104"/>
        <v>45556016</v>
      </c>
    </row>
    <row r="988" spans="1:46">
      <c r="A988" s="1" t="str">
        <f>"01260"</f>
        <v>01260</v>
      </c>
      <c r="B988" s="1" t="str">
        <f>"سيد علي"</f>
        <v>سيد علي</v>
      </c>
      <c r="C988" s="1" t="str">
        <f>"عسکري"</f>
        <v>عسکري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4724304</v>
      </c>
      <c r="G988" s="1">
        <v>1113189</v>
      </c>
      <c r="H988" s="1">
        <v>0</v>
      </c>
      <c r="I988" s="1">
        <v>2834582</v>
      </c>
      <c r="J988" s="1">
        <v>0</v>
      </c>
      <c r="K988" s="1">
        <v>0</v>
      </c>
      <c r="L988" s="1">
        <v>3663840</v>
      </c>
      <c r="M988" s="1">
        <v>400000</v>
      </c>
      <c r="N988" s="1">
        <v>2519629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1524236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17879780</v>
      </c>
      <c r="AO988" s="1">
        <v>5296482</v>
      </c>
      <c r="AP988" s="1">
        <v>12583298</v>
      </c>
      <c r="AQ988" s="1">
        <v>3575956</v>
      </c>
      <c r="AR988" s="1">
        <v>536393</v>
      </c>
      <c r="AS988" s="1">
        <v>600000</v>
      </c>
      <c r="AT988" s="1">
        <f t="shared" si="104"/>
        <v>22592129</v>
      </c>
    </row>
    <row r="989" spans="1:46">
      <c r="A989" s="1" t="str">
        <f>"01262"</f>
        <v>01262</v>
      </c>
      <c r="B989" s="1" t="str">
        <f>"حميد"</f>
        <v>حميد</v>
      </c>
      <c r="C989" s="1" t="str">
        <f>"فرريزي"</f>
        <v>فرريزي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5539560</v>
      </c>
      <c r="G989" s="1">
        <v>2129570</v>
      </c>
      <c r="H989" s="1">
        <v>0</v>
      </c>
      <c r="I989" s="1">
        <v>3323736</v>
      </c>
      <c r="J989" s="1">
        <v>0</v>
      </c>
      <c r="K989" s="1">
        <v>0</v>
      </c>
      <c r="L989" s="1">
        <v>3663840</v>
      </c>
      <c r="M989" s="1">
        <v>400000</v>
      </c>
      <c r="N989" s="1">
        <v>2954432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1698157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2222538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23031833</v>
      </c>
      <c r="AO989" s="1">
        <v>2051548</v>
      </c>
      <c r="AP989" s="1">
        <v>20980285</v>
      </c>
      <c r="AQ989" s="1">
        <v>4161859</v>
      </c>
      <c r="AR989" s="1">
        <v>624279</v>
      </c>
      <c r="AS989" s="1">
        <v>0</v>
      </c>
      <c r="AT989" s="1">
        <f t="shared" si="104"/>
        <v>27817971</v>
      </c>
    </row>
    <row r="990" spans="1:46">
      <c r="A990" s="1" t="str">
        <f>"01263"</f>
        <v>01263</v>
      </c>
      <c r="B990" s="1" t="str">
        <f>"حسين"</f>
        <v>حسين</v>
      </c>
      <c r="C990" s="1" t="str">
        <f>"فقيه"</f>
        <v>فقيه</v>
      </c>
      <c r="D990" s="1" t="str">
        <f t="shared" si="106"/>
        <v>قراردادي کارگري</v>
      </c>
      <c r="E990" s="1" t="str">
        <f t="shared" si="107"/>
        <v>پروژه تعميرات نيروگاه بوشهر</v>
      </c>
      <c r="F990" s="1">
        <v>4828824</v>
      </c>
      <c r="G990" s="1">
        <v>0</v>
      </c>
      <c r="H990" s="1">
        <v>0</v>
      </c>
      <c r="I990" s="1">
        <v>2897294</v>
      </c>
      <c r="J990" s="1">
        <v>0</v>
      </c>
      <c r="K990" s="1">
        <v>0</v>
      </c>
      <c r="L990" s="1">
        <v>3663840</v>
      </c>
      <c r="M990" s="1">
        <v>400000</v>
      </c>
      <c r="N990" s="1">
        <v>2575373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1546533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17011864</v>
      </c>
      <c r="AO990" s="1">
        <v>4182393</v>
      </c>
      <c r="AP990" s="1">
        <v>12829471</v>
      </c>
      <c r="AQ990" s="1">
        <v>3402373</v>
      </c>
      <c r="AR990" s="1">
        <v>510356</v>
      </c>
      <c r="AS990" s="1">
        <v>265000</v>
      </c>
      <c r="AT990" s="1">
        <f t="shared" si="104"/>
        <v>21189593</v>
      </c>
    </row>
    <row r="991" spans="1:46">
      <c r="A991" s="1" t="str">
        <f>"01264"</f>
        <v>01264</v>
      </c>
      <c r="B991" s="1" t="str">
        <f>"محمد علي"</f>
        <v>محمد علي</v>
      </c>
      <c r="C991" s="1" t="str">
        <f>"قناعت زاده"</f>
        <v>قناعت زاده</v>
      </c>
      <c r="D991" s="1" t="str">
        <f t="shared" si="106"/>
        <v>قراردادي کارگري</v>
      </c>
      <c r="E991" s="1" t="str">
        <f t="shared" si="107"/>
        <v>پروژه تعميرات نيروگاه بوشهر</v>
      </c>
      <c r="F991" s="1">
        <v>5027412</v>
      </c>
      <c r="G991" s="1">
        <v>0</v>
      </c>
      <c r="H991" s="1">
        <v>0</v>
      </c>
      <c r="I991" s="1">
        <v>3016447</v>
      </c>
      <c r="J991" s="1">
        <v>0</v>
      </c>
      <c r="K991" s="1">
        <v>0</v>
      </c>
      <c r="L991" s="1">
        <v>3663840</v>
      </c>
      <c r="M991" s="1">
        <v>400000</v>
      </c>
      <c r="N991" s="1">
        <v>2681286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1588899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17477884</v>
      </c>
      <c r="AO991" s="1">
        <v>2918349</v>
      </c>
      <c r="AP991" s="1">
        <v>14559535</v>
      </c>
      <c r="AQ991" s="1">
        <v>3495577</v>
      </c>
      <c r="AR991" s="1">
        <v>524337</v>
      </c>
      <c r="AS991" s="1">
        <v>300000</v>
      </c>
      <c r="AT991" s="1">
        <f t="shared" si="104"/>
        <v>21797798</v>
      </c>
    </row>
    <row r="992" spans="1:46">
      <c r="A992" s="1" t="str">
        <f>"01266"</f>
        <v>01266</v>
      </c>
      <c r="B992" s="1" t="str">
        <f>"مجيد"</f>
        <v>مجيد</v>
      </c>
      <c r="C992" s="1" t="str">
        <f>"ماندني زاده"</f>
        <v>ماندني زاده</v>
      </c>
      <c r="D992" s="1" t="str">
        <f t="shared" si="106"/>
        <v>قراردادي کارگري</v>
      </c>
      <c r="E992" s="1" t="str">
        <f t="shared" si="107"/>
        <v>پروژه تعميرات نيروگاه بوشهر</v>
      </c>
      <c r="F992" s="1">
        <v>4724304</v>
      </c>
      <c r="G992" s="1">
        <v>1558464</v>
      </c>
      <c r="H992" s="1">
        <v>0</v>
      </c>
      <c r="I992" s="1">
        <v>2834582</v>
      </c>
      <c r="J992" s="1">
        <v>0</v>
      </c>
      <c r="K992" s="1">
        <v>0</v>
      </c>
      <c r="L992" s="1">
        <v>3663840</v>
      </c>
      <c r="M992" s="1">
        <v>400000</v>
      </c>
      <c r="N992" s="1">
        <v>2519629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1524236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18325055</v>
      </c>
      <c r="AO992" s="1">
        <v>4644317</v>
      </c>
      <c r="AP992" s="1">
        <v>13680738</v>
      </c>
      <c r="AQ992" s="1">
        <v>3665011</v>
      </c>
      <c r="AR992" s="1">
        <v>549752</v>
      </c>
      <c r="AS992" s="1">
        <v>300000</v>
      </c>
      <c r="AT992" s="1">
        <f t="shared" si="104"/>
        <v>22839818</v>
      </c>
    </row>
    <row r="993" spans="1:46">
      <c r="A993" s="1" t="str">
        <f>"01267"</f>
        <v>01267</v>
      </c>
      <c r="B993" s="1" t="str">
        <f>"کريم"</f>
        <v>کريم</v>
      </c>
      <c r="C993" s="1" t="str">
        <f>"محمدي"</f>
        <v>محمدي</v>
      </c>
      <c r="D993" s="1" t="str">
        <f t="shared" si="106"/>
        <v>قراردادي کارگري</v>
      </c>
      <c r="E993" s="1" t="str">
        <f t="shared" si="107"/>
        <v>پروژه تعميرات نيروگاه بوشهر</v>
      </c>
      <c r="F993" s="1">
        <v>4598880</v>
      </c>
      <c r="G993" s="1">
        <v>0</v>
      </c>
      <c r="H993" s="1">
        <v>0</v>
      </c>
      <c r="I993" s="1">
        <v>2759328</v>
      </c>
      <c r="J993" s="1">
        <v>0</v>
      </c>
      <c r="K993" s="1">
        <v>0</v>
      </c>
      <c r="L993" s="1">
        <v>3663840</v>
      </c>
      <c r="M993" s="1">
        <v>400000</v>
      </c>
      <c r="N993" s="1">
        <v>2452736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1497478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16472262</v>
      </c>
      <c r="AO993" s="1">
        <v>4194621</v>
      </c>
      <c r="AP993" s="1">
        <v>12277641</v>
      </c>
      <c r="AQ993" s="1">
        <v>3294452</v>
      </c>
      <c r="AR993" s="1">
        <v>494168</v>
      </c>
      <c r="AS993" s="1">
        <v>390000</v>
      </c>
      <c r="AT993" s="1">
        <f t="shared" si="104"/>
        <v>20650882</v>
      </c>
    </row>
    <row r="994" spans="1:46">
      <c r="A994" s="1" t="str">
        <f>"01268"</f>
        <v>01268</v>
      </c>
      <c r="B994" s="1" t="str">
        <f>"رضا"</f>
        <v>رضا</v>
      </c>
      <c r="C994" s="1" t="str">
        <f>"سهيلي راد"</f>
        <v>سهيلي راد</v>
      </c>
      <c r="D994" s="1" t="str">
        <f>"قراردادي بهره بردار"</f>
        <v>قراردادي بهره بردار</v>
      </c>
      <c r="E994" s="1" t="str">
        <f>"پروژه بهره برداري نيروگاه بوشهر"</f>
        <v>پروژه بهره برداري نيروگاه بوشهر</v>
      </c>
      <c r="F994" s="1">
        <v>10941571</v>
      </c>
      <c r="G994" s="1">
        <v>5333115</v>
      </c>
      <c r="H994" s="1">
        <v>0</v>
      </c>
      <c r="I994" s="1">
        <v>4963706</v>
      </c>
      <c r="J994" s="1">
        <v>0</v>
      </c>
      <c r="K994" s="1">
        <v>5500000</v>
      </c>
      <c r="L994" s="1">
        <v>0</v>
      </c>
      <c r="M994" s="1">
        <v>400000</v>
      </c>
      <c r="N994" s="1">
        <v>1202480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1899737</v>
      </c>
      <c r="W994" s="1">
        <v>1100000</v>
      </c>
      <c r="X994" s="1">
        <v>1641236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858914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1030697</v>
      </c>
      <c r="AM994" s="1">
        <v>0</v>
      </c>
      <c r="AN994" s="1">
        <v>34871456</v>
      </c>
      <c r="AO994" s="1">
        <v>11742425</v>
      </c>
      <c r="AP994" s="1">
        <v>23129031</v>
      </c>
      <c r="AQ994" s="1">
        <v>6974291</v>
      </c>
      <c r="AR994" s="1">
        <v>1046144</v>
      </c>
      <c r="AS994" s="1">
        <v>0</v>
      </c>
      <c r="AT994" s="1">
        <f t="shared" si="104"/>
        <v>42891891</v>
      </c>
    </row>
    <row r="995" spans="1:46">
      <c r="A995" s="1" t="str">
        <f>"01269"</f>
        <v>01269</v>
      </c>
      <c r="B995" s="1" t="str">
        <f>"حسنعلي"</f>
        <v>حسنعلي</v>
      </c>
      <c r="C995" s="1" t="str">
        <f>"انصاري"</f>
        <v>انصاري</v>
      </c>
      <c r="D995" s="1" t="str">
        <f>"قراردادي کارگري"</f>
        <v>قراردادي کارگري</v>
      </c>
      <c r="E995" s="1" t="str">
        <f>"پروژه تعميرات نيروگاه بوشهر"</f>
        <v>پروژه تعميرات نيروگاه بوشهر</v>
      </c>
      <c r="F995" s="1">
        <v>5111028</v>
      </c>
      <c r="G995" s="1">
        <v>0</v>
      </c>
      <c r="H995" s="1">
        <v>0</v>
      </c>
      <c r="I995" s="1">
        <v>3066617</v>
      </c>
      <c r="J995" s="1">
        <v>0</v>
      </c>
      <c r="K995" s="1">
        <v>0</v>
      </c>
      <c r="L995" s="1">
        <v>3663840</v>
      </c>
      <c r="M995" s="1">
        <v>400000</v>
      </c>
      <c r="N995" s="1">
        <v>2725882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1606737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17674104</v>
      </c>
      <c r="AO995" s="1">
        <v>4032084</v>
      </c>
      <c r="AP995" s="1">
        <v>13642020</v>
      </c>
      <c r="AQ995" s="1">
        <v>3534821</v>
      </c>
      <c r="AR995" s="1">
        <v>530223</v>
      </c>
      <c r="AS995" s="1">
        <v>600000</v>
      </c>
      <c r="AT995" s="1">
        <f t="shared" si="104"/>
        <v>22339148</v>
      </c>
    </row>
    <row r="996" spans="1:46">
      <c r="A996" s="1" t="str">
        <f>"01270"</f>
        <v>01270</v>
      </c>
      <c r="B996" s="1" t="str">
        <f>"عليرضا"</f>
        <v>عليرضا</v>
      </c>
      <c r="C996" s="1" t="str">
        <f>"رجب زاده"</f>
        <v>رجب زاده</v>
      </c>
      <c r="D996" s="1" t="str">
        <f>"قراردادي کارگري"</f>
        <v>قراردادي کارگري</v>
      </c>
      <c r="E996" s="1" t="str">
        <f>"پروژه تعميرات نيروگاه بوشهر"</f>
        <v>پروژه تعميرات نيروگاه بوشهر</v>
      </c>
      <c r="F996" s="1">
        <v>4588428</v>
      </c>
      <c r="G996" s="1">
        <v>762957</v>
      </c>
      <c r="H996" s="1">
        <v>0</v>
      </c>
      <c r="I996" s="1">
        <v>2753057</v>
      </c>
      <c r="J996" s="1">
        <v>0</v>
      </c>
      <c r="K996" s="1">
        <v>0</v>
      </c>
      <c r="L996" s="1">
        <v>3663840</v>
      </c>
      <c r="M996" s="1">
        <v>400000</v>
      </c>
      <c r="N996" s="1">
        <v>2447162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1495249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17210693</v>
      </c>
      <c r="AO996" s="1">
        <v>3389646</v>
      </c>
      <c r="AP996" s="1">
        <v>13821047</v>
      </c>
      <c r="AQ996" s="1">
        <v>3442139</v>
      </c>
      <c r="AR996" s="1">
        <v>516321</v>
      </c>
      <c r="AS996" s="1">
        <v>795000</v>
      </c>
      <c r="AT996" s="1">
        <f t="shared" si="104"/>
        <v>21964153</v>
      </c>
    </row>
    <row r="997" spans="1:46">
      <c r="A997" s="1" t="str">
        <f>"01272"</f>
        <v>01272</v>
      </c>
      <c r="B997" s="1" t="str">
        <f>"عبداله"</f>
        <v>عبداله</v>
      </c>
      <c r="C997" s="1" t="str">
        <f>"هنرمند"</f>
        <v>هنرمند</v>
      </c>
      <c r="D997" s="1" t="str">
        <f>"قراردادي کارگري"</f>
        <v>قراردادي کارگري</v>
      </c>
      <c r="E997" s="1" t="str">
        <f>"پروژه تعميرات نيروگاه بوشهر"</f>
        <v>پروژه تعميرات نيروگاه بوشهر</v>
      </c>
      <c r="F997" s="1">
        <v>5309616</v>
      </c>
      <c r="G997" s="1">
        <v>1213342</v>
      </c>
      <c r="H997" s="1">
        <v>0</v>
      </c>
      <c r="I997" s="1">
        <v>3185770</v>
      </c>
      <c r="J997" s="1">
        <v>0</v>
      </c>
      <c r="K997" s="1">
        <v>0</v>
      </c>
      <c r="L997" s="1">
        <v>3663840</v>
      </c>
      <c r="M997" s="1">
        <v>400000</v>
      </c>
      <c r="N997" s="1">
        <v>2831795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1649102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2248653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21602118</v>
      </c>
      <c r="AO997" s="1">
        <v>4303711</v>
      </c>
      <c r="AP997" s="1">
        <v>17298407</v>
      </c>
      <c r="AQ997" s="1">
        <v>4320424</v>
      </c>
      <c r="AR997" s="1">
        <v>648064</v>
      </c>
      <c r="AS997" s="1">
        <v>265000</v>
      </c>
      <c r="AT997" s="1">
        <f t="shared" si="104"/>
        <v>26835606</v>
      </c>
    </row>
    <row r="998" spans="1:46">
      <c r="A998" s="1" t="str">
        <f>"01273"</f>
        <v>01273</v>
      </c>
      <c r="B998" s="1" t="str">
        <f>"ايمان"</f>
        <v>ايمان</v>
      </c>
      <c r="C998" s="1" t="str">
        <f>"آشوري"</f>
        <v>آشوري</v>
      </c>
      <c r="D998" s="1" t="str">
        <f>"قراردادي کارگري"</f>
        <v>قراردادي کارگري</v>
      </c>
      <c r="E998" s="1" t="str">
        <f>"پروژه تعميرات نيروگاه بوشهر"</f>
        <v>پروژه تعميرات نيروگاه بوشهر</v>
      </c>
      <c r="F998" s="1">
        <v>5325294</v>
      </c>
      <c r="G998" s="1">
        <v>0</v>
      </c>
      <c r="H998" s="1">
        <v>0</v>
      </c>
      <c r="I998" s="1">
        <v>3195176</v>
      </c>
      <c r="J998" s="1">
        <v>0</v>
      </c>
      <c r="K998" s="1">
        <v>0</v>
      </c>
      <c r="L998" s="1">
        <v>3663840</v>
      </c>
      <c r="M998" s="1">
        <v>400000</v>
      </c>
      <c r="N998" s="1">
        <v>2840157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1652447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2222538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20399452</v>
      </c>
      <c r="AO998" s="1">
        <v>1867281</v>
      </c>
      <c r="AP998" s="1">
        <v>18532171</v>
      </c>
      <c r="AQ998" s="1">
        <v>3635383</v>
      </c>
      <c r="AR998" s="1">
        <v>545307</v>
      </c>
      <c r="AS998" s="1">
        <v>0</v>
      </c>
      <c r="AT998" s="1">
        <f t="shared" si="104"/>
        <v>24580142</v>
      </c>
    </row>
    <row r="999" spans="1:46">
      <c r="A999" s="1" t="str">
        <f>"01274"</f>
        <v>01274</v>
      </c>
      <c r="B999" s="1" t="str">
        <f>"حيدر"</f>
        <v>حيدر</v>
      </c>
      <c r="C999" s="1" t="str">
        <f>"قاسمي قلعه سيدي"</f>
        <v>قاسمي قلعه سيدي</v>
      </c>
      <c r="D999" s="1" t="str">
        <f>"قراردادي بهره بردار"</f>
        <v>قراردادي بهره بردار</v>
      </c>
      <c r="E999" s="1" t="str">
        <f>"پروژه بهره برداري نيروگاه بوشهر"</f>
        <v>پروژه بهره برداري نيروگاه بوشهر</v>
      </c>
      <c r="F999" s="1">
        <v>12326127</v>
      </c>
      <c r="G999" s="1">
        <v>7273425</v>
      </c>
      <c r="H999" s="1">
        <v>0</v>
      </c>
      <c r="I999" s="1">
        <v>10709418</v>
      </c>
      <c r="J999" s="1">
        <v>0</v>
      </c>
      <c r="K999" s="1">
        <v>4620000</v>
      </c>
      <c r="L999" s="1">
        <v>0</v>
      </c>
      <c r="M999" s="1">
        <v>400000</v>
      </c>
      <c r="N999" s="1">
        <v>2097572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1270000</v>
      </c>
      <c r="U999" s="1">
        <v>0</v>
      </c>
      <c r="V999" s="1">
        <v>3022722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1498265</v>
      </c>
      <c r="AF999" s="1">
        <v>2222538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3595837</v>
      </c>
      <c r="AM999" s="1">
        <v>0</v>
      </c>
      <c r="AN999" s="1">
        <v>50135904</v>
      </c>
      <c r="AO999" s="1">
        <v>9773903</v>
      </c>
      <c r="AP999" s="1">
        <v>40362001</v>
      </c>
      <c r="AQ999" s="1">
        <v>9328673</v>
      </c>
      <c r="AR999" s="1">
        <v>1399301</v>
      </c>
      <c r="AS999" s="1">
        <v>0</v>
      </c>
      <c r="AT999" s="1">
        <f t="shared" si="104"/>
        <v>60863878</v>
      </c>
    </row>
    <row r="1000" spans="1:46">
      <c r="A1000" s="1" t="str">
        <f>"01275"</f>
        <v>01275</v>
      </c>
      <c r="B1000" s="1" t="str">
        <f>"ماجد"</f>
        <v>ماجد</v>
      </c>
      <c r="C1000" s="1" t="str">
        <f>"مجدميان سعدوني"</f>
        <v>مجدميان سعدوني</v>
      </c>
      <c r="D1000" s="1" t="str">
        <f t="shared" ref="D1000:D1006" si="108">"قراردادي کارگري"</f>
        <v>قراردادي کارگري</v>
      </c>
      <c r="E1000" s="1" t="str">
        <f t="shared" ref="E1000:E1031" si="109">"پروژه تعميرات نيروگاه بوشهر"</f>
        <v>پروژه تعميرات نيروگاه بوشهر</v>
      </c>
      <c r="F1000" s="1">
        <v>4818372</v>
      </c>
      <c r="G1000" s="1">
        <v>0</v>
      </c>
      <c r="H1000" s="1">
        <v>0</v>
      </c>
      <c r="I1000" s="1">
        <v>2891023</v>
      </c>
      <c r="J1000" s="1">
        <v>0</v>
      </c>
      <c r="K1000" s="1">
        <v>0</v>
      </c>
      <c r="L1000" s="1">
        <v>3663840</v>
      </c>
      <c r="M1000" s="1">
        <v>400000</v>
      </c>
      <c r="N1000" s="1">
        <v>2569798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1544303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16987336</v>
      </c>
      <c r="AO1000" s="1">
        <v>2314011</v>
      </c>
      <c r="AP1000" s="1">
        <v>14673325</v>
      </c>
      <c r="AQ1000" s="1">
        <v>3397467</v>
      </c>
      <c r="AR1000" s="1">
        <v>509620</v>
      </c>
      <c r="AS1000" s="1">
        <v>265000</v>
      </c>
      <c r="AT1000" s="1">
        <f t="shared" si="104"/>
        <v>21159423</v>
      </c>
    </row>
    <row r="1001" spans="1:46">
      <c r="A1001" s="1" t="str">
        <f>"01276"</f>
        <v>01276</v>
      </c>
      <c r="B1001" s="1" t="str">
        <f>"کاظم"</f>
        <v>کاظم</v>
      </c>
      <c r="C1001" s="1" t="str">
        <f>"زارعي نيا"</f>
        <v>زارعي نيا</v>
      </c>
      <c r="D1001" s="1" t="str">
        <f t="shared" si="108"/>
        <v>قراردادي کارگري</v>
      </c>
      <c r="E1001" s="1" t="str">
        <f t="shared" si="109"/>
        <v>پروژه تعميرات نيروگاه بوشهر</v>
      </c>
      <c r="F1001" s="1">
        <v>4640688</v>
      </c>
      <c r="G1001" s="1">
        <v>1868098</v>
      </c>
      <c r="H1001" s="1">
        <v>0</v>
      </c>
      <c r="I1001" s="1">
        <v>2784413</v>
      </c>
      <c r="J1001" s="1">
        <v>0</v>
      </c>
      <c r="K1001" s="1">
        <v>0</v>
      </c>
      <c r="L1001" s="1">
        <v>3663840</v>
      </c>
      <c r="M1001" s="1">
        <v>400000</v>
      </c>
      <c r="N1001" s="1">
        <v>2475034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1506397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18438470</v>
      </c>
      <c r="AO1001" s="1">
        <v>4082256</v>
      </c>
      <c r="AP1001" s="1">
        <v>14356214</v>
      </c>
      <c r="AQ1001" s="1">
        <v>3687694</v>
      </c>
      <c r="AR1001" s="1">
        <v>553154</v>
      </c>
      <c r="AS1001" s="1">
        <v>265000</v>
      </c>
      <c r="AT1001" s="1">
        <f t="shared" si="104"/>
        <v>22944318</v>
      </c>
    </row>
    <row r="1002" spans="1:46">
      <c r="A1002" s="1" t="str">
        <f>"01277"</f>
        <v>01277</v>
      </c>
      <c r="B1002" s="1" t="str">
        <f>"عبدالمجيد"</f>
        <v>عبدالمجيد</v>
      </c>
      <c r="C1002" s="1" t="str">
        <f>"صادقي پور"</f>
        <v>صادقي پور</v>
      </c>
      <c r="D1002" s="1" t="str">
        <f t="shared" si="108"/>
        <v>قراردادي کارگري</v>
      </c>
      <c r="E1002" s="1" t="str">
        <f t="shared" si="109"/>
        <v>پروژه تعميرات نيروگاه بوشهر</v>
      </c>
      <c r="F1002" s="1">
        <v>7419876</v>
      </c>
      <c r="G1002" s="1">
        <v>2872430</v>
      </c>
      <c r="H1002" s="1">
        <v>0</v>
      </c>
      <c r="I1002" s="1">
        <v>4451932</v>
      </c>
      <c r="J1002" s="1">
        <v>0</v>
      </c>
      <c r="K1002" s="1">
        <v>0</v>
      </c>
      <c r="L1002" s="1">
        <v>3663840</v>
      </c>
      <c r="M1002" s="1">
        <v>400000</v>
      </c>
      <c r="N1002" s="1">
        <v>3957263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2099290</v>
      </c>
      <c r="W1002" s="1">
        <v>1100000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1111269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27075900</v>
      </c>
      <c r="AO1002" s="1">
        <v>6027394</v>
      </c>
      <c r="AP1002" s="1">
        <v>21048506</v>
      </c>
      <c r="AQ1002" s="1">
        <v>5192928</v>
      </c>
      <c r="AR1002" s="1">
        <v>778938</v>
      </c>
      <c r="AS1002" s="1">
        <v>795000</v>
      </c>
      <c r="AT1002" s="1">
        <f t="shared" si="104"/>
        <v>33842766</v>
      </c>
    </row>
    <row r="1003" spans="1:46">
      <c r="A1003" s="1" t="str">
        <f>"01278"</f>
        <v>01278</v>
      </c>
      <c r="B1003" s="1" t="str">
        <f>"روح الله"</f>
        <v>روح الله</v>
      </c>
      <c r="C1003" s="1" t="str">
        <f>"ونکي"</f>
        <v>ونکي</v>
      </c>
      <c r="D1003" s="1" t="str">
        <f t="shared" si="108"/>
        <v>قراردادي کارگري</v>
      </c>
      <c r="E1003" s="1" t="str">
        <f t="shared" si="109"/>
        <v>پروژه تعميرات نيروگاه بوشهر</v>
      </c>
      <c r="F1003" s="1">
        <v>8157786</v>
      </c>
      <c r="G1003" s="1">
        <v>3217243</v>
      </c>
      <c r="H1003" s="1">
        <v>0</v>
      </c>
      <c r="I1003" s="1">
        <v>4894672</v>
      </c>
      <c r="J1003" s="1">
        <v>0</v>
      </c>
      <c r="K1003" s="1">
        <v>0</v>
      </c>
      <c r="L1003" s="1">
        <v>3663840</v>
      </c>
      <c r="M1003" s="1">
        <v>400000</v>
      </c>
      <c r="N1003" s="1">
        <v>4350817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2256711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1111269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29152338</v>
      </c>
      <c r="AO1003" s="1">
        <v>6155743</v>
      </c>
      <c r="AP1003" s="1">
        <v>22996595</v>
      </c>
      <c r="AQ1003" s="1">
        <v>5608212</v>
      </c>
      <c r="AR1003" s="1">
        <v>841231</v>
      </c>
      <c r="AS1003" s="1">
        <v>795000</v>
      </c>
      <c r="AT1003" s="1">
        <f t="shared" si="104"/>
        <v>36396781</v>
      </c>
    </row>
    <row r="1004" spans="1:46">
      <c r="A1004" s="1" t="str">
        <f>"01279"</f>
        <v>01279</v>
      </c>
      <c r="B1004" s="1" t="str">
        <f>"بهرام"</f>
        <v>بهرام</v>
      </c>
      <c r="C1004" s="1" t="str">
        <f>"قائدي"</f>
        <v>قائدي</v>
      </c>
      <c r="D1004" s="1" t="str">
        <f t="shared" si="108"/>
        <v>قراردادي کارگري</v>
      </c>
      <c r="E1004" s="1" t="str">
        <f t="shared" si="109"/>
        <v>پروژه تعميرات نيروگاه بوشهر</v>
      </c>
      <c r="F1004" s="1">
        <v>5649306</v>
      </c>
      <c r="G1004" s="1">
        <v>7608041</v>
      </c>
      <c r="H1004" s="1">
        <v>0</v>
      </c>
      <c r="I1004" s="1">
        <v>3389584</v>
      </c>
      <c r="J1004" s="1">
        <v>0</v>
      </c>
      <c r="K1004" s="1">
        <v>0</v>
      </c>
      <c r="L1004" s="1">
        <v>3620700</v>
      </c>
      <c r="M1004" s="1">
        <v>400000</v>
      </c>
      <c r="N1004" s="1">
        <v>3012963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1717255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26497849</v>
      </c>
      <c r="AO1004" s="1">
        <v>3598074</v>
      </c>
      <c r="AP1004" s="1">
        <v>22899775</v>
      </c>
      <c r="AQ1004" s="1">
        <v>5299570</v>
      </c>
      <c r="AR1004" s="1">
        <v>794935</v>
      </c>
      <c r="AS1004" s="1">
        <v>390000</v>
      </c>
      <c r="AT1004" s="1">
        <f t="shared" si="104"/>
        <v>32982354</v>
      </c>
    </row>
    <row r="1005" spans="1:46">
      <c r="A1005" s="1" t="str">
        <f>"01280"</f>
        <v>01280</v>
      </c>
      <c r="B1005" s="1" t="str">
        <f>"روح اله"</f>
        <v>روح اله</v>
      </c>
      <c r="C1005" s="1" t="str">
        <f>"حقيقي"</f>
        <v>حقيقي</v>
      </c>
      <c r="D1005" s="1" t="str">
        <f t="shared" si="108"/>
        <v>قراردادي کارگري</v>
      </c>
      <c r="E1005" s="1" t="str">
        <f t="shared" si="109"/>
        <v>پروژه تعميرات نيروگاه بوشهر</v>
      </c>
      <c r="F1005" s="1">
        <v>4577976</v>
      </c>
      <c r="G1005" s="1">
        <v>20066772</v>
      </c>
      <c r="H1005" s="1">
        <v>0</v>
      </c>
      <c r="I1005" s="1">
        <v>2746786</v>
      </c>
      <c r="J1005" s="1">
        <v>0</v>
      </c>
      <c r="K1005" s="1">
        <v>0</v>
      </c>
      <c r="L1005" s="1">
        <v>3620700</v>
      </c>
      <c r="M1005" s="1">
        <v>400000</v>
      </c>
      <c r="N1005" s="1">
        <v>2441587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1488705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36442526</v>
      </c>
      <c r="AO1005" s="1">
        <v>4205874</v>
      </c>
      <c r="AP1005" s="1">
        <v>32236652</v>
      </c>
      <c r="AQ1005" s="1">
        <v>7288505</v>
      </c>
      <c r="AR1005" s="1">
        <v>1093276</v>
      </c>
      <c r="AS1005" s="1">
        <v>530000</v>
      </c>
      <c r="AT1005" s="1">
        <f t="shared" si="104"/>
        <v>45354307</v>
      </c>
    </row>
    <row r="1006" spans="1:46">
      <c r="A1006" s="1" t="str">
        <f>"01281"</f>
        <v>01281</v>
      </c>
      <c r="B1006" s="1" t="str">
        <f>"فرشيد"</f>
        <v>فرشيد</v>
      </c>
      <c r="C1006" s="1" t="str">
        <f>"نگين تاجي"</f>
        <v>نگين تاجي</v>
      </c>
      <c r="D1006" s="1" t="str">
        <f t="shared" si="108"/>
        <v>قراردادي کارگري</v>
      </c>
      <c r="E1006" s="1" t="str">
        <f t="shared" si="109"/>
        <v>پروژه تعميرات نيروگاه بوشهر</v>
      </c>
      <c r="F1006" s="1">
        <v>4510038</v>
      </c>
      <c r="G1006" s="1">
        <v>0</v>
      </c>
      <c r="H1006" s="1">
        <v>0</v>
      </c>
      <c r="I1006" s="1">
        <v>2706023</v>
      </c>
      <c r="J1006" s="1">
        <v>0</v>
      </c>
      <c r="K1006" s="1">
        <v>0</v>
      </c>
      <c r="L1006" s="1">
        <v>3620700</v>
      </c>
      <c r="M1006" s="1">
        <v>400000</v>
      </c>
      <c r="N1006" s="1">
        <v>2405354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1474211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16216326</v>
      </c>
      <c r="AO1006" s="1">
        <v>2790040</v>
      </c>
      <c r="AP1006" s="1">
        <v>13426286</v>
      </c>
      <c r="AQ1006" s="1">
        <v>3243265</v>
      </c>
      <c r="AR1006" s="1">
        <v>486490</v>
      </c>
      <c r="AS1006" s="1">
        <v>530000</v>
      </c>
      <c r="AT1006" s="1">
        <f t="shared" si="104"/>
        <v>20476081</v>
      </c>
    </row>
    <row r="1007" spans="1:46">
      <c r="A1007" s="1" t="str">
        <f>"01282"</f>
        <v>01282</v>
      </c>
      <c r="B1007" s="1" t="str">
        <f>"محمدرضا"</f>
        <v>محمدرضا</v>
      </c>
      <c r="C1007" s="1" t="str">
        <f>"ارجمند"</f>
        <v>ارجمند</v>
      </c>
      <c r="D1007" s="1" t="str">
        <f t="shared" ref="D1007:D1038" si="110">"قراردادي بهره بردار"</f>
        <v>قراردادي بهره بردار</v>
      </c>
      <c r="E1007" s="1" t="str">
        <f t="shared" si="109"/>
        <v>پروژه تعميرات نيروگاه بوشهر</v>
      </c>
      <c r="F1007" s="1">
        <v>7424094</v>
      </c>
      <c r="G1007" s="1">
        <v>1391978</v>
      </c>
      <c r="H1007" s="1">
        <v>0</v>
      </c>
      <c r="I1007" s="1">
        <v>3463947</v>
      </c>
      <c r="J1007" s="1">
        <v>0</v>
      </c>
      <c r="K1007" s="1">
        <v>3465000</v>
      </c>
      <c r="L1007" s="1">
        <v>0</v>
      </c>
      <c r="M1007" s="1">
        <v>400000</v>
      </c>
      <c r="N1007" s="1">
        <v>906904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1334964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647789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906904</v>
      </c>
      <c r="AM1007" s="1">
        <v>0</v>
      </c>
      <c r="AN1007" s="1">
        <v>21041580</v>
      </c>
      <c r="AO1007" s="1">
        <v>3167808</v>
      </c>
      <c r="AP1007" s="1">
        <v>17873772</v>
      </c>
      <c r="AQ1007" s="1">
        <v>4208316</v>
      </c>
      <c r="AR1007" s="1">
        <v>631247</v>
      </c>
      <c r="AS1007" s="1">
        <v>0</v>
      </c>
      <c r="AT1007" s="1">
        <f t="shared" si="104"/>
        <v>25881143</v>
      </c>
    </row>
    <row r="1008" spans="1:46">
      <c r="A1008" s="1" t="str">
        <f>"01283"</f>
        <v>01283</v>
      </c>
      <c r="B1008" s="1" t="str">
        <f>"داوود"</f>
        <v>داوود</v>
      </c>
      <c r="C1008" s="1" t="str">
        <f>"اسدي زاده قره جلو"</f>
        <v>اسدي زاده قره جلو</v>
      </c>
      <c r="D1008" s="1" t="str">
        <f t="shared" si="110"/>
        <v>قراردادي بهره بردار</v>
      </c>
      <c r="E1008" s="1" t="str">
        <f t="shared" si="109"/>
        <v>پروژه تعميرات نيروگاه بوشهر</v>
      </c>
      <c r="F1008" s="1">
        <v>7089770</v>
      </c>
      <c r="G1008" s="1">
        <v>1998436</v>
      </c>
      <c r="H1008" s="1">
        <v>0</v>
      </c>
      <c r="I1008" s="1">
        <v>3232530</v>
      </c>
      <c r="J1008" s="1">
        <v>0</v>
      </c>
      <c r="K1008" s="1">
        <v>4620000</v>
      </c>
      <c r="L1008" s="1">
        <v>0</v>
      </c>
      <c r="M1008" s="1">
        <v>400000</v>
      </c>
      <c r="N1008" s="1">
        <v>786758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1245778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561970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786758</v>
      </c>
      <c r="AM1008" s="1">
        <v>0</v>
      </c>
      <c r="AN1008" s="1">
        <v>21822000</v>
      </c>
      <c r="AO1008" s="1">
        <v>6909103</v>
      </c>
      <c r="AP1008" s="1">
        <v>14912897</v>
      </c>
      <c r="AQ1008" s="1">
        <v>4364400</v>
      </c>
      <c r="AR1008" s="1">
        <v>654660</v>
      </c>
      <c r="AS1008" s="1">
        <v>0</v>
      </c>
      <c r="AT1008" s="1">
        <f t="shared" si="104"/>
        <v>26841060</v>
      </c>
    </row>
    <row r="1009" spans="1:46">
      <c r="A1009" s="1" t="str">
        <f>"01284"</f>
        <v>01284</v>
      </c>
      <c r="B1009" s="1" t="str">
        <f>"جاسم"</f>
        <v>جاسم</v>
      </c>
      <c r="C1009" s="1" t="str">
        <f>"اسکندري"</f>
        <v>اسکندري</v>
      </c>
      <c r="D1009" s="1" t="str">
        <f t="shared" si="110"/>
        <v>قراردادي بهره بردار</v>
      </c>
      <c r="E1009" s="1" t="str">
        <f t="shared" si="109"/>
        <v>پروژه تعميرات نيروگاه بوشهر</v>
      </c>
      <c r="F1009" s="1">
        <v>10417700</v>
      </c>
      <c r="G1009" s="1">
        <v>2819919</v>
      </c>
      <c r="H1009" s="1">
        <v>0</v>
      </c>
      <c r="I1009" s="1">
        <v>4561302</v>
      </c>
      <c r="J1009" s="1">
        <v>0</v>
      </c>
      <c r="K1009" s="1">
        <v>4125000</v>
      </c>
      <c r="L1009" s="1">
        <v>0</v>
      </c>
      <c r="M1009" s="1">
        <v>400000</v>
      </c>
      <c r="N1009" s="1">
        <v>1011000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1757872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722143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866571</v>
      </c>
      <c r="AM1009" s="1">
        <v>0</v>
      </c>
      <c r="AN1009" s="1">
        <v>27781507</v>
      </c>
      <c r="AO1009" s="1">
        <v>5882190</v>
      </c>
      <c r="AP1009" s="1">
        <v>21899317</v>
      </c>
      <c r="AQ1009" s="1">
        <v>5556301</v>
      </c>
      <c r="AR1009" s="1">
        <v>833445</v>
      </c>
      <c r="AS1009" s="1">
        <v>0</v>
      </c>
      <c r="AT1009" s="1">
        <f t="shared" si="104"/>
        <v>34171253</v>
      </c>
    </row>
    <row r="1010" spans="1:46">
      <c r="A1010" s="1" t="str">
        <f>"01285"</f>
        <v>01285</v>
      </c>
      <c r="B1010" s="1" t="str">
        <f>"مجتبي"</f>
        <v>مجتبي</v>
      </c>
      <c r="C1010" s="1" t="str">
        <f>"اعتمادي"</f>
        <v>اعتمادي</v>
      </c>
      <c r="D1010" s="1" t="str">
        <f t="shared" si="110"/>
        <v>قراردادي بهره بردار</v>
      </c>
      <c r="E1010" s="1" t="str">
        <f t="shared" si="109"/>
        <v>پروژه تعميرات نيروگاه بوشهر</v>
      </c>
      <c r="F1010" s="1">
        <v>8042034</v>
      </c>
      <c r="G1010" s="1">
        <v>1203106</v>
      </c>
      <c r="H1010" s="1">
        <v>0</v>
      </c>
      <c r="I1010" s="1">
        <v>3892943</v>
      </c>
      <c r="J1010" s="1">
        <v>0</v>
      </c>
      <c r="K1010" s="1">
        <v>4620000</v>
      </c>
      <c r="L1010" s="1">
        <v>0</v>
      </c>
      <c r="M1010" s="1">
        <v>400000</v>
      </c>
      <c r="N1010" s="1">
        <v>1129134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1499977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806524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1129134</v>
      </c>
      <c r="AM1010" s="1">
        <v>0</v>
      </c>
      <c r="AN1010" s="1">
        <v>23822852</v>
      </c>
      <c r="AO1010" s="1">
        <v>7502497</v>
      </c>
      <c r="AP1010" s="1">
        <v>16320355</v>
      </c>
      <c r="AQ1010" s="1">
        <v>4764570</v>
      </c>
      <c r="AR1010" s="1">
        <v>714686</v>
      </c>
      <c r="AS1010" s="1">
        <v>0</v>
      </c>
      <c r="AT1010" s="1">
        <f t="shared" si="104"/>
        <v>29302108</v>
      </c>
    </row>
    <row r="1011" spans="1:46">
      <c r="A1011" s="1" t="str">
        <f>"01288"</f>
        <v>01288</v>
      </c>
      <c r="B1011" s="1" t="str">
        <f>"مهدي"</f>
        <v>مهدي</v>
      </c>
      <c r="C1011" s="1" t="str">
        <f>"انصاري جابري"</f>
        <v>انصاري جابري</v>
      </c>
      <c r="D1011" s="1" t="str">
        <f t="shared" si="110"/>
        <v>قراردادي بهره بردار</v>
      </c>
      <c r="E1011" s="1" t="str">
        <f t="shared" si="109"/>
        <v>پروژه تعميرات نيروگاه بوشهر</v>
      </c>
      <c r="F1011" s="1">
        <v>10459978</v>
      </c>
      <c r="G1011" s="1">
        <v>2837594</v>
      </c>
      <c r="H1011" s="1">
        <v>0</v>
      </c>
      <c r="I1011" s="1">
        <v>4589892</v>
      </c>
      <c r="J1011" s="1">
        <v>0</v>
      </c>
      <c r="K1011" s="1">
        <v>4125000</v>
      </c>
      <c r="L1011" s="1">
        <v>0</v>
      </c>
      <c r="M1011" s="1">
        <v>400000</v>
      </c>
      <c r="N1011" s="1">
        <v>1026289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1768890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733063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879677</v>
      </c>
      <c r="AM1011" s="1">
        <v>0</v>
      </c>
      <c r="AN1011" s="1">
        <v>27920383</v>
      </c>
      <c r="AO1011" s="1">
        <v>4829522</v>
      </c>
      <c r="AP1011" s="1">
        <v>23090861</v>
      </c>
      <c r="AQ1011" s="1">
        <v>5584077</v>
      </c>
      <c r="AR1011" s="1">
        <v>837611</v>
      </c>
      <c r="AS1011" s="1">
        <v>0</v>
      </c>
      <c r="AT1011" s="1">
        <f t="shared" si="104"/>
        <v>34342071</v>
      </c>
    </row>
    <row r="1012" spans="1:46">
      <c r="A1012" s="1" t="str">
        <f>"01289"</f>
        <v>01289</v>
      </c>
      <c r="B1012" s="1" t="str">
        <f>"احسان"</f>
        <v>احسان</v>
      </c>
      <c r="C1012" s="1" t="str">
        <f>"اوستاد"</f>
        <v>اوستاد</v>
      </c>
      <c r="D1012" s="1" t="str">
        <f t="shared" si="110"/>
        <v>قراردادي بهره بردار</v>
      </c>
      <c r="E1012" s="1" t="str">
        <f t="shared" si="109"/>
        <v>پروژه تعميرات نيروگاه بوشهر</v>
      </c>
      <c r="F1012" s="1">
        <v>10718884</v>
      </c>
      <c r="G1012" s="1">
        <v>2946353</v>
      </c>
      <c r="H1012" s="1">
        <v>0</v>
      </c>
      <c r="I1012" s="1">
        <v>4765812</v>
      </c>
      <c r="J1012" s="1">
        <v>0</v>
      </c>
      <c r="K1012" s="1">
        <v>5500000</v>
      </c>
      <c r="L1012" s="1">
        <v>0</v>
      </c>
      <c r="M1012" s="1">
        <v>400000</v>
      </c>
      <c r="N1012" s="1">
        <v>1120847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1836688</v>
      </c>
      <c r="W1012" s="1">
        <v>1100000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800604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960726</v>
      </c>
      <c r="AM1012" s="1">
        <v>0</v>
      </c>
      <c r="AN1012" s="1">
        <v>30149914</v>
      </c>
      <c r="AO1012" s="1">
        <v>6208083</v>
      </c>
      <c r="AP1012" s="1">
        <v>23941831</v>
      </c>
      <c r="AQ1012" s="1">
        <v>6029983</v>
      </c>
      <c r="AR1012" s="1">
        <v>904497</v>
      </c>
      <c r="AS1012" s="1">
        <v>0</v>
      </c>
      <c r="AT1012" s="1">
        <f t="shared" si="104"/>
        <v>37084394</v>
      </c>
    </row>
    <row r="1013" spans="1:46">
      <c r="A1013" s="1" t="str">
        <f>"01290"</f>
        <v>01290</v>
      </c>
      <c r="B1013" s="1" t="str">
        <f>"مرتضي"</f>
        <v>مرتضي</v>
      </c>
      <c r="C1013" s="1" t="str">
        <f>"اوشال"</f>
        <v>اوشال</v>
      </c>
      <c r="D1013" s="1" t="str">
        <f t="shared" si="110"/>
        <v>قراردادي بهره بردار</v>
      </c>
      <c r="E1013" s="1" t="str">
        <f t="shared" si="109"/>
        <v>پروژه تعميرات نيروگاه بوشهر</v>
      </c>
      <c r="F1013" s="1">
        <v>7002258</v>
      </c>
      <c r="G1013" s="1">
        <v>1960917</v>
      </c>
      <c r="H1013" s="1">
        <v>0</v>
      </c>
      <c r="I1013" s="1">
        <v>3171841</v>
      </c>
      <c r="J1013" s="1">
        <v>0</v>
      </c>
      <c r="K1013" s="1">
        <v>3465000</v>
      </c>
      <c r="L1013" s="1">
        <v>0</v>
      </c>
      <c r="M1013" s="1">
        <v>400000</v>
      </c>
      <c r="N1013" s="1">
        <v>755190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1222390</v>
      </c>
      <c r="W1013" s="1">
        <v>1100000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539421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755190</v>
      </c>
      <c r="AM1013" s="1">
        <v>0</v>
      </c>
      <c r="AN1013" s="1">
        <v>20372207</v>
      </c>
      <c r="AO1013" s="1">
        <v>3020951</v>
      </c>
      <c r="AP1013" s="1">
        <v>17351256</v>
      </c>
      <c r="AQ1013" s="1">
        <v>4074441</v>
      </c>
      <c r="AR1013" s="1">
        <v>611166</v>
      </c>
      <c r="AS1013" s="1">
        <v>0</v>
      </c>
      <c r="AT1013" s="1">
        <f t="shared" si="104"/>
        <v>25057814</v>
      </c>
    </row>
    <row r="1014" spans="1:46">
      <c r="A1014" s="1" t="str">
        <f>"01291"</f>
        <v>01291</v>
      </c>
      <c r="B1014" s="1" t="str">
        <f>"منصور"</f>
        <v>منصور</v>
      </c>
      <c r="C1014" s="1" t="str">
        <f>"ايزدپناه"</f>
        <v>ايزدپناه</v>
      </c>
      <c r="D1014" s="1" t="str">
        <f t="shared" si="110"/>
        <v>قراردادي بهره بردار</v>
      </c>
      <c r="E1014" s="1" t="str">
        <f t="shared" si="109"/>
        <v>پروژه تعميرات نيروگاه بوشهر</v>
      </c>
      <c r="F1014" s="1">
        <v>7686364</v>
      </c>
      <c r="G1014" s="1">
        <v>1689824</v>
      </c>
      <c r="H1014" s="1">
        <v>0</v>
      </c>
      <c r="I1014" s="1">
        <v>3641371</v>
      </c>
      <c r="J1014" s="1">
        <v>0</v>
      </c>
      <c r="K1014" s="1">
        <v>4620000</v>
      </c>
      <c r="L1014" s="1">
        <v>0</v>
      </c>
      <c r="M1014" s="1">
        <v>400000</v>
      </c>
      <c r="N1014" s="1">
        <v>1001204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1404528</v>
      </c>
      <c r="W1014" s="1">
        <v>1100000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715146</v>
      </c>
      <c r="AF1014" s="1">
        <v>1111269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1001204</v>
      </c>
      <c r="AM1014" s="1">
        <v>0</v>
      </c>
      <c r="AN1014" s="1">
        <v>24370910</v>
      </c>
      <c r="AO1014" s="1">
        <v>3223072</v>
      </c>
      <c r="AP1014" s="1">
        <v>21147838</v>
      </c>
      <c r="AQ1014" s="1">
        <v>4651928</v>
      </c>
      <c r="AR1014" s="1">
        <v>697789</v>
      </c>
      <c r="AS1014" s="1">
        <v>0</v>
      </c>
      <c r="AT1014" s="1">
        <f t="shared" si="104"/>
        <v>29720627</v>
      </c>
    </row>
    <row r="1015" spans="1:46">
      <c r="A1015" s="1" t="str">
        <f>"01292"</f>
        <v>01292</v>
      </c>
      <c r="B1015" s="1" t="str">
        <f>"عباس"</f>
        <v>عباس</v>
      </c>
      <c r="C1015" s="1" t="str">
        <f>"ايمان منش"</f>
        <v>ايمان منش</v>
      </c>
      <c r="D1015" s="1" t="str">
        <f t="shared" si="110"/>
        <v>قراردادي بهره بردار</v>
      </c>
      <c r="E1015" s="1" t="str">
        <f t="shared" si="109"/>
        <v>پروژه تعميرات نيروگاه بوشهر</v>
      </c>
      <c r="F1015" s="1">
        <v>7862453</v>
      </c>
      <c r="G1015" s="1">
        <v>1164668</v>
      </c>
      <c r="H1015" s="1">
        <v>0</v>
      </c>
      <c r="I1015" s="1">
        <v>3768564</v>
      </c>
      <c r="J1015" s="1">
        <v>0</v>
      </c>
      <c r="K1015" s="1">
        <v>3465000</v>
      </c>
      <c r="L1015" s="1">
        <v>0</v>
      </c>
      <c r="M1015" s="1">
        <v>400000</v>
      </c>
      <c r="N1015" s="1">
        <v>1064557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1452053</v>
      </c>
      <c r="W1015" s="1">
        <v>1100000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760399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1064557</v>
      </c>
      <c r="AM1015" s="1">
        <v>0</v>
      </c>
      <c r="AN1015" s="1">
        <v>22102251</v>
      </c>
      <c r="AO1015" s="1">
        <v>3142055</v>
      </c>
      <c r="AP1015" s="1">
        <v>18960196</v>
      </c>
      <c r="AQ1015" s="1">
        <v>4420450</v>
      </c>
      <c r="AR1015" s="1">
        <v>663068</v>
      </c>
      <c r="AS1015" s="1">
        <v>0</v>
      </c>
      <c r="AT1015" s="1">
        <f t="shared" si="104"/>
        <v>27185769</v>
      </c>
    </row>
    <row r="1016" spans="1:46">
      <c r="A1016" s="1" t="str">
        <f>"01294"</f>
        <v>01294</v>
      </c>
      <c r="B1016" s="1" t="str">
        <f>"حسين"</f>
        <v>حسين</v>
      </c>
      <c r="C1016" s="1" t="str">
        <f>"باغباني"</f>
        <v>باغباني</v>
      </c>
      <c r="D1016" s="1" t="str">
        <f t="shared" si="110"/>
        <v>قراردادي بهره بردار</v>
      </c>
      <c r="E1016" s="1" t="str">
        <f t="shared" si="109"/>
        <v>پروژه تعميرات نيروگاه بوشهر</v>
      </c>
      <c r="F1016" s="1">
        <v>6975663</v>
      </c>
      <c r="G1016" s="1">
        <v>1462193</v>
      </c>
      <c r="H1016" s="1">
        <v>0</v>
      </c>
      <c r="I1016" s="1">
        <v>3153521</v>
      </c>
      <c r="J1016" s="1">
        <v>0</v>
      </c>
      <c r="K1016" s="1">
        <v>3465000</v>
      </c>
      <c r="L1016" s="1">
        <v>0</v>
      </c>
      <c r="M1016" s="1">
        <v>400000</v>
      </c>
      <c r="N1016" s="1">
        <v>745724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1215329</v>
      </c>
      <c r="W1016" s="1">
        <v>1100000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532661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745724</v>
      </c>
      <c r="AM1016" s="1">
        <v>0</v>
      </c>
      <c r="AN1016" s="1">
        <v>19795815</v>
      </c>
      <c r="AO1016" s="1">
        <v>2980604</v>
      </c>
      <c r="AP1016" s="1">
        <v>16815211</v>
      </c>
      <c r="AQ1016" s="1">
        <v>3959163</v>
      </c>
      <c r="AR1016" s="1">
        <v>593874</v>
      </c>
      <c r="AS1016" s="1">
        <v>0</v>
      </c>
      <c r="AT1016" s="1">
        <f t="shared" si="104"/>
        <v>24348852</v>
      </c>
    </row>
    <row r="1017" spans="1:46">
      <c r="A1017" s="1" t="str">
        <f>"01295"</f>
        <v>01295</v>
      </c>
      <c r="B1017" s="1" t="str">
        <f>"مهدي"</f>
        <v>مهدي</v>
      </c>
      <c r="C1017" s="1" t="str">
        <f>"برمک"</f>
        <v>برمک</v>
      </c>
      <c r="D1017" s="1" t="str">
        <f t="shared" si="110"/>
        <v>قراردادي بهره بردار</v>
      </c>
      <c r="E1017" s="1" t="str">
        <f t="shared" si="109"/>
        <v>پروژه تعميرات نيروگاه بوشهر</v>
      </c>
      <c r="F1017" s="1">
        <v>7091714</v>
      </c>
      <c r="G1017" s="1">
        <v>1299518</v>
      </c>
      <c r="H1017" s="1">
        <v>0</v>
      </c>
      <c r="I1017" s="1">
        <v>3233858</v>
      </c>
      <c r="J1017" s="1">
        <v>0</v>
      </c>
      <c r="K1017" s="1">
        <v>5736500</v>
      </c>
      <c r="L1017" s="1">
        <v>0</v>
      </c>
      <c r="M1017" s="1">
        <v>400000</v>
      </c>
      <c r="N1017" s="1">
        <v>787439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1246290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562456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787439</v>
      </c>
      <c r="AM1017" s="1">
        <v>0</v>
      </c>
      <c r="AN1017" s="1">
        <v>22245214</v>
      </c>
      <c r="AO1017" s="1">
        <v>3152062</v>
      </c>
      <c r="AP1017" s="1">
        <v>19093152</v>
      </c>
      <c r="AQ1017" s="1">
        <v>4449043</v>
      </c>
      <c r="AR1017" s="1">
        <v>667356</v>
      </c>
      <c r="AS1017" s="1">
        <v>0</v>
      </c>
      <c r="AT1017" s="1">
        <f t="shared" si="104"/>
        <v>27361613</v>
      </c>
    </row>
    <row r="1018" spans="1:46">
      <c r="A1018" s="1" t="str">
        <f>"01297"</f>
        <v>01297</v>
      </c>
      <c r="B1018" s="1" t="str">
        <f>"مهدي"</f>
        <v>مهدي</v>
      </c>
      <c r="C1018" s="1" t="str">
        <f>"بيژني"</f>
        <v>بيژني</v>
      </c>
      <c r="D1018" s="1" t="str">
        <f t="shared" si="110"/>
        <v>قراردادي بهره بردار</v>
      </c>
      <c r="E1018" s="1" t="str">
        <f t="shared" si="109"/>
        <v>پروژه تعميرات نيروگاه بوشهر</v>
      </c>
      <c r="F1018" s="1">
        <v>7185620</v>
      </c>
      <c r="G1018" s="1">
        <v>1835584</v>
      </c>
      <c r="H1018" s="1">
        <v>0</v>
      </c>
      <c r="I1018" s="1">
        <v>3299709</v>
      </c>
      <c r="J1018" s="1">
        <v>0</v>
      </c>
      <c r="K1018" s="1">
        <v>3465000</v>
      </c>
      <c r="L1018" s="1">
        <v>0</v>
      </c>
      <c r="M1018" s="1">
        <v>400000</v>
      </c>
      <c r="N1018" s="1">
        <v>821089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1271400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586492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821089</v>
      </c>
      <c r="AM1018" s="1">
        <v>0</v>
      </c>
      <c r="AN1018" s="1">
        <v>20785983</v>
      </c>
      <c r="AO1018" s="1">
        <v>4109916</v>
      </c>
      <c r="AP1018" s="1">
        <v>16676067</v>
      </c>
      <c r="AQ1018" s="1">
        <v>4157197</v>
      </c>
      <c r="AR1018" s="1">
        <v>623579</v>
      </c>
      <c r="AS1018" s="1">
        <v>0</v>
      </c>
      <c r="AT1018" s="1">
        <f t="shared" si="104"/>
        <v>25566759</v>
      </c>
    </row>
    <row r="1019" spans="1:46">
      <c r="A1019" s="1" t="str">
        <f>"01298"</f>
        <v>01298</v>
      </c>
      <c r="B1019" s="1" t="str">
        <f>"کريم"</f>
        <v>کريم</v>
      </c>
      <c r="C1019" s="1" t="str">
        <f>"پرتابيان"</f>
        <v>پرتابيان</v>
      </c>
      <c r="D1019" s="1" t="str">
        <f t="shared" si="110"/>
        <v>قراردادي بهره بردار</v>
      </c>
      <c r="E1019" s="1" t="str">
        <f t="shared" si="109"/>
        <v>پروژه تعميرات نيروگاه بوشهر</v>
      </c>
      <c r="F1019" s="1">
        <v>7209553</v>
      </c>
      <c r="G1019" s="1">
        <v>2049680</v>
      </c>
      <c r="H1019" s="1">
        <v>0</v>
      </c>
      <c r="I1019" s="1">
        <v>3315418</v>
      </c>
      <c r="J1019" s="1">
        <v>0</v>
      </c>
      <c r="K1019" s="1">
        <v>4620000</v>
      </c>
      <c r="L1019" s="1">
        <v>0</v>
      </c>
      <c r="M1019" s="1">
        <v>400000</v>
      </c>
      <c r="N1019" s="1">
        <v>829779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1277723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592699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829779</v>
      </c>
      <c r="AM1019" s="1">
        <v>0</v>
      </c>
      <c r="AN1019" s="1">
        <v>22224631</v>
      </c>
      <c r="AO1019" s="1">
        <v>5270621</v>
      </c>
      <c r="AP1019" s="1">
        <v>16954010</v>
      </c>
      <c r="AQ1019" s="1">
        <v>4444926</v>
      </c>
      <c r="AR1019" s="1">
        <v>666739</v>
      </c>
      <c r="AS1019" s="1">
        <v>0</v>
      </c>
      <c r="AT1019" s="1">
        <f t="shared" si="104"/>
        <v>27336296</v>
      </c>
    </row>
    <row r="1020" spans="1:46">
      <c r="A1020" s="1" t="str">
        <f>"01299"</f>
        <v>01299</v>
      </c>
      <c r="B1020" s="1" t="str">
        <f>"عارف"</f>
        <v>عارف</v>
      </c>
      <c r="C1020" s="1" t="str">
        <f>"پورسوسن"</f>
        <v>پورسوسن</v>
      </c>
      <c r="D1020" s="1" t="str">
        <f t="shared" si="110"/>
        <v>قراردادي بهره بردار</v>
      </c>
      <c r="E1020" s="1" t="str">
        <f t="shared" si="109"/>
        <v>پروژه تعميرات نيروگاه بوشهر</v>
      </c>
      <c r="F1020" s="1">
        <v>7023010</v>
      </c>
      <c r="G1020" s="1">
        <v>1772798</v>
      </c>
      <c r="H1020" s="1">
        <v>0</v>
      </c>
      <c r="I1020" s="1">
        <v>3186170</v>
      </c>
      <c r="J1020" s="1">
        <v>0</v>
      </c>
      <c r="K1020" s="1">
        <v>3465000</v>
      </c>
      <c r="L1020" s="1">
        <v>0</v>
      </c>
      <c r="M1020" s="1">
        <v>400000</v>
      </c>
      <c r="N1020" s="1">
        <v>762609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1227912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544721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762609</v>
      </c>
      <c r="AM1020" s="1">
        <v>0</v>
      </c>
      <c r="AN1020" s="1">
        <v>20244829</v>
      </c>
      <c r="AO1020" s="1">
        <v>4072035</v>
      </c>
      <c r="AP1020" s="1">
        <v>16172794</v>
      </c>
      <c r="AQ1020" s="1">
        <v>4048966</v>
      </c>
      <c r="AR1020" s="1">
        <v>607345</v>
      </c>
      <c r="AS1020" s="1">
        <v>0</v>
      </c>
      <c r="AT1020" s="1">
        <f t="shared" si="104"/>
        <v>24901140</v>
      </c>
    </row>
    <row r="1021" spans="1:46">
      <c r="A1021" s="1" t="str">
        <f>"01300"</f>
        <v>01300</v>
      </c>
      <c r="B1021" s="1" t="str">
        <f>"محمدجواد"</f>
        <v>محمدجواد</v>
      </c>
      <c r="C1021" s="1" t="str">
        <f>"پولادي"</f>
        <v>پولادي</v>
      </c>
      <c r="D1021" s="1" t="str">
        <f t="shared" si="110"/>
        <v>قراردادي بهره بردار</v>
      </c>
      <c r="E1021" s="1" t="str">
        <f t="shared" si="109"/>
        <v>پروژه تعميرات نيروگاه بوشهر</v>
      </c>
      <c r="F1021" s="1">
        <v>10910127</v>
      </c>
      <c r="G1021" s="1">
        <v>3025816</v>
      </c>
      <c r="H1021" s="1">
        <v>0</v>
      </c>
      <c r="I1021" s="1">
        <v>4890207</v>
      </c>
      <c r="J1021" s="1">
        <v>0</v>
      </c>
      <c r="K1021" s="1">
        <v>4125000</v>
      </c>
      <c r="L1021" s="1">
        <v>0</v>
      </c>
      <c r="M1021" s="1">
        <v>400000</v>
      </c>
      <c r="N1021" s="1">
        <v>1190736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1886223</v>
      </c>
      <c r="W1021" s="1">
        <v>1100000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850526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1020631</v>
      </c>
      <c r="AM1021" s="1">
        <v>0</v>
      </c>
      <c r="AN1021" s="1">
        <v>29399266</v>
      </c>
      <c r="AO1021" s="1">
        <v>5790640</v>
      </c>
      <c r="AP1021" s="1">
        <v>23608626</v>
      </c>
      <c r="AQ1021" s="1">
        <v>5879853</v>
      </c>
      <c r="AR1021" s="1">
        <v>881978</v>
      </c>
      <c r="AS1021" s="1">
        <v>0</v>
      </c>
      <c r="AT1021" s="1">
        <f t="shared" si="104"/>
        <v>36161097</v>
      </c>
    </row>
    <row r="1022" spans="1:46">
      <c r="A1022" s="1" t="str">
        <f>"01301"</f>
        <v>01301</v>
      </c>
      <c r="B1022" s="1" t="str">
        <f>"حامد"</f>
        <v>حامد</v>
      </c>
      <c r="C1022" s="1" t="str">
        <f>"تاروردي چماچايي"</f>
        <v>تاروردي چماچايي</v>
      </c>
      <c r="D1022" s="1" t="str">
        <f t="shared" si="110"/>
        <v>قراردادي بهره بردار</v>
      </c>
      <c r="E1022" s="1" t="str">
        <f t="shared" si="109"/>
        <v>پروژه تعميرات نيروگاه بوشهر</v>
      </c>
      <c r="F1022" s="1">
        <v>11385393</v>
      </c>
      <c r="G1022" s="1">
        <v>3226305</v>
      </c>
      <c r="H1022" s="1">
        <v>0</v>
      </c>
      <c r="I1022" s="1">
        <v>5218643</v>
      </c>
      <c r="J1022" s="1">
        <v>0</v>
      </c>
      <c r="K1022" s="1">
        <v>4125000</v>
      </c>
      <c r="L1022" s="1">
        <v>0</v>
      </c>
      <c r="M1022" s="1">
        <v>400000</v>
      </c>
      <c r="N1022" s="1">
        <v>1364220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2011203</v>
      </c>
      <c r="W1022" s="1">
        <v>1100000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974443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1169332</v>
      </c>
      <c r="AM1022" s="1">
        <v>0</v>
      </c>
      <c r="AN1022" s="1">
        <v>30974539</v>
      </c>
      <c r="AO1022" s="1">
        <v>6012450</v>
      </c>
      <c r="AP1022" s="1">
        <v>24962089</v>
      </c>
      <c r="AQ1022" s="1">
        <v>6194908</v>
      </c>
      <c r="AR1022" s="1">
        <v>929236</v>
      </c>
      <c r="AS1022" s="1">
        <v>0</v>
      </c>
      <c r="AT1022" s="1">
        <f t="shared" si="104"/>
        <v>38098683</v>
      </c>
    </row>
    <row r="1023" spans="1:46">
      <c r="A1023" s="1" t="str">
        <f>"01303"</f>
        <v>01303</v>
      </c>
      <c r="B1023" s="1" t="str">
        <f>"رضا"</f>
        <v>رضا</v>
      </c>
      <c r="C1023" s="1" t="str">
        <f>"تيموري"</f>
        <v>تيموري</v>
      </c>
      <c r="D1023" s="1" t="str">
        <f t="shared" si="110"/>
        <v>قراردادي بهره بردار</v>
      </c>
      <c r="E1023" s="1" t="str">
        <f t="shared" si="109"/>
        <v>پروژه تعميرات نيروگاه بوشهر</v>
      </c>
      <c r="F1023" s="1">
        <v>10417700</v>
      </c>
      <c r="G1023" s="1">
        <v>2819919</v>
      </c>
      <c r="H1023" s="1">
        <v>0</v>
      </c>
      <c r="I1023" s="1">
        <v>4561302</v>
      </c>
      <c r="J1023" s="1">
        <v>0</v>
      </c>
      <c r="K1023" s="1">
        <v>0</v>
      </c>
      <c r="L1023" s="1">
        <v>0</v>
      </c>
      <c r="M1023" s="1">
        <v>400000</v>
      </c>
      <c r="N1023" s="1">
        <v>1011000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1757872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722143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866571</v>
      </c>
      <c r="AM1023" s="1">
        <v>0</v>
      </c>
      <c r="AN1023" s="1">
        <v>23656507</v>
      </c>
      <c r="AO1023" s="1">
        <v>3350852</v>
      </c>
      <c r="AP1023" s="1">
        <v>20305655</v>
      </c>
      <c r="AQ1023" s="1">
        <v>4731301</v>
      </c>
      <c r="AR1023" s="1">
        <v>709695</v>
      </c>
      <c r="AS1023" s="1">
        <v>0</v>
      </c>
      <c r="AT1023" s="1">
        <f t="shared" si="104"/>
        <v>29097503</v>
      </c>
    </row>
    <row r="1024" spans="1:46">
      <c r="A1024" s="1" t="str">
        <f>"01304"</f>
        <v>01304</v>
      </c>
      <c r="B1024" s="1" t="str">
        <f>"محسن"</f>
        <v>محسن</v>
      </c>
      <c r="C1024" s="1" t="str">
        <f>"جعفري"</f>
        <v>جعفري</v>
      </c>
      <c r="D1024" s="1" t="str">
        <f t="shared" si="110"/>
        <v>قراردادي بهره بردار</v>
      </c>
      <c r="E1024" s="1" t="str">
        <f t="shared" si="109"/>
        <v>پروژه تعميرات نيروگاه بوشهر</v>
      </c>
      <c r="F1024" s="1">
        <v>10456132</v>
      </c>
      <c r="G1024" s="1">
        <v>2410610</v>
      </c>
      <c r="H1024" s="1">
        <v>0</v>
      </c>
      <c r="I1024" s="1">
        <v>4587332</v>
      </c>
      <c r="J1024" s="1">
        <v>0</v>
      </c>
      <c r="K1024" s="1">
        <v>4125000</v>
      </c>
      <c r="L1024" s="1">
        <v>0</v>
      </c>
      <c r="M1024" s="1">
        <v>400000</v>
      </c>
      <c r="N1024" s="1">
        <v>1024943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1767903</v>
      </c>
      <c r="W1024" s="1">
        <v>1100000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732103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878522</v>
      </c>
      <c r="AM1024" s="1">
        <v>0</v>
      </c>
      <c r="AN1024" s="1">
        <v>27482545</v>
      </c>
      <c r="AO1024" s="1">
        <v>4755965</v>
      </c>
      <c r="AP1024" s="1">
        <v>22726580</v>
      </c>
      <c r="AQ1024" s="1">
        <v>5496509</v>
      </c>
      <c r="AR1024" s="1">
        <v>824476</v>
      </c>
      <c r="AS1024" s="1">
        <v>0</v>
      </c>
      <c r="AT1024" s="1">
        <f t="shared" si="104"/>
        <v>33803530</v>
      </c>
    </row>
    <row r="1025" spans="1:46">
      <c r="A1025" s="1" t="str">
        <f>"01305"</f>
        <v>01305</v>
      </c>
      <c r="B1025" s="1" t="str">
        <f>"حسن"</f>
        <v>حسن</v>
      </c>
      <c r="C1025" s="1" t="str">
        <f>"جلوه گر خوش"</f>
        <v>جلوه گر خوش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6975663</v>
      </c>
      <c r="G1025" s="1">
        <v>292439</v>
      </c>
      <c r="H1025" s="1">
        <v>0</v>
      </c>
      <c r="I1025" s="1">
        <v>3153521</v>
      </c>
      <c r="J1025" s="1">
        <v>0</v>
      </c>
      <c r="K1025" s="1">
        <v>4620000</v>
      </c>
      <c r="L1025" s="1">
        <v>0</v>
      </c>
      <c r="M1025" s="1">
        <v>400000</v>
      </c>
      <c r="N1025" s="1">
        <v>745724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1215329</v>
      </c>
      <c r="W1025" s="1">
        <v>1100000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532661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745724</v>
      </c>
      <c r="AM1025" s="1">
        <v>0</v>
      </c>
      <c r="AN1025" s="1">
        <v>19781061</v>
      </c>
      <c r="AO1025" s="1">
        <v>2979571</v>
      </c>
      <c r="AP1025" s="1">
        <v>16801490</v>
      </c>
      <c r="AQ1025" s="1">
        <v>3956212</v>
      </c>
      <c r="AR1025" s="1">
        <v>593432</v>
      </c>
      <c r="AS1025" s="1">
        <v>0</v>
      </c>
      <c r="AT1025" s="1">
        <f t="shared" si="104"/>
        <v>24330705</v>
      </c>
    </row>
    <row r="1026" spans="1:46">
      <c r="A1026" s="1" t="str">
        <f>"01306"</f>
        <v>01306</v>
      </c>
      <c r="B1026" s="1" t="str">
        <f>"علي اكبر"</f>
        <v>علي اكبر</v>
      </c>
      <c r="C1026" s="1" t="str">
        <f>"جوان فر"</f>
        <v>جوان فر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7245135</v>
      </c>
      <c r="G1026" s="1">
        <v>825958</v>
      </c>
      <c r="H1026" s="1">
        <v>0</v>
      </c>
      <c r="I1026" s="1">
        <v>3340029</v>
      </c>
      <c r="J1026" s="1">
        <v>0</v>
      </c>
      <c r="K1026" s="1">
        <v>4620000</v>
      </c>
      <c r="L1026" s="1">
        <v>0</v>
      </c>
      <c r="M1026" s="1">
        <v>400000</v>
      </c>
      <c r="N1026" s="1">
        <v>842546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1287208</v>
      </c>
      <c r="W1026" s="1">
        <v>1100000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601819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842546</v>
      </c>
      <c r="AM1026" s="1">
        <v>0</v>
      </c>
      <c r="AN1026" s="1">
        <v>21105241</v>
      </c>
      <c r="AO1026" s="1">
        <v>6252264</v>
      </c>
      <c r="AP1026" s="1">
        <v>14852977</v>
      </c>
      <c r="AQ1026" s="1">
        <v>4221048</v>
      </c>
      <c r="AR1026" s="1">
        <v>633157</v>
      </c>
      <c r="AS1026" s="1">
        <v>0</v>
      </c>
      <c r="AT1026" s="1">
        <f t="shared" si="104"/>
        <v>25959446</v>
      </c>
    </row>
    <row r="1027" spans="1:46">
      <c r="A1027" s="1" t="str">
        <f>"01307"</f>
        <v>01307</v>
      </c>
      <c r="B1027" s="1" t="str">
        <f>"سيد صادق"</f>
        <v>سيد صادق</v>
      </c>
      <c r="C1027" s="1" t="str">
        <f>"حسيني"</f>
        <v>حسيني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10484937</v>
      </c>
      <c r="G1027" s="1">
        <v>2848141</v>
      </c>
      <c r="H1027" s="1">
        <v>0</v>
      </c>
      <c r="I1027" s="1">
        <v>4606952</v>
      </c>
      <c r="J1027" s="1">
        <v>0</v>
      </c>
      <c r="K1027" s="1">
        <v>4125000</v>
      </c>
      <c r="L1027" s="1">
        <v>0</v>
      </c>
      <c r="M1027" s="1">
        <v>400000</v>
      </c>
      <c r="N1027" s="1">
        <v>1035517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1775465</v>
      </c>
      <c r="W1027" s="1">
        <v>1100000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739655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887586</v>
      </c>
      <c r="AM1027" s="1">
        <v>0</v>
      </c>
      <c r="AN1027" s="1">
        <v>28003253</v>
      </c>
      <c r="AO1027" s="1">
        <v>5419444</v>
      </c>
      <c r="AP1027" s="1">
        <v>22583809</v>
      </c>
      <c r="AQ1027" s="1">
        <v>5600651</v>
      </c>
      <c r="AR1027" s="1">
        <v>840098</v>
      </c>
      <c r="AS1027" s="1">
        <v>0</v>
      </c>
      <c r="AT1027" s="1">
        <f t="shared" ref="AT1027:AT1090" si="111">AS1027+AR1027+AQ1027+AN1027</f>
        <v>34444002</v>
      </c>
    </row>
    <row r="1028" spans="1:46">
      <c r="A1028" s="1" t="str">
        <f>"01308"</f>
        <v>01308</v>
      </c>
      <c r="B1028" s="1" t="str">
        <f>"رضا"</f>
        <v>رضا</v>
      </c>
      <c r="C1028" s="1" t="str">
        <f>"خدري"</f>
        <v>خدري</v>
      </c>
      <c r="D1028" s="1" t="str">
        <f t="shared" si="110"/>
        <v>قراردادي بهره بردار</v>
      </c>
      <c r="E1028" s="1" t="str">
        <f t="shared" si="109"/>
        <v>پروژه تعميرات نيروگاه بوشهر</v>
      </c>
      <c r="F1028" s="1">
        <v>7035979</v>
      </c>
      <c r="G1028" s="1">
        <v>987673</v>
      </c>
      <c r="H1028" s="1">
        <v>0</v>
      </c>
      <c r="I1028" s="1">
        <v>3195180</v>
      </c>
      <c r="J1028" s="1">
        <v>0</v>
      </c>
      <c r="K1028" s="1">
        <v>3465000</v>
      </c>
      <c r="L1028" s="1">
        <v>0</v>
      </c>
      <c r="M1028" s="1">
        <v>400000</v>
      </c>
      <c r="N1028" s="1">
        <v>767305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1231385</v>
      </c>
      <c r="W1028" s="1">
        <v>1100000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548075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767305</v>
      </c>
      <c r="AM1028" s="1">
        <v>0</v>
      </c>
      <c r="AN1028" s="1">
        <v>19497902</v>
      </c>
      <c r="AO1028" s="1">
        <v>4659750</v>
      </c>
      <c r="AP1028" s="1">
        <v>14838152</v>
      </c>
      <c r="AQ1028" s="1">
        <v>3899580</v>
      </c>
      <c r="AR1028" s="1">
        <v>584937</v>
      </c>
      <c r="AS1028" s="1">
        <v>0</v>
      </c>
      <c r="AT1028" s="1">
        <f t="shared" si="111"/>
        <v>23982419</v>
      </c>
    </row>
    <row r="1029" spans="1:46">
      <c r="A1029" s="1" t="str">
        <f>"01309"</f>
        <v>01309</v>
      </c>
      <c r="B1029" s="1" t="str">
        <f>"سجاد"</f>
        <v>سجاد</v>
      </c>
      <c r="C1029" s="1" t="str">
        <f>"ذكاوت جو"</f>
        <v>ذكاوت جو</v>
      </c>
      <c r="D1029" s="1" t="str">
        <f t="shared" si="110"/>
        <v>قراردادي بهره بردار</v>
      </c>
      <c r="E1029" s="1" t="str">
        <f t="shared" si="109"/>
        <v>پروژه تعميرات نيروگاه بوشهر</v>
      </c>
      <c r="F1029" s="1">
        <v>7371795</v>
      </c>
      <c r="G1029" s="1">
        <v>1059568</v>
      </c>
      <c r="H1029" s="1">
        <v>0</v>
      </c>
      <c r="I1029" s="1">
        <v>3427765</v>
      </c>
      <c r="J1029" s="1">
        <v>0</v>
      </c>
      <c r="K1029" s="1">
        <v>3465000</v>
      </c>
      <c r="L1029" s="1">
        <v>0</v>
      </c>
      <c r="M1029" s="1">
        <v>400000</v>
      </c>
      <c r="N1029" s="1">
        <v>888130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1321020</v>
      </c>
      <c r="W1029" s="1">
        <v>1100000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634378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888130</v>
      </c>
      <c r="AM1029" s="1">
        <v>0</v>
      </c>
      <c r="AN1029" s="1">
        <v>20555786</v>
      </c>
      <c r="AO1029" s="1">
        <v>5153802</v>
      </c>
      <c r="AP1029" s="1">
        <v>15401984</v>
      </c>
      <c r="AQ1029" s="1">
        <v>4111157</v>
      </c>
      <c r="AR1029" s="1">
        <v>616674</v>
      </c>
      <c r="AS1029" s="1">
        <v>0</v>
      </c>
      <c r="AT1029" s="1">
        <f t="shared" si="111"/>
        <v>25283617</v>
      </c>
    </row>
    <row r="1030" spans="1:46">
      <c r="A1030" s="1" t="str">
        <f>"01310"</f>
        <v>01310</v>
      </c>
      <c r="B1030" s="1" t="str">
        <f>"فرهاد"</f>
        <v>فرهاد</v>
      </c>
      <c r="C1030" s="1" t="str">
        <f>"رازقي نيا"</f>
        <v>رازقي نيا</v>
      </c>
      <c r="D1030" s="1" t="str">
        <f t="shared" si="110"/>
        <v>قراردادي بهره بردار</v>
      </c>
      <c r="E1030" s="1" t="str">
        <f t="shared" si="109"/>
        <v>پروژه تعميرات نيروگاه بوشهر</v>
      </c>
      <c r="F1030" s="1">
        <v>7002258</v>
      </c>
      <c r="G1030" s="1">
        <v>980459</v>
      </c>
      <c r="H1030" s="1">
        <v>0</v>
      </c>
      <c r="I1030" s="1">
        <v>3171841</v>
      </c>
      <c r="J1030" s="1">
        <v>0</v>
      </c>
      <c r="K1030" s="1">
        <v>3465000</v>
      </c>
      <c r="L1030" s="1">
        <v>0</v>
      </c>
      <c r="M1030" s="1">
        <v>400000</v>
      </c>
      <c r="N1030" s="1">
        <v>755190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1222390</v>
      </c>
      <c r="W1030" s="1">
        <v>1100000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539421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755190</v>
      </c>
      <c r="AM1030" s="1">
        <v>0</v>
      </c>
      <c r="AN1030" s="1">
        <v>19391749</v>
      </c>
      <c r="AO1030" s="1">
        <v>4792319</v>
      </c>
      <c r="AP1030" s="1">
        <v>14599430</v>
      </c>
      <c r="AQ1030" s="1">
        <v>3878350</v>
      </c>
      <c r="AR1030" s="1">
        <v>581752</v>
      </c>
      <c r="AS1030" s="1">
        <v>0</v>
      </c>
      <c r="AT1030" s="1">
        <f t="shared" si="111"/>
        <v>23851851</v>
      </c>
    </row>
    <row r="1031" spans="1:46">
      <c r="A1031" s="1" t="str">
        <f>"01311"</f>
        <v>01311</v>
      </c>
      <c r="B1031" s="1" t="str">
        <f>"محمدرضا"</f>
        <v>محمدرضا</v>
      </c>
      <c r="C1031" s="1" t="str">
        <f>"ربيعي"</f>
        <v>ربيعي</v>
      </c>
      <c r="D1031" s="1" t="str">
        <f t="shared" si="110"/>
        <v>قراردادي بهره بردار</v>
      </c>
      <c r="E1031" s="1" t="str">
        <f t="shared" si="109"/>
        <v>پروژه تعميرات نيروگاه بوشهر</v>
      </c>
      <c r="F1031" s="1">
        <v>6975663</v>
      </c>
      <c r="G1031" s="1">
        <v>1462193</v>
      </c>
      <c r="H1031" s="1">
        <v>0</v>
      </c>
      <c r="I1031" s="1">
        <v>3153521</v>
      </c>
      <c r="J1031" s="1">
        <v>0</v>
      </c>
      <c r="K1031" s="1">
        <v>3465000</v>
      </c>
      <c r="L1031" s="1">
        <v>0</v>
      </c>
      <c r="M1031" s="1">
        <v>400000</v>
      </c>
      <c r="N1031" s="1">
        <v>745724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1215329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532661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745724</v>
      </c>
      <c r="AM1031" s="1">
        <v>0</v>
      </c>
      <c r="AN1031" s="1">
        <v>19795815</v>
      </c>
      <c r="AO1031" s="1">
        <v>8080604</v>
      </c>
      <c r="AP1031" s="1">
        <v>11715211</v>
      </c>
      <c r="AQ1031" s="1">
        <v>3959163</v>
      </c>
      <c r="AR1031" s="1">
        <v>593874</v>
      </c>
      <c r="AS1031" s="1">
        <v>0</v>
      </c>
      <c r="AT1031" s="1">
        <f t="shared" si="111"/>
        <v>24348852</v>
      </c>
    </row>
    <row r="1032" spans="1:46">
      <c r="A1032" s="1" t="str">
        <f>"01312"</f>
        <v>01312</v>
      </c>
      <c r="B1032" s="1" t="str">
        <f>"عباس"</f>
        <v>عباس</v>
      </c>
      <c r="C1032" s="1" t="str">
        <f>"رضايي"</f>
        <v>رضايي</v>
      </c>
      <c r="D1032" s="1" t="str">
        <f t="shared" si="110"/>
        <v>قراردادي بهره بردار</v>
      </c>
      <c r="E1032" s="1" t="str">
        <f t="shared" ref="E1032:E1058" si="112">"پروژه تعميرات نيروگاه بوشهر"</f>
        <v>پروژه تعميرات نيروگاه بوشهر</v>
      </c>
      <c r="F1032" s="1">
        <v>7009392</v>
      </c>
      <c r="G1032" s="1">
        <v>982011</v>
      </c>
      <c r="H1032" s="1">
        <v>0</v>
      </c>
      <c r="I1032" s="1">
        <v>3176865</v>
      </c>
      <c r="J1032" s="1">
        <v>0</v>
      </c>
      <c r="K1032" s="1">
        <v>3465000</v>
      </c>
      <c r="L1032" s="1">
        <v>0</v>
      </c>
      <c r="M1032" s="1">
        <v>400000</v>
      </c>
      <c r="N1032" s="1">
        <v>757843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1224325</v>
      </c>
      <c r="W1032" s="1">
        <v>1100000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541316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757843</v>
      </c>
      <c r="AM1032" s="1">
        <v>0</v>
      </c>
      <c r="AN1032" s="1">
        <v>19414595</v>
      </c>
      <c r="AO1032" s="1">
        <v>2953919</v>
      </c>
      <c r="AP1032" s="1">
        <v>16460676</v>
      </c>
      <c r="AQ1032" s="1">
        <v>3882919</v>
      </c>
      <c r="AR1032" s="1">
        <v>582438</v>
      </c>
      <c r="AS1032" s="1">
        <v>0</v>
      </c>
      <c r="AT1032" s="1">
        <f t="shared" si="111"/>
        <v>23879952</v>
      </c>
    </row>
    <row r="1033" spans="1:46">
      <c r="A1033" s="1" t="str">
        <f>"01313"</f>
        <v>01313</v>
      </c>
      <c r="B1033" s="1" t="str">
        <f>"سعيد"</f>
        <v>سعيد</v>
      </c>
      <c r="C1033" s="1" t="str">
        <f>"زارعي"</f>
        <v>زارعي</v>
      </c>
      <c r="D1033" s="1" t="str">
        <f t="shared" si="110"/>
        <v>قراردادي بهره بردار</v>
      </c>
      <c r="E1033" s="1" t="str">
        <f t="shared" si="112"/>
        <v>پروژه تعميرات نيروگاه بوشهر</v>
      </c>
      <c r="F1033" s="1">
        <v>7002258</v>
      </c>
      <c r="G1033" s="1">
        <v>1960917</v>
      </c>
      <c r="H1033" s="1">
        <v>0</v>
      </c>
      <c r="I1033" s="1">
        <v>3171841</v>
      </c>
      <c r="J1033" s="1">
        <v>0</v>
      </c>
      <c r="K1033" s="1">
        <v>4620000</v>
      </c>
      <c r="L1033" s="1">
        <v>0</v>
      </c>
      <c r="M1033" s="1">
        <v>400000</v>
      </c>
      <c r="N1033" s="1">
        <v>755190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1222390</v>
      </c>
      <c r="W1033" s="1">
        <v>1100000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539421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755190</v>
      </c>
      <c r="AM1033" s="1">
        <v>0</v>
      </c>
      <c r="AN1033" s="1">
        <v>21527207</v>
      </c>
      <c r="AO1033" s="1">
        <v>6501801</v>
      </c>
      <c r="AP1033" s="1">
        <v>15025406</v>
      </c>
      <c r="AQ1033" s="1">
        <v>4305441</v>
      </c>
      <c r="AR1033" s="1">
        <v>645816</v>
      </c>
      <c r="AS1033" s="1">
        <v>0</v>
      </c>
      <c r="AT1033" s="1">
        <f t="shared" si="111"/>
        <v>26478464</v>
      </c>
    </row>
    <row r="1034" spans="1:46">
      <c r="A1034" s="1" t="str">
        <f>"01314"</f>
        <v>01314</v>
      </c>
      <c r="B1034" s="1" t="str">
        <f>"عزيز"</f>
        <v>عزيز</v>
      </c>
      <c r="C1034" s="1" t="str">
        <f>"سالمي نيا"</f>
        <v>سالمي نيا</v>
      </c>
      <c r="D1034" s="1" t="str">
        <f t="shared" si="110"/>
        <v>قراردادي بهره بردار</v>
      </c>
      <c r="E1034" s="1" t="str">
        <f t="shared" si="112"/>
        <v>پروژه تعميرات نيروگاه بوشهر</v>
      </c>
      <c r="F1034" s="1">
        <v>7007447</v>
      </c>
      <c r="G1034" s="1">
        <v>1276081</v>
      </c>
      <c r="H1034" s="1">
        <v>0</v>
      </c>
      <c r="I1034" s="1">
        <v>3175535</v>
      </c>
      <c r="J1034" s="1">
        <v>0</v>
      </c>
      <c r="K1034" s="1">
        <v>3465000</v>
      </c>
      <c r="L1034" s="1">
        <v>0</v>
      </c>
      <c r="M1034" s="1">
        <v>400000</v>
      </c>
      <c r="N1034" s="1">
        <v>757162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1223813</v>
      </c>
      <c r="W1034" s="1">
        <v>1100000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540830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757162</v>
      </c>
      <c r="AM1034" s="1">
        <v>0</v>
      </c>
      <c r="AN1034" s="1">
        <v>19703030</v>
      </c>
      <c r="AO1034" s="1">
        <v>4674109</v>
      </c>
      <c r="AP1034" s="1">
        <v>15028921</v>
      </c>
      <c r="AQ1034" s="1">
        <v>3940606</v>
      </c>
      <c r="AR1034" s="1">
        <v>591091</v>
      </c>
      <c r="AS1034" s="1">
        <v>0</v>
      </c>
      <c r="AT1034" s="1">
        <f t="shared" si="111"/>
        <v>24234727</v>
      </c>
    </row>
    <row r="1035" spans="1:46">
      <c r="A1035" s="1" t="str">
        <f>"01315"</f>
        <v>01315</v>
      </c>
      <c r="B1035" s="1" t="str">
        <f>"مهران"</f>
        <v>مهران</v>
      </c>
      <c r="C1035" s="1" t="str">
        <f>"سليمي"</f>
        <v>سليمي</v>
      </c>
      <c r="D1035" s="1" t="str">
        <f t="shared" si="110"/>
        <v>قراردادي بهره بردار</v>
      </c>
      <c r="E1035" s="1" t="str">
        <f t="shared" si="112"/>
        <v>پروژه تعميرات نيروگاه بوشهر</v>
      </c>
      <c r="F1035" s="1">
        <v>10677724</v>
      </c>
      <c r="G1035" s="1">
        <v>2929000</v>
      </c>
      <c r="H1035" s="1">
        <v>0</v>
      </c>
      <c r="I1035" s="1">
        <v>4737743</v>
      </c>
      <c r="J1035" s="1">
        <v>0</v>
      </c>
      <c r="K1035" s="1">
        <v>4125000</v>
      </c>
      <c r="L1035" s="1">
        <v>0</v>
      </c>
      <c r="M1035" s="1">
        <v>400000</v>
      </c>
      <c r="N1035" s="1">
        <v>1105702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1825870</v>
      </c>
      <c r="W1035" s="1">
        <v>1100000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789786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947745</v>
      </c>
      <c r="AM1035" s="1">
        <v>0</v>
      </c>
      <c r="AN1035" s="1">
        <v>28638570</v>
      </c>
      <c r="AO1035" s="1">
        <v>7492843</v>
      </c>
      <c r="AP1035" s="1">
        <v>21145727</v>
      </c>
      <c r="AQ1035" s="1">
        <v>5727714</v>
      </c>
      <c r="AR1035" s="1">
        <v>859157</v>
      </c>
      <c r="AS1035" s="1">
        <v>0</v>
      </c>
      <c r="AT1035" s="1">
        <f t="shared" si="111"/>
        <v>35225441</v>
      </c>
    </row>
    <row r="1036" spans="1:46">
      <c r="A1036" s="1" t="str">
        <f>"01316"</f>
        <v>01316</v>
      </c>
      <c r="B1036" s="1" t="str">
        <f>"اميد"</f>
        <v>اميد</v>
      </c>
      <c r="C1036" s="1" t="str">
        <f>"شاهسوندحسيني"</f>
        <v>شاهسوندحسيني</v>
      </c>
      <c r="D1036" s="1" t="str">
        <f t="shared" si="110"/>
        <v>قراردادي بهره بردار</v>
      </c>
      <c r="E1036" s="1" t="str">
        <f t="shared" si="112"/>
        <v>پروژه تعميرات نيروگاه بوشهر</v>
      </c>
      <c r="F1036" s="1">
        <v>7006149</v>
      </c>
      <c r="G1036" s="1">
        <v>1668176</v>
      </c>
      <c r="H1036" s="1">
        <v>0</v>
      </c>
      <c r="I1036" s="1">
        <v>3174499</v>
      </c>
      <c r="J1036" s="1">
        <v>0</v>
      </c>
      <c r="K1036" s="1">
        <v>3465000</v>
      </c>
      <c r="L1036" s="1">
        <v>0</v>
      </c>
      <c r="M1036" s="1">
        <v>400000</v>
      </c>
      <c r="N1036" s="1">
        <v>756551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1223414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540394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756551</v>
      </c>
      <c r="AM1036" s="1">
        <v>0</v>
      </c>
      <c r="AN1036" s="1">
        <v>20090734</v>
      </c>
      <c r="AO1036" s="1">
        <v>5401248</v>
      </c>
      <c r="AP1036" s="1">
        <v>14689486</v>
      </c>
      <c r="AQ1036" s="1">
        <v>4018147</v>
      </c>
      <c r="AR1036" s="1">
        <v>602722</v>
      </c>
      <c r="AS1036" s="1">
        <v>0</v>
      </c>
      <c r="AT1036" s="1">
        <f t="shared" si="111"/>
        <v>24711603</v>
      </c>
    </row>
    <row r="1037" spans="1:46">
      <c r="A1037" s="1" t="str">
        <f>"01317"</f>
        <v>01317</v>
      </c>
      <c r="B1037" s="1" t="str">
        <f>"امين"</f>
        <v>امين</v>
      </c>
      <c r="C1037" s="1" t="str">
        <f>"شفيعي"</f>
        <v>شفيعي</v>
      </c>
      <c r="D1037" s="1" t="str">
        <f t="shared" si="110"/>
        <v>قراردادي بهره بردار</v>
      </c>
      <c r="E1037" s="1" t="str">
        <f t="shared" si="112"/>
        <v>پروژه تعميرات نيروگاه بوشهر</v>
      </c>
      <c r="F1037" s="1">
        <v>7873338</v>
      </c>
      <c r="G1037" s="1">
        <v>1983187</v>
      </c>
      <c r="H1037" s="1">
        <v>0</v>
      </c>
      <c r="I1037" s="1">
        <v>3770767</v>
      </c>
      <c r="J1037" s="1">
        <v>0</v>
      </c>
      <c r="K1037" s="1">
        <v>3465000</v>
      </c>
      <c r="L1037" s="1">
        <v>0</v>
      </c>
      <c r="M1037" s="1">
        <v>400000</v>
      </c>
      <c r="N1037" s="1">
        <v>1068524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1454439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763231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1068524</v>
      </c>
      <c r="AM1037" s="1">
        <v>0</v>
      </c>
      <c r="AN1037" s="1">
        <v>22947010</v>
      </c>
      <c r="AO1037" s="1">
        <v>4561188</v>
      </c>
      <c r="AP1037" s="1">
        <v>18385822</v>
      </c>
      <c r="AQ1037" s="1">
        <v>4589402</v>
      </c>
      <c r="AR1037" s="1">
        <v>688410</v>
      </c>
      <c r="AS1037" s="1">
        <v>0</v>
      </c>
      <c r="AT1037" s="1">
        <f t="shared" si="111"/>
        <v>28224822</v>
      </c>
    </row>
    <row r="1038" spans="1:46">
      <c r="A1038" s="1" t="str">
        <f>"01318"</f>
        <v>01318</v>
      </c>
      <c r="B1038" s="1" t="str">
        <f>"محمدامين"</f>
        <v>محمدامين</v>
      </c>
      <c r="C1038" s="1" t="str">
        <f>"صالحي"</f>
        <v>صالحي</v>
      </c>
      <c r="D1038" s="1" t="str">
        <f t="shared" si="110"/>
        <v>قراردادي بهره بردار</v>
      </c>
      <c r="E1038" s="1" t="str">
        <f t="shared" si="112"/>
        <v>پروژه تعميرات نيروگاه بوشهر</v>
      </c>
      <c r="F1038" s="1">
        <v>7007447</v>
      </c>
      <c r="G1038" s="1">
        <v>1963201</v>
      </c>
      <c r="H1038" s="1">
        <v>0</v>
      </c>
      <c r="I1038" s="1">
        <v>3175535</v>
      </c>
      <c r="J1038" s="1">
        <v>0</v>
      </c>
      <c r="K1038" s="1">
        <v>3465000</v>
      </c>
      <c r="L1038" s="1">
        <v>0</v>
      </c>
      <c r="M1038" s="1">
        <v>400000</v>
      </c>
      <c r="N1038" s="1">
        <v>757162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1223813</v>
      </c>
      <c r="W1038" s="1">
        <v>1100000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540830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757162</v>
      </c>
      <c r="AM1038" s="1">
        <v>0</v>
      </c>
      <c r="AN1038" s="1">
        <v>20390150</v>
      </c>
      <c r="AO1038" s="1">
        <v>3022208</v>
      </c>
      <c r="AP1038" s="1">
        <v>17367942</v>
      </c>
      <c r="AQ1038" s="1">
        <v>4078030</v>
      </c>
      <c r="AR1038" s="1">
        <v>611705</v>
      </c>
      <c r="AS1038" s="1">
        <v>0</v>
      </c>
      <c r="AT1038" s="1">
        <f t="shared" si="111"/>
        <v>25079885</v>
      </c>
    </row>
    <row r="1039" spans="1:46">
      <c r="A1039" s="1" t="str">
        <f>"01319"</f>
        <v>01319</v>
      </c>
      <c r="B1039" s="1" t="str">
        <f>"رضا"</f>
        <v>رضا</v>
      </c>
      <c r="C1039" s="1" t="str">
        <f>"عاليبري"</f>
        <v>عاليبري</v>
      </c>
      <c r="D1039" s="1" t="str">
        <f t="shared" ref="D1039:D1057" si="113">"قراردادي بهره بردار"</f>
        <v>قراردادي بهره بردار</v>
      </c>
      <c r="E1039" s="1" t="str">
        <f t="shared" si="112"/>
        <v>پروژه تعميرات نيروگاه بوشهر</v>
      </c>
      <c r="F1039" s="1">
        <v>6975663</v>
      </c>
      <c r="G1039" s="1">
        <v>1949591</v>
      </c>
      <c r="H1039" s="1">
        <v>0</v>
      </c>
      <c r="I1039" s="1">
        <v>3153521</v>
      </c>
      <c r="J1039" s="1">
        <v>0</v>
      </c>
      <c r="K1039" s="1">
        <v>3465000</v>
      </c>
      <c r="L1039" s="1">
        <v>0</v>
      </c>
      <c r="M1039" s="1">
        <v>400000</v>
      </c>
      <c r="N1039" s="1">
        <v>745724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1215329</v>
      </c>
      <c r="W1039" s="1">
        <v>1100000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532661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745724</v>
      </c>
      <c r="AM1039" s="1">
        <v>0</v>
      </c>
      <c r="AN1039" s="1">
        <v>20283213</v>
      </c>
      <c r="AO1039" s="1">
        <v>3014722</v>
      </c>
      <c r="AP1039" s="1">
        <v>17268491</v>
      </c>
      <c r="AQ1039" s="1">
        <v>4056643</v>
      </c>
      <c r="AR1039" s="1">
        <v>608496</v>
      </c>
      <c r="AS1039" s="1">
        <v>0</v>
      </c>
      <c r="AT1039" s="1">
        <f t="shared" si="111"/>
        <v>24948352</v>
      </c>
    </row>
    <row r="1040" spans="1:46">
      <c r="A1040" s="1" t="str">
        <f>"01320"</f>
        <v>01320</v>
      </c>
      <c r="B1040" s="1" t="str">
        <f>"حسين"</f>
        <v>حسين</v>
      </c>
      <c r="C1040" s="1" t="str">
        <f>"عباسي"</f>
        <v>عباسي</v>
      </c>
      <c r="D1040" s="1" t="str">
        <f t="shared" si="113"/>
        <v>قراردادي بهره بردار</v>
      </c>
      <c r="E1040" s="1" t="str">
        <f t="shared" si="112"/>
        <v>پروژه تعميرات نيروگاه بوشهر</v>
      </c>
      <c r="F1040" s="1">
        <v>10681486</v>
      </c>
      <c r="G1040" s="1">
        <v>2941674</v>
      </c>
      <c r="H1040" s="1">
        <v>0</v>
      </c>
      <c r="I1040" s="1">
        <v>4808339</v>
      </c>
      <c r="J1040" s="1">
        <v>0</v>
      </c>
      <c r="K1040" s="1">
        <v>4125000</v>
      </c>
      <c r="L1040" s="1">
        <v>0</v>
      </c>
      <c r="M1040" s="1">
        <v>400000</v>
      </c>
      <c r="N1040" s="1">
        <v>1107511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1833770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791079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949295</v>
      </c>
      <c r="AM1040" s="1">
        <v>0</v>
      </c>
      <c r="AN1040" s="1">
        <v>28738154</v>
      </c>
      <c r="AO1040" s="1">
        <v>6886907</v>
      </c>
      <c r="AP1040" s="1">
        <v>21851247</v>
      </c>
      <c r="AQ1040" s="1">
        <v>5747631</v>
      </c>
      <c r="AR1040" s="1">
        <v>862145</v>
      </c>
      <c r="AS1040" s="1">
        <v>0</v>
      </c>
      <c r="AT1040" s="1">
        <f t="shared" si="111"/>
        <v>35347930</v>
      </c>
    </row>
    <row r="1041" spans="1:46">
      <c r="A1041" s="1" t="str">
        <f>"01321"</f>
        <v>01321</v>
      </c>
      <c r="B1041" s="1" t="str">
        <f>"ابراهيم"</f>
        <v>ابراهيم</v>
      </c>
      <c r="C1041" s="1" t="str">
        <f>"عباسيان"</f>
        <v>عباسيان</v>
      </c>
      <c r="D1041" s="1" t="str">
        <f t="shared" si="113"/>
        <v>قراردادي بهره بردار</v>
      </c>
      <c r="E1041" s="1" t="str">
        <f t="shared" si="112"/>
        <v>پروژه تعميرات نيروگاه بوشهر</v>
      </c>
      <c r="F1041" s="1">
        <v>10908210</v>
      </c>
      <c r="G1041" s="1">
        <v>2572034</v>
      </c>
      <c r="H1041" s="1">
        <v>0</v>
      </c>
      <c r="I1041" s="1">
        <v>4894519</v>
      </c>
      <c r="J1041" s="1">
        <v>0</v>
      </c>
      <c r="K1041" s="1">
        <v>5500000</v>
      </c>
      <c r="L1041" s="1">
        <v>0</v>
      </c>
      <c r="M1041" s="1">
        <v>400000</v>
      </c>
      <c r="N1041" s="1">
        <v>1190065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1886290</v>
      </c>
      <c r="W1041" s="1">
        <v>1100000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850046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1020055</v>
      </c>
      <c r="AM1041" s="1">
        <v>0</v>
      </c>
      <c r="AN1041" s="1">
        <v>30321219</v>
      </c>
      <c r="AO1041" s="1">
        <v>8938861</v>
      </c>
      <c r="AP1041" s="1">
        <v>21382358</v>
      </c>
      <c r="AQ1041" s="1">
        <v>6064244</v>
      </c>
      <c r="AR1041" s="1">
        <v>909637</v>
      </c>
      <c r="AS1041" s="1">
        <v>0</v>
      </c>
      <c r="AT1041" s="1">
        <f t="shared" si="111"/>
        <v>37295100</v>
      </c>
    </row>
    <row r="1042" spans="1:46">
      <c r="A1042" s="1" t="str">
        <f>"01322"</f>
        <v>01322</v>
      </c>
      <c r="B1042" s="1" t="str">
        <f>"ميثم"</f>
        <v>ميثم</v>
      </c>
      <c r="C1042" s="1" t="str">
        <f>"علمداري"</f>
        <v>علمداري</v>
      </c>
      <c r="D1042" s="1" t="str">
        <f t="shared" si="113"/>
        <v>قراردادي بهره بردار</v>
      </c>
      <c r="E1042" s="1" t="str">
        <f t="shared" si="112"/>
        <v>پروژه تعميرات نيروگاه بوشهر</v>
      </c>
      <c r="F1042" s="1">
        <v>7142237</v>
      </c>
      <c r="G1042" s="1">
        <v>1717745</v>
      </c>
      <c r="H1042" s="1">
        <v>0</v>
      </c>
      <c r="I1042" s="1">
        <v>3268826</v>
      </c>
      <c r="J1042" s="1">
        <v>0</v>
      </c>
      <c r="K1042" s="1">
        <v>3465000</v>
      </c>
      <c r="L1042" s="1">
        <v>0</v>
      </c>
      <c r="M1042" s="1">
        <v>400000</v>
      </c>
      <c r="N1042" s="1">
        <v>805592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1259767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575422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805592</v>
      </c>
      <c r="AM1042" s="1">
        <v>0</v>
      </c>
      <c r="AN1042" s="1">
        <v>20540181</v>
      </c>
      <c r="AO1042" s="1">
        <v>3032710</v>
      </c>
      <c r="AP1042" s="1">
        <v>17507471</v>
      </c>
      <c r="AQ1042" s="1">
        <v>4108036</v>
      </c>
      <c r="AR1042" s="1">
        <v>616205</v>
      </c>
      <c r="AS1042" s="1">
        <v>0</v>
      </c>
      <c r="AT1042" s="1">
        <f t="shared" si="111"/>
        <v>25264422</v>
      </c>
    </row>
    <row r="1043" spans="1:46">
      <c r="A1043" s="1" t="str">
        <f>"01324"</f>
        <v>01324</v>
      </c>
      <c r="B1043" s="1" t="str">
        <f>"نعمت الله"</f>
        <v>نعمت الله</v>
      </c>
      <c r="C1043" s="1" t="str">
        <f>"فقيه"</f>
        <v>فقيه</v>
      </c>
      <c r="D1043" s="1" t="str">
        <f t="shared" si="113"/>
        <v>قراردادي بهره بردار</v>
      </c>
      <c r="E1043" s="1" t="str">
        <f t="shared" si="112"/>
        <v>پروژه تعميرات نيروگاه بوشهر</v>
      </c>
      <c r="F1043" s="1">
        <v>7293626</v>
      </c>
      <c r="G1043" s="1">
        <v>2085655</v>
      </c>
      <c r="H1043" s="1">
        <v>0</v>
      </c>
      <c r="I1043" s="1">
        <v>3373609</v>
      </c>
      <c r="J1043" s="1">
        <v>0</v>
      </c>
      <c r="K1043" s="1">
        <v>4620000</v>
      </c>
      <c r="L1043" s="1">
        <v>0</v>
      </c>
      <c r="M1043" s="1">
        <v>400000</v>
      </c>
      <c r="N1043" s="1">
        <v>859988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1300149</v>
      </c>
      <c r="W1043" s="1">
        <v>1100000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614277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859988</v>
      </c>
      <c r="AM1043" s="1">
        <v>0</v>
      </c>
      <c r="AN1043" s="1">
        <v>22507292</v>
      </c>
      <c r="AO1043" s="1">
        <v>5337073</v>
      </c>
      <c r="AP1043" s="1">
        <v>17170219</v>
      </c>
      <c r="AQ1043" s="1">
        <v>4501458</v>
      </c>
      <c r="AR1043" s="1">
        <v>675219</v>
      </c>
      <c r="AS1043" s="1">
        <v>0</v>
      </c>
      <c r="AT1043" s="1">
        <f t="shared" si="111"/>
        <v>27683969</v>
      </c>
    </row>
    <row r="1044" spans="1:46">
      <c r="A1044" s="1" t="str">
        <f>"01325"</f>
        <v>01325</v>
      </c>
      <c r="B1044" s="1" t="str">
        <f>"حسين"</f>
        <v>حسين</v>
      </c>
      <c r="C1044" s="1" t="str">
        <f>"قديريان"</f>
        <v>قديريان</v>
      </c>
      <c r="D1044" s="1" t="str">
        <f t="shared" si="113"/>
        <v>قراردادي بهره بردار</v>
      </c>
      <c r="E1044" s="1" t="str">
        <f t="shared" si="112"/>
        <v>پروژه تعميرات نيروگاه بوشهر</v>
      </c>
      <c r="F1044" s="1">
        <v>10892868</v>
      </c>
      <c r="G1044" s="1">
        <v>1970013</v>
      </c>
      <c r="H1044" s="1">
        <v>0</v>
      </c>
      <c r="I1044" s="1">
        <v>4954001</v>
      </c>
      <c r="J1044" s="1">
        <v>0</v>
      </c>
      <c r="K1044" s="1">
        <v>5500000</v>
      </c>
      <c r="L1044" s="1">
        <v>0</v>
      </c>
      <c r="M1044" s="1">
        <v>400000</v>
      </c>
      <c r="N1044" s="1">
        <v>1184696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1889323</v>
      </c>
      <c r="W1044" s="1">
        <v>1100000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846211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1015454</v>
      </c>
      <c r="AM1044" s="1">
        <v>0</v>
      </c>
      <c r="AN1044" s="1">
        <v>29752566</v>
      </c>
      <c r="AO1044" s="1">
        <v>3188943</v>
      </c>
      <c r="AP1044" s="1">
        <v>26563623</v>
      </c>
      <c r="AQ1044" s="1">
        <v>5950513</v>
      </c>
      <c r="AR1044" s="1">
        <v>892577</v>
      </c>
      <c r="AS1044" s="1">
        <v>0</v>
      </c>
      <c r="AT1044" s="1">
        <f t="shared" si="111"/>
        <v>36595656</v>
      </c>
    </row>
    <row r="1045" spans="1:46">
      <c r="A1045" s="1" t="str">
        <f>"01326"</f>
        <v>01326</v>
      </c>
      <c r="B1045" s="1" t="str">
        <f>"مسعود"</f>
        <v>مسعود</v>
      </c>
      <c r="C1045" s="1" t="str">
        <f>"قرباني"</f>
        <v>قرباني</v>
      </c>
      <c r="D1045" s="1" t="str">
        <f t="shared" si="113"/>
        <v>قراردادي بهره بردار</v>
      </c>
      <c r="E1045" s="1" t="str">
        <f t="shared" si="112"/>
        <v>پروژه تعميرات نيروگاه بوشهر</v>
      </c>
      <c r="F1045" s="1">
        <v>7367912</v>
      </c>
      <c r="G1045" s="1">
        <v>2117495</v>
      </c>
      <c r="H1045" s="1">
        <v>0</v>
      </c>
      <c r="I1045" s="1">
        <v>3425111</v>
      </c>
      <c r="J1045" s="1">
        <v>0</v>
      </c>
      <c r="K1045" s="1">
        <v>3465000</v>
      </c>
      <c r="L1045" s="1">
        <v>0</v>
      </c>
      <c r="M1045" s="1">
        <v>400000</v>
      </c>
      <c r="N1045" s="1">
        <v>886771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1319997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633407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886771</v>
      </c>
      <c r="AM1045" s="1">
        <v>0</v>
      </c>
      <c r="AN1045" s="1">
        <v>21602464</v>
      </c>
      <c r="AO1045" s="1">
        <v>5753735</v>
      </c>
      <c r="AP1045" s="1">
        <v>15848729</v>
      </c>
      <c r="AQ1045" s="1">
        <v>4320493</v>
      </c>
      <c r="AR1045" s="1">
        <v>648074</v>
      </c>
      <c r="AS1045" s="1">
        <v>0</v>
      </c>
      <c r="AT1045" s="1">
        <f t="shared" si="111"/>
        <v>26571031</v>
      </c>
    </row>
    <row r="1046" spans="1:46">
      <c r="A1046" s="1" t="str">
        <f>"01327"</f>
        <v>01327</v>
      </c>
      <c r="B1046" s="1" t="str">
        <f>"سجاد"</f>
        <v>سجاد</v>
      </c>
      <c r="C1046" s="1" t="str">
        <f>"قنبري"</f>
        <v>قنبري</v>
      </c>
      <c r="D1046" s="1" t="str">
        <f t="shared" si="113"/>
        <v>قراردادي بهره بردار</v>
      </c>
      <c r="E1046" s="1" t="str">
        <f t="shared" si="112"/>
        <v>پروژه تعميرات نيروگاه بوشهر</v>
      </c>
      <c r="F1046" s="1">
        <v>10733239</v>
      </c>
      <c r="G1046" s="1">
        <v>2952398</v>
      </c>
      <c r="H1046" s="1">
        <v>0</v>
      </c>
      <c r="I1046" s="1">
        <v>4775591</v>
      </c>
      <c r="J1046" s="1">
        <v>0</v>
      </c>
      <c r="K1046" s="1">
        <v>4125000</v>
      </c>
      <c r="L1046" s="1">
        <v>0</v>
      </c>
      <c r="M1046" s="1">
        <v>400000</v>
      </c>
      <c r="N1046" s="1">
        <v>1126116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1840455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804369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965243</v>
      </c>
      <c r="AM1046" s="1">
        <v>0</v>
      </c>
      <c r="AN1046" s="1">
        <v>28822411</v>
      </c>
      <c r="AO1046" s="1">
        <v>5557062</v>
      </c>
      <c r="AP1046" s="1">
        <v>23265349</v>
      </c>
      <c r="AQ1046" s="1">
        <v>5764482</v>
      </c>
      <c r="AR1046" s="1">
        <v>864672</v>
      </c>
      <c r="AS1046" s="1">
        <v>0</v>
      </c>
      <c r="AT1046" s="1">
        <f t="shared" si="111"/>
        <v>35451565</v>
      </c>
    </row>
    <row r="1047" spans="1:46">
      <c r="A1047" s="1" t="str">
        <f>"01328"</f>
        <v>01328</v>
      </c>
      <c r="B1047" s="1" t="str">
        <f>"رامين"</f>
        <v>رامين</v>
      </c>
      <c r="C1047" s="1" t="str">
        <f>"كاوسي"</f>
        <v>كاوسي</v>
      </c>
      <c r="D1047" s="1" t="str">
        <f t="shared" si="113"/>
        <v>قراردادي بهره بردار</v>
      </c>
      <c r="E1047" s="1" t="str">
        <f t="shared" si="112"/>
        <v>پروژه تعميرات نيروگاه بوشهر</v>
      </c>
      <c r="F1047" s="1">
        <v>7278761</v>
      </c>
      <c r="G1047" s="1">
        <v>1351534</v>
      </c>
      <c r="H1047" s="1">
        <v>0</v>
      </c>
      <c r="I1047" s="1">
        <v>3363302</v>
      </c>
      <c r="J1047" s="1">
        <v>0</v>
      </c>
      <c r="K1047" s="1">
        <v>3465000</v>
      </c>
      <c r="L1047" s="1">
        <v>0</v>
      </c>
      <c r="M1047" s="1">
        <v>400000</v>
      </c>
      <c r="N1047" s="1">
        <v>854628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1296176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610448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854628</v>
      </c>
      <c r="AM1047" s="1">
        <v>0</v>
      </c>
      <c r="AN1047" s="1">
        <v>20574477</v>
      </c>
      <c r="AO1047" s="1">
        <v>5761776</v>
      </c>
      <c r="AP1047" s="1">
        <v>14812701</v>
      </c>
      <c r="AQ1047" s="1">
        <v>4114895</v>
      </c>
      <c r="AR1047" s="1">
        <v>617234</v>
      </c>
      <c r="AS1047" s="1">
        <v>0</v>
      </c>
      <c r="AT1047" s="1">
        <f t="shared" si="111"/>
        <v>25306606</v>
      </c>
    </row>
    <row r="1048" spans="1:46">
      <c r="A1048" s="1" t="str">
        <f>"01329"</f>
        <v>01329</v>
      </c>
      <c r="B1048" s="1" t="str">
        <f>"مجتبي"</f>
        <v>مجتبي</v>
      </c>
      <c r="C1048" s="1" t="str">
        <f>"كيايي"</f>
        <v>كيايي</v>
      </c>
      <c r="D1048" s="1" t="str">
        <f t="shared" si="113"/>
        <v>قراردادي بهره بردار</v>
      </c>
      <c r="E1048" s="1" t="str">
        <f t="shared" si="112"/>
        <v>پروژه تعميرات نيروگاه بوشهر</v>
      </c>
      <c r="F1048" s="1">
        <v>7039218</v>
      </c>
      <c r="G1048" s="1">
        <v>1976807</v>
      </c>
      <c r="H1048" s="1">
        <v>0</v>
      </c>
      <c r="I1048" s="1">
        <v>3197543</v>
      </c>
      <c r="J1048" s="1">
        <v>0</v>
      </c>
      <c r="K1048" s="1">
        <v>3465000</v>
      </c>
      <c r="L1048" s="1">
        <v>0</v>
      </c>
      <c r="M1048" s="1">
        <v>400000</v>
      </c>
      <c r="N1048" s="1">
        <v>768596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1232295</v>
      </c>
      <c r="W1048" s="1">
        <v>1100000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548997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768596</v>
      </c>
      <c r="AM1048" s="1">
        <v>0</v>
      </c>
      <c r="AN1048" s="1">
        <v>20497052</v>
      </c>
      <c r="AO1048" s="1">
        <v>5576357</v>
      </c>
      <c r="AP1048" s="1">
        <v>14920695</v>
      </c>
      <c r="AQ1048" s="1">
        <v>4099410</v>
      </c>
      <c r="AR1048" s="1">
        <v>614912</v>
      </c>
      <c r="AS1048" s="1">
        <v>0</v>
      </c>
      <c r="AT1048" s="1">
        <f t="shared" si="111"/>
        <v>25211374</v>
      </c>
    </row>
    <row r="1049" spans="1:46">
      <c r="A1049" s="1" t="str">
        <f>"01330"</f>
        <v>01330</v>
      </c>
      <c r="B1049" s="1" t="str">
        <f>"حسن"</f>
        <v>حسن</v>
      </c>
      <c r="C1049" s="1" t="str">
        <f>"محقق نژاد"</f>
        <v>محقق نژاد</v>
      </c>
      <c r="D1049" s="1" t="str">
        <f t="shared" si="113"/>
        <v>قراردادي بهره بردار</v>
      </c>
      <c r="E1049" s="1" t="str">
        <f t="shared" si="112"/>
        <v>پروژه تعميرات نيروگاه بوشهر</v>
      </c>
      <c r="F1049" s="1">
        <v>10904374</v>
      </c>
      <c r="G1049" s="1">
        <v>3024344</v>
      </c>
      <c r="H1049" s="1">
        <v>0</v>
      </c>
      <c r="I1049" s="1">
        <v>4891966</v>
      </c>
      <c r="J1049" s="1">
        <v>0</v>
      </c>
      <c r="K1049" s="1">
        <v>4125000</v>
      </c>
      <c r="L1049" s="1">
        <v>0</v>
      </c>
      <c r="M1049" s="1">
        <v>400000</v>
      </c>
      <c r="N1049" s="1">
        <v>1188722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1885306</v>
      </c>
      <c r="W1049" s="1">
        <v>1100000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849088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1018905</v>
      </c>
      <c r="AM1049" s="1">
        <v>0</v>
      </c>
      <c r="AN1049" s="1">
        <v>29387705</v>
      </c>
      <c r="AO1049" s="1">
        <v>5076031</v>
      </c>
      <c r="AP1049" s="1">
        <v>24311674</v>
      </c>
      <c r="AQ1049" s="1">
        <v>5877541</v>
      </c>
      <c r="AR1049" s="1">
        <v>881631</v>
      </c>
      <c r="AS1049" s="1">
        <v>0</v>
      </c>
      <c r="AT1049" s="1">
        <f t="shared" si="111"/>
        <v>36146877</v>
      </c>
    </row>
    <row r="1050" spans="1:46">
      <c r="A1050" s="1" t="str">
        <f>"01331"</f>
        <v>01331</v>
      </c>
      <c r="B1050" s="1" t="str">
        <f>"آرمين"</f>
        <v>آرمين</v>
      </c>
      <c r="C1050" s="1" t="str">
        <f>"محمودي"</f>
        <v>محمودي</v>
      </c>
      <c r="D1050" s="1" t="str">
        <f t="shared" si="113"/>
        <v>قراردادي بهره بردار</v>
      </c>
      <c r="E1050" s="1" t="str">
        <f t="shared" si="112"/>
        <v>پروژه تعميرات نيروگاه بوشهر</v>
      </c>
      <c r="F1050" s="1">
        <v>10830818</v>
      </c>
      <c r="G1050" s="1">
        <v>2993605</v>
      </c>
      <c r="H1050" s="1">
        <v>0</v>
      </c>
      <c r="I1050" s="1">
        <v>4843268</v>
      </c>
      <c r="J1050" s="1">
        <v>0</v>
      </c>
      <c r="K1050" s="1">
        <v>4125000</v>
      </c>
      <c r="L1050" s="1">
        <v>0</v>
      </c>
      <c r="M1050" s="1">
        <v>400000</v>
      </c>
      <c r="N1050" s="1">
        <v>1161747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1866143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829819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995783</v>
      </c>
      <c r="AM1050" s="1">
        <v>0</v>
      </c>
      <c r="AN1050" s="1">
        <v>29146183</v>
      </c>
      <c r="AO1050" s="1">
        <v>7336971</v>
      </c>
      <c r="AP1050" s="1">
        <v>21809212</v>
      </c>
      <c r="AQ1050" s="1">
        <v>5829237</v>
      </c>
      <c r="AR1050" s="1">
        <v>874385</v>
      </c>
      <c r="AS1050" s="1">
        <v>0</v>
      </c>
      <c r="AT1050" s="1">
        <f t="shared" si="111"/>
        <v>35849805</v>
      </c>
    </row>
    <row r="1051" spans="1:46">
      <c r="A1051" s="1" t="str">
        <f>"01332"</f>
        <v>01332</v>
      </c>
      <c r="B1051" s="1" t="str">
        <f>"فرامرز"</f>
        <v>فرامرز</v>
      </c>
      <c r="C1051" s="1" t="str">
        <f>"مقتدربهاري"</f>
        <v>مقتدربهاري</v>
      </c>
      <c r="D1051" s="1" t="str">
        <f t="shared" si="113"/>
        <v>قراردادي بهره بردار</v>
      </c>
      <c r="E1051" s="1" t="str">
        <f t="shared" si="112"/>
        <v>پروژه تعميرات نيروگاه بوشهر</v>
      </c>
      <c r="F1051" s="1">
        <v>10737078</v>
      </c>
      <c r="G1051" s="1">
        <v>2953978</v>
      </c>
      <c r="H1051" s="1">
        <v>0</v>
      </c>
      <c r="I1051" s="1">
        <v>4778147</v>
      </c>
      <c r="J1051" s="1">
        <v>0</v>
      </c>
      <c r="K1051" s="1">
        <v>4125000</v>
      </c>
      <c r="L1051" s="1">
        <v>0</v>
      </c>
      <c r="M1051" s="1">
        <v>400000</v>
      </c>
      <c r="N1051" s="1">
        <v>1127460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1841442</v>
      </c>
      <c r="W1051" s="1">
        <v>1100000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805329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966395</v>
      </c>
      <c r="AM1051" s="1">
        <v>0</v>
      </c>
      <c r="AN1051" s="1">
        <v>28834829</v>
      </c>
      <c r="AO1051" s="1">
        <v>5612075</v>
      </c>
      <c r="AP1051" s="1">
        <v>23222754</v>
      </c>
      <c r="AQ1051" s="1">
        <v>5766966</v>
      </c>
      <c r="AR1051" s="1">
        <v>865045</v>
      </c>
      <c r="AS1051" s="1">
        <v>0</v>
      </c>
      <c r="AT1051" s="1">
        <f t="shared" si="111"/>
        <v>35466840</v>
      </c>
    </row>
    <row r="1052" spans="1:46">
      <c r="A1052" s="1" t="str">
        <f>"01333"</f>
        <v>01333</v>
      </c>
      <c r="B1052" s="1" t="str">
        <f>"حسين"</f>
        <v>حسين</v>
      </c>
      <c r="C1052" s="1" t="str">
        <f>"منصوري"</f>
        <v>منصوري</v>
      </c>
      <c r="D1052" s="1" t="str">
        <f t="shared" si="113"/>
        <v>قراردادي بهره بردار</v>
      </c>
      <c r="E1052" s="1" t="str">
        <f t="shared" si="112"/>
        <v>پروژه تعميرات نيروگاه بوشهر</v>
      </c>
      <c r="F1052" s="1">
        <v>7196616</v>
      </c>
      <c r="G1052" s="1">
        <v>1328778</v>
      </c>
      <c r="H1052" s="1">
        <v>0</v>
      </c>
      <c r="I1052" s="1">
        <v>3307373</v>
      </c>
      <c r="J1052" s="1">
        <v>0</v>
      </c>
      <c r="K1052" s="1">
        <v>3465000</v>
      </c>
      <c r="L1052" s="1">
        <v>0</v>
      </c>
      <c r="M1052" s="1">
        <v>400000</v>
      </c>
      <c r="N1052" s="1">
        <v>825094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1274353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589353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825094</v>
      </c>
      <c r="AM1052" s="1">
        <v>0</v>
      </c>
      <c r="AN1052" s="1">
        <v>20311661</v>
      </c>
      <c r="AO1052" s="1">
        <v>4076713</v>
      </c>
      <c r="AP1052" s="1">
        <v>16234948</v>
      </c>
      <c r="AQ1052" s="1">
        <v>4062332</v>
      </c>
      <c r="AR1052" s="1">
        <v>609350</v>
      </c>
      <c r="AS1052" s="1">
        <v>0</v>
      </c>
      <c r="AT1052" s="1">
        <f t="shared" si="111"/>
        <v>24983343</v>
      </c>
    </row>
    <row r="1053" spans="1:46">
      <c r="A1053" s="1" t="str">
        <f>"01334"</f>
        <v>01334</v>
      </c>
      <c r="B1053" s="1" t="str">
        <f>"حسين"</f>
        <v>حسين</v>
      </c>
      <c r="C1053" s="1" t="str">
        <f>"منفرد"</f>
        <v>منفرد</v>
      </c>
      <c r="D1053" s="1" t="str">
        <f t="shared" si="113"/>
        <v>قراردادي بهره بردار</v>
      </c>
      <c r="E1053" s="1" t="str">
        <f t="shared" si="112"/>
        <v>پروژه تعميرات نيروگاه بوشهر</v>
      </c>
      <c r="F1053" s="1">
        <v>7000312</v>
      </c>
      <c r="G1053" s="1">
        <v>1960095</v>
      </c>
      <c r="H1053" s="1">
        <v>0</v>
      </c>
      <c r="I1053" s="1">
        <v>3170512</v>
      </c>
      <c r="J1053" s="1">
        <v>0</v>
      </c>
      <c r="K1053" s="1">
        <v>3465000</v>
      </c>
      <c r="L1053" s="1">
        <v>0</v>
      </c>
      <c r="M1053" s="1">
        <v>400000</v>
      </c>
      <c r="N1053" s="1">
        <v>754509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1221878</v>
      </c>
      <c r="W1053" s="1">
        <v>1100000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538934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754509</v>
      </c>
      <c r="AM1053" s="1">
        <v>0</v>
      </c>
      <c r="AN1053" s="1">
        <v>20365749</v>
      </c>
      <c r="AO1053" s="1">
        <v>5747165</v>
      </c>
      <c r="AP1053" s="1">
        <v>14618584</v>
      </c>
      <c r="AQ1053" s="1">
        <v>4073150</v>
      </c>
      <c r="AR1053" s="1">
        <v>610972</v>
      </c>
      <c r="AS1053" s="1">
        <v>0</v>
      </c>
      <c r="AT1053" s="1">
        <f t="shared" si="111"/>
        <v>25049871</v>
      </c>
    </row>
    <row r="1054" spans="1:46">
      <c r="A1054" s="1" t="str">
        <f>"01336"</f>
        <v>01336</v>
      </c>
      <c r="B1054" s="1" t="str">
        <f>"علي"</f>
        <v>علي</v>
      </c>
      <c r="C1054" s="1" t="str">
        <f>"نعمتي"</f>
        <v>نعمتي</v>
      </c>
      <c r="D1054" s="1" t="str">
        <f t="shared" si="113"/>
        <v>قراردادي بهره بردار</v>
      </c>
      <c r="E1054" s="1" t="str">
        <f t="shared" si="112"/>
        <v>پروژه تعميرات نيروگاه بوشهر</v>
      </c>
      <c r="F1054" s="1">
        <v>10677724</v>
      </c>
      <c r="G1054" s="1">
        <v>2929000</v>
      </c>
      <c r="H1054" s="1">
        <v>0</v>
      </c>
      <c r="I1054" s="1">
        <v>4737743</v>
      </c>
      <c r="J1054" s="1">
        <v>0</v>
      </c>
      <c r="K1054" s="1">
        <v>4125000</v>
      </c>
      <c r="L1054" s="1">
        <v>0</v>
      </c>
      <c r="M1054" s="1">
        <v>400000</v>
      </c>
      <c r="N1054" s="1">
        <v>1105702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1825870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789786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947745</v>
      </c>
      <c r="AM1054" s="1">
        <v>0</v>
      </c>
      <c r="AN1054" s="1">
        <v>28638570</v>
      </c>
      <c r="AO1054" s="1">
        <v>6010177</v>
      </c>
      <c r="AP1054" s="1">
        <v>22628393</v>
      </c>
      <c r="AQ1054" s="1">
        <v>5727714</v>
      </c>
      <c r="AR1054" s="1">
        <v>859157</v>
      </c>
      <c r="AS1054" s="1">
        <v>0</v>
      </c>
      <c r="AT1054" s="1">
        <f t="shared" si="111"/>
        <v>35225441</v>
      </c>
    </row>
    <row r="1055" spans="1:46">
      <c r="A1055" s="1" t="str">
        <f>"01337"</f>
        <v>01337</v>
      </c>
      <c r="B1055" s="1" t="str">
        <f>"محمد"</f>
        <v>محمد</v>
      </c>
      <c r="C1055" s="1" t="str">
        <f>"نوروزي"</f>
        <v>نوروزي</v>
      </c>
      <c r="D1055" s="1" t="str">
        <f t="shared" si="113"/>
        <v>قراردادي بهره بردار</v>
      </c>
      <c r="E1055" s="1" t="str">
        <f t="shared" si="112"/>
        <v>پروژه تعميرات نيروگاه بوشهر</v>
      </c>
      <c r="F1055" s="1">
        <v>7459591</v>
      </c>
      <c r="G1055" s="1">
        <v>2156842</v>
      </c>
      <c r="H1055" s="1">
        <v>0</v>
      </c>
      <c r="I1055" s="1">
        <v>3489493</v>
      </c>
      <c r="J1055" s="1">
        <v>0</v>
      </c>
      <c r="K1055" s="1">
        <v>3465000</v>
      </c>
      <c r="L1055" s="1">
        <v>0</v>
      </c>
      <c r="M1055" s="1">
        <v>400000</v>
      </c>
      <c r="N1055" s="1">
        <v>919641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1344525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656886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919641</v>
      </c>
      <c r="AM1055" s="1">
        <v>0</v>
      </c>
      <c r="AN1055" s="1">
        <v>21911619</v>
      </c>
      <c r="AO1055" s="1">
        <v>5855376</v>
      </c>
      <c r="AP1055" s="1">
        <v>16056243</v>
      </c>
      <c r="AQ1055" s="1">
        <v>4382324</v>
      </c>
      <c r="AR1055" s="1">
        <v>657349</v>
      </c>
      <c r="AS1055" s="1">
        <v>0</v>
      </c>
      <c r="AT1055" s="1">
        <f t="shared" si="111"/>
        <v>26951292</v>
      </c>
    </row>
    <row r="1056" spans="1:46">
      <c r="A1056" s="1" t="str">
        <f>"01338"</f>
        <v>01338</v>
      </c>
      <c r="B1056" s="1" t="str">
        <f>"عباس"</f>
        <v>عباس</v>
      </c>
      <c r="C1056" s="1" t="str">
        <f>"نياکان"</f>
        <v>نياکان</v>
      </c>
      <c r="D1056" s="1" t="str">
        <f t="shared" si="113"/>
        <v>قراردادي بهره بردار</v>
      </c>
      <c r="E1056" s="1" t="str">
        <f t="shared" si="112"/>
        <v>پروژه تعميرات نيروگاه بوشهر</v>
      </c>
      <c r="F1056" s="1">
        <v>11147581</v>
      </c>
      <c r="G1056" s="1">
        <v>3126503</v>
      </c>
      <c r="H1056" s="1">
        <v>0</v>
      </c>
      <c r="I1056" s="1">
        <v>5057211</v>
      </c>
      <c r="J1056" s="1">
        <v>0</v>
      </c>
      <c r="K1056" s="1">
        <v>4125000</v>
      </c>
      <c r="L1056" s="1">
        <v>0</v>
      </c>
      <c r="M1056" s="1">
        <v>400000</v>
      </c>
      <c r="N1056" s="1">
        <v>1277539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1948989</v>
      </c>
      <c r="W1056" s="1">
        <v>1100000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912527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1095033</v>
      </c>
      <c r="AM1056" s="1">
        <v>0</v>
      </c>
      <c r="AN1056" s="1">
        <v>30190383</v>
      </c>
      <c r="AO1056" s="1">
        <v>7532377</v>
      </c>
      <c r="AP1056" s="1">
        <v>22658006</v>
      </c>
      <c r="AQ1056" s="1">
        <v>6038077</v>
      </c>
      <c r="AR1056" s="1">
        <v>905711</v>
      </c>
      <c r="AS1056" s="1">
        <v>0</v>
      </c>
      <c r="AT1056" s="1">
        <f t="shared" si="111"/>
        <v>37134171</v>
      </c>
    </row>
    <row r="1057" spans="1:46">
      <c r="A1057" s="1" t="str">
        <f>"01339"</f>
        <v>01339</v>
      </c>
      <c r="B1057" s="1" t="str">
        <f>"جواد"</f>
        <v>جواد</v>
      </c>
      <c r="C1057" s="1" t="str">
        <f>"نيک پي"</f>
        <v>نيک پي</v>
      </c>
      <c r="D1057" s="1" t="str">
        <f t="shared" si="113"/>
        <v>قراردادي بهره بردار</v>
      </c>
      <c r="E1057" s="1" t="str">
        <f t="shared" si="112"/>
        <v>پروژه تعميرات نيروگاه بوشهر</v>
      </c>
      <c r="F1057" s="1">
        <v>7226374</v>
      </c>
      <c r="G1057" s="1">
        <v>1337070</v>
      </c>
      <c r="H1057" s="1">
        <v>0</v>
      </c>
      <c r="I1057" s="1">
        <v>3328010</v>
      </c>
      <c r="J1057" s="1">
        <v>0</v>
      </c>
      <c r="K1057" s="1">
        <v>3465000</v>
      </c>
      <c r="L1057" s="1">
        <v>0</v>
      </c>
      <c r="M1057" s="1">
        <v>400000</v>
      </c>
      <c r="N1057" s="1">
        <v>835823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1282305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597016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835823</v>
      </c>
      <c r="AM1057" s="1">
        <v>0</v>
      </c>
      <c r="AN1057" s="1">
        <v>20407421</v>
      </c>
      <c r="AO1057" s="1">
        <v>6390082</v>
      </c>
      <c r="AP1057" s="1">
        <v>14017339</v>
      </c>
      <c r="AQ1057" s="1">
        <v>4081484</v>
      </c>
      <c r="AR1057" s="1">
        <v>612223</v>
      </c>
      <c r="AS1057" s="1">
        <v>0</v>
      </c>
      <c r="AT1057" s="1">
        <f t="shared" si="111"/>
        <v>25101128</v>
      </c>
    </row>
    <row r="1058" spans="1:46">
      <c r="A1058" s="1" t="str">
        <f>"01340"</f>
        <v>01340</v>
      </c>
      <c r="B1058" s="1" t="str">
        <f>"فريبرز"</f>
        <v>فريبرز</v>
      </c>
      <c r="C1058" s="1" t="str">
        <f>"اشکني پور جفره"</f>
        <v>اشکني پور جفره</v>
      </c>
      <c r="D1058" s="1" t="str">
        <f>"قراردادي کارگري"</f>
        <v>قراردادي کارگري</v>
      </c>
      <c r="E1058" s="1" t="str">
        <f t="shared" si="112"/>
        <v>پروژه تعميرات نيروگاه بوشهر</v>
      </c>
      <c r="F1058" s="1">
        <v>5095350</v>
      </c>
      <c r="G1058" s="1">
        <v>1407863</v>
      </c>
      <c r="H1058" s="1">
        <v>0</v>
      </c>
      <c r="I1058" s="1">
        <v>3057210</v>
      </c>
      <c r="J1058" s="1">
        <v>0</v>
      </c>
      <c r="K1058" s="1">
        <v>0</v>
      </c>
      <c r="L1058" s="1">
        <v>3620700</v>
      </c>
      <c r="M1058" s="1">
        <v>400000</v>
      </c>
      <c r="N1058" s="1">
        <v>2717520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1599078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18997721</v>
      </c>
      <c r="AO1058" s="1">
        <v>2454737</v>
      </c>
      <c r="AP1058" s="1">
        <v>16542984</v>
      </c>
      <c r="AQ1058" s="1">
        <v>3799544</v>
      </c>
      <c r="AR1058" s="1">
        <v>569932</v>
      </c>
      <c r="AS1058" s="1">
        <v>265000</v>
      </c>
      <c r="AT1058" s="1">
        <f t="shared" si="111"/>
        <v>23632197</v>
      </c>
    </row>
    <row r="1059" spans="1:46">
      <c r="A1059" s="1" t="str">
        <f>"01341"</f>
        <v>01341</v>
      </c>
      <c r="B1059" s="1" t="str">
        <f>"محسن"</f>
        <v>محسن</v>
      </c>
      <c r="C1059" s="1" t="str">
        <f>"ابراهيمي"</f>
        <v>ابراهيمي</v>
      </c>
      <c r="D1059" s="1" t="str">
        <f t="shared" ref="D1059:D1100" si="114">"قراردادي بهره بردار"</f>
        <v>قراردادي بهره بردار</v>
      </c>
      <c r="E1059" s="1" t="str">
        <f t="shared" ref="E1059:E1066" si="115">"پروژه بهره برداري نيروگاه بوشهر"</f>
        <v>پروژه بهره برداري نيروگاه بوشهر</v>
      </c>
      <c r="F1059" s="1">
        <v>12302518</v>
      </c>
      <c r="G1059" s="1">
        <v>7985214</v>
      </c>
      <c r="H1059" s="1">
        <v>0</v>
      </c>
      <c r="I1059" s="1">
        <v>5866089</v>
      </c>
      <c r="J1059" s="1">
        <v>0</v>
      </c>
      <c r="K1059" s="1">
        <v>4125000</v>
      </c>
      <c r="L1059" s="1">
        <v>0</v>
      </c>
      <c r="M1059" s="1">
        <v>400000</v>
      </c>
      <c r="N1059" s="1">
        <v>1560208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2262635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1114434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1783095</v>
      </c>
      <c r="AM1059" s="1">
        <v>0</v>
      </c>
      <c r="AN1059" s="1">
        <v>38499193</v>
      </c>
      <c r="AO1059" s="1">
        <v>4652762</v>
      </c>
      <c r="AP1059" s="1">
        <v>33846431</v>
      </c>
      <c r="AQ1059" s="1">
        <v>7699839</v>
      </c>
      <c r="AR1059" s="1">
        <v>1154976</v>
      </c>
      <c r="AS1059" s="1">
        <v>0</v>
      </c>
      <c r="AT1059" s="1">
        <f t="shared" si="111"/>
        <v>47354008</v>
      </c>
    </row>
    <row r="1060" spans="1:46">
      <c r="A1060" s="1" t="str">
        <f>"01342"</f>
        <v>01342</v>
      </c>
      <c r="B1060" s="1" t="str">
        <f>"صادق"</f>
        <v>صادق</v>
      </c>
      <c r="C1060" s="1" t="str">
        <f>"احمدي حبيب آباد"</f>
        <v>احمدي حبيب آباد</v>
      </c>
      <c r="D1060" s="1" t="str">
        <f t="shared" si="114"/>
        <v>قراردادي بهره بردار</v>
      </c>
      <c r="E1060" s="1" t="str">
        <f t="shared" si="115"/>
        <v>پروژه بهره برداري نيروگاه بوشهر</v>
      </c>
      <c r="F1060" s="1">
        <v>7069687</v>
      </c>
      <c r="G1060" s="1">
        <v>1690803</v>
      </c>
      <c r="H1060" s="1">
        <v>0</v>
      </c>
      <c r="I1060" s="1">
        <v>3214836</v>
      </c>
      <c r="J1060" s="1">
        <v>0</v>
      </c>
      <c r="K1060" s="1">
        <v>3465000</v>
      </c>
      <c r="L1060" s="1">
        <v>0</v>
      </c>
      <c r="M1060" s="1">
        <v>400000</v>
      </c>
      <c r="N1060" s="1">
        <v>779416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1240008</v>
      </c>
      <c r="W1060" s="1">
        <v>1100000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556725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779416</v>
      </c>
      <c r="AM1060" s="1">
        <v>0</v>
      </c>
      <c r="AN1060" s="1">
        <v>20295891</v>
      </c>
      <c r="AO1060" s="1">
        <v>4697760</v>
      </c>
      <c r="AP1060" s="1">
        <v>15598131</v>
      </c>
      <c r="AQ1060" s="1">
        <v>4059178</v>
      </c>
      <c r="AR1060" s="1">
        <v>608877</v>
      </c>
      <c r="AS1060" s="1">
        <v>0</v>
      </c>
      <c r="AT1060" s="1">
        <f t="shared" si="111"/>
        <v>24963946</v>
      </c>
    </row>
    <row r="1061" spans="1:46">
      <c r="A1061" s="1" t="str">
        <f>"01343"</f>
        <v>01343</v>
      </c>
      <c r="B1061" s="1" t="str">
        <f>"مهدي"</f>
        <v>مهدي</v>
      </c>
      <c r="C1061" s="1" t="str">
        <f>"بنافي"</f>
        <v>بنافي</v>
      </c>
      <c r="D1061" s="1" t="str">
        <f t="shared" si="114"/>
        <v>قراردادي بهره بردار</v>
      </c>
      <c r="E1061" s="1" t="str">
        <f t="shared" si="115"/>
        <v>پروژه بهره برداري نيروگاه بوشهر</v>
      </c>
      <c r="F1061" s="1">
        <v>12129124</v>
      </c>
      <c r="G1061" s="1">
        <v>3184034</v>
      </c>
      <c r="H1061" s="1">
        <v>0</v>
      </c>
      <c r="I1061" s="1">
        <v>5717682</v>
      </c>
      <c r="J1061" s="1">
        <v>0</v>
      </c>
      <c r="K1061" s="1">
        <v>4125000</v>
      </c>
      <c r="L1061" s="1">
        <v>0</v>
      </c>
      <c r="M1061" s="1">
        <v>400000</v>
      </c>
      <c r="N1061" s="1">
        <v>1636099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2205392</v>
      </c>
      <c r="W1061" s="1">
        <v>1100000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1168642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1402370</v>
      </c>
      <c r="AM1061" s="1">
        <v>0</v>
      </c>
      <c r="AN1061" s="1">
        <v>33068343</v>
      </c>
      <c r="AO1061" s="1">
        <v>3743185</v>
      </c>
      <c r="AP1061" s="1">
        <v>29325158</v>
      </c>
      <c r="AQ1061" s="1">
        <v>6613669</v>
      </c>
      <c r="AR1061" s="1">
        <v>992050</v>
      </c>
      <c r="AS1061" s="1">
        <v>0</v>
      </c>
      <c r="AT1061" s="1">
        <f t="shared" si="111"/>
        <v>40674062</v>
      </c>
    </row>
    <row r="1062" spans="1:46">
      <c r="A1062" s="1" t="str">
        <f>"01344"</f>
        <v>01344</v>
      </c>
      <c r="B1062" s="1" t="str">
        <f>"جمشيد"</f>
        <v>جمشيد</v>
      </c>
      <c r="C1062" s="1" t="str">
        <f>"حيدري"</f>
        <v>حيدري</v>
      </c>
      <c r="D1062" s="1" t="str">
        <f t="shared" si="114"/>
        <v>قراردادي بهره بردار</v>
      </c>
      <c r="E1062" s="1" t="str">
        <f t="shared" si="115"/>
        <v>پروژه بهره برداري نيروگاه بوشهر</v>
      </c>
      <c r="F1062" s="1">
        <v>11203845</v>
      </c>
      <c r="G1062" s="1">
        <v>5020388</v>
      </c>
      <c r="H1062" s="1">
        <v>0</v>
      </c>
      <c r="I1062" s="1">
        <v>5409172</v>
      </c>
      <c r="J1062" s="1">
        <v>0</v>
      </c>
      <c r="K1062" s="1">
        <v>5500000</v>
      </c>
      <c r="L1062" s="1">
        <v>0</v>
      </c>
      <c r="M1062" s="1">
        <v>400000</v>
      </c>
      <c r="N1062" s="1">
        <v>1305110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2086395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932222</v>
      </c>
      <c r="AF1062" s="1">
        <v>1111269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2013599</v>
      </c>
      <c r="AM1062" s="1">
        <v>0</v>
      </c>
      <c r="AN1062" s="1">
        <v>36082000</v>
      </c>
      <c r="AO1062" s="1">
        <v>4835618</v>
      </c>
      <c r="AP1062" s="1">
        <v>31246382</v>
      </c>
      <c r="AQ1062" s="1">
        <v>6994146</v>
      </c>
      <c r="AR1062" s="1">
        <v>1049122</v>
      </c>
      <c r="AS1062" s="1">
        <v>0</v>
      </c>
      <c r="AT1062" s="1">
        <f t="shared" si="111"/>
        <v>44125268</v>
      </c>
    </row>
    <row r="1063" spans="1:46">
      <c r="A1063" s="1" t="str">
        <f>"01345"</f>
        <v>01345</v>
      </c>
      <c r="B1063" s="1" t="str">
        <f>"وحيد"</f>
        <v>وحيد</v>
      </c>
      <c r="C1063" s="1" t="str">
        <f>"حياتي جعفر بيگي"</f>
        <v>حياتي جعفر بيگي</v>
      </c>
      <c r="D1063" s="1" t="str">
        <f t="shared" si="114"/>
        <v>قراردادي بهره بردار</v>
      </c>
      <c r="E1063" s="1" t="str">
        <f t="shared" si="115"/>
        <v>پروژه بهره برداري نيروگاه بوشهر</v>
      </c>
      <c r="F1063" s="1">
        <v>10813007</v>
      </c>
      <c r="G1063" s="1">
        <v>3822736</v>
      </c>
      <c r="H1063" s="1">
        <v>0</v>
      </c>
      <c r="I1063" s="1">
        <v>4942528</v>
      </c>
      <c r="J1063" s="1">
        <v>0</v>
      </c>
      <c r="K1063" s="1">
        <v>4125000</v>
      </c>
      <c r="L1063" s="1">
        <v>0</v>
      </c>
      <c r="M1063" s="1">
        <v>400000</v>
      </c>
      <c r="N1063" s="1">
        <v>1157975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1906404</v>
      </c>
      <c r="W1063" s="1">
        <v>1100000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827126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1323400</v>
      </c>
      <c r="AM1063" s="1">
        <v>0</v>
      </c>
      <c r="AN1063" s="1">
        <v>30418176</v>
      </c>
      <c r="AO1063" s="1">
        <v>5597787</v>
      </c>
      <c r="AP1063" s="1">
        <v>24820389</v>
      </c>
      <c r="AQ1063" s="1">
        <v>6083635</v>
      </c>
      <c r="AR1063" s="1">
        <v>912545</v>
      </c>
      <c r="AS1063" s="1">
        <v>0</v>
      </c>
      <c r="AT1063" s="1">
        <f t="shared" si="111"/>
        <v>37414356</v>
      </c>
    </row>
    <row r="1064" spans="1:46">
      <c r="A1064" s="1" t="str">
        <f>"01346"</f>
        <v>01346</v>
      </c>
      <c r="B1064" s="1" t="str">
        <f>"عيسي"</f>
        <v>عيسي</v>
      </c>
      <c r="C1064" s="1" t="str">
        <f>"قاسمي"</f>
        <v>قاسمي</v>
      </c>
      <c r="D1064" s="1" t="str">
        <f t="shared" si="114"/>
        <v>قراردادي بهره بردار</v>
      </c>
      <c r="E1064" s="1" t="str">
        <f t="shared" si="115"/>
        <v>پروژه بهره برداري نيروگاه بوشهر</v>
      </c>
      <c r="F1064" s="1">
        <v>7905088</v>
      </c>
      <c r="G1064" s="1">
        <v>0</v>
      </c>
      <c r="H1064" s="1">
        <v>0</v>
      </c>
      <c r="I1064" s="1">
        <v>4232958</v>
      </c>
      <c r="J1064" s="1">
        <v>0</v>
      </c>
      <c r="K1064" s="1">
        <v>4620000</v>
      </c>
      <c r="L1064" s="1">
        <v>0</v>
      </c>
      <c r="M1064" s="1">
        <v>400000</v>
      </c>
      <c r="N1064" s="1">
        <v>1086058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1632713</v>
      </c>
      <c r="W1064" s="1">
        <v>1100000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775755</v>
      </c>
      <c r="AF1064" s="1">
        <v>1111269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2327266</v>
      </c>
      <c r="AM1064" s="1">
        <v>0</v>
      </c>
      <c r="AN1064" s="1">
        <v>25191107</v>
      </c>
      <c r="AO1064" s="1">
        <v>4484993</v>
      </c>
      <c r="AP1064" s="1">
        <v>20706114</v>
      </c>
      <c r="AQ1064" s="1">
        <v>4815968</v>
      </c>
      <c r="AR1064" s="1">
        <v>722395</v>
      </c>
      <c r="AS1064" s="1">
        <v>0</v>
      </c>
      <c r="AT1064" s="1">
        <f t="shared" si="111"/>
        <v>30729470</v>
      </c>
    </row>
    <row r="1065" spans="1:46">
      <c r="A1065" s="1" t="str">
        <f>"01347"</f>
        <v>01347</v>
      </c>
      <c r="B1065" s="1" t="str">
        <f>"مسعود"</f>
        <v>مسعود</v>
      </c>
      <c r="C1065" s="1" t="str">
        <f>"گلرخ"</f>
        <v>گلرخ</v>
      </c>
      <c r="D1065" s="1" t="str">
        <f t="shared" si="114"/>
        <v>قراردادي بهره بردار</v>
      </c>
      <c r="E1065" s="1" t="str">
        <f t="shared" si="115"/>
        <v>پروژه بهره برداري نيروگاه بوشهر</v>
      </c>
      <c r="F1065" s="1">
        <v>8472707</v>
      </c>
      <c r="G1065" s="1">
        <v>7284106</v>
      </c>
      <c r="H1065" s="1">
        <v>0</v>
      </c>
      <c r="I1065" s="1">
        <v>4708917</v>
      </c>
      <c r="J1065" s="1">
        <v>0</v>
      </c>
      <c r="K1065" s="1">
        <v>4620000</v>
      </c>
      <c r="L1065" s="1">
        <v>0</v>
      </c>
      <c r="M1065" s="1">
        <v>400000</v>
      </c>
      <c r="N1065" s="1">
        <v>1291459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1816296</v>
      </c>
      <c r="W1065" s="1">
        <v>1100000</v>
      </c>
      <c r="X1065" s="1">
        <v>1270906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922470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2767412</v>
      </c>
      <c r="AM1065" s="1">
        <v>0</v>
      </c>
      <c r="AN1065" s="1">
        <v>34654273</v>
      </c>
      <c r="AO1065" s="1">
        <v>8195931</v>
      </c>
      <c r="AP1065" s="1">
        <v>26458342</v>
      </c>
      <c r="AQ1065" s="1">
        <v>6930855</v>
      </c>
      <c r="AR1065" s="1">
        <v>1039628</v>
      </c>
      <c r="AS1065" s="1">
        <v>0</v>
      </c>
      <c r="AT1065" s="1">
        <f t="shared" si="111"/>
        <v>42624756</v>
      </c>
    </row>
    <row r="1066" spans="1:46">
      <c r="A1066" s="1" t="str">
        <f>"01348"</f>
        <v>01348</v>
      </c>
      <c r="B1066" s="1" t="str">
        <f>"مهران"</f>
        <v>مهران</v>
      </c>
      <c r="C1066" s="1" t="str">
        <f>"منصوري نيا"</f>
        <v>منصوري نيا</v>
      </c>
      <c r="D1066" s="1" t="str">
        <f t="shared" si="114"/>
        <v>قراردادي بهره بردار</v>
      </c>
      <c r="E1066" s="1" t="str">
        <f t="shared" si="115"/>
        <v>پروژه بهره برداري نيروگاه بوشهر</v>
      </c>
      <c r="F1066" s="1">
        <v>11065233</v>
      </c>
      <c r="G1066" s="1">
        <v>3130326</v>
      </c>
      <c r="H1066" s="1">
        <v>0</v>
      </c>
      <c r="I1066" s="1">
        <v>5059112</v>
      </c>
      <c r="J1066" s="1">
        <v>0</v>
      </c>
      <c r="K1066" s="1">
        <v>4125000</v>
      </c>
      <c r="L1066" s="1">
        <v>0</v>
      </c>
      <c r="M1066" s="1">
        <v>400000</v>
      </c>
      <c r="N1066" s="1">
        <v>1248717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1951372</v>
      </c>
      <c r="W1066" s="1">
        <v>1100000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891941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1248717</v>
      </c>
      <c r="AM1066" s="1">
        <v>0</v>
      </c>
      <c r="AN1066" s="1">
        <v>30220418</v>
      </c>
      <c r="AO1066" s="1">
        <v>3912757</v>
      </c>
      <c r="AP1066" s="1">
        <v>26307661</v>
      </c>
      <c r="AQ1066" s="1">
        <v>6044084</v>
      </c>
      <c r="AR1066" s="1">
        <v>906613</v>
      </c>
      <c r="AS1066" s="1">
        <v>0</v>
      </c>
      <c r="AT1066" s="1">
        <f t="shared" si="111"/>
        <v>37171115</v>
      </c>
    </row>
    <row r="1067" spans="1:46">
      <c r="A1067" s="1" t="str">
        <f>"01349"</f>
        <v>01349</v>
      </c>
      <c r="B1067" s="1" t="str">
        <f>"روزبه"</f>
        <v>روزبه</v>
      </c>
      <c r="C1067" s="1" t="str">
        <f>"محمدي"</f>
        <v>محمدي</v>
      </c>
      <c r="D1067" s="1" t="str">
        <f t="shared" si="114"/>
        <v>قراردادي بهره بردار</v>
      </c>
      <c r="E1067" s="1" t="str">
        <f>"پروژه تعميرات نيروگاه بوشهر"</f>
        <v>پروژه تعميرات نيروگاه بوشهر</v>
      </c>
      <c r="F1067" s="1">
        <v>10647993</v>
      </c>
      <c r="G1067" s="1">
        <v>1457881</v>
      </c>
      <c r="H1067" s="1">
        <v>0</v>
      </c>
      <c r="I1067" s="1">
        <v>4712341</v>
      </c>
      <c r="J1067" s="1">
        <v>0</v>
      </c>
      <c r="K1067" s="1">
        <v>4125000</v>
      </c>
      <c r="L1067" s="1">
        <v>0</v>
      </c>
      <c r="M1067" s="1">
        <v>400000</v>
      </c>
      <c r="N1067" s="1">
        <v>1095050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1817617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782178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938614</v>
      </c>
      <c r="AM1067" s="1">
        <v>0</v>
      </c>
      <c r="AN1067" s="1">
        <v>27076674</v>
      </c>
      <c r="AO1067" s="1">
        <v>3036585</v>
      </c>
      <c r="AP1067" s="1">
        <v>24040089</v>
      </c>
      <c r="AQ1067" s="1">
        <v>5415335</v>
      </c>
      <c r="AR1067" s="1">
        <v>812300</v>
      </c>
      <c r="AS1067" s="1">
        <v>0</v>
      </c>
      <c r="AT1067" s="1">
        <f t="shared" si="111"/>
        <v>33304309</v>
      </c>
    </row>
    <row r="1068" spans="1:46">
      <c r="A1068" s="1" t="str">
        <f>"01350"</f>
        <v>01350</v>
      </c>
      <c r="B1068" s="1" t="str">
        <f>"صياد"</f>
        <v>صياد</v>
      </c>
      <c r="C1068" s="1" t="str">
        <f>"شريفي"</f>
        <v>شريفي</v>
      </c>
      <c r="D1068" s="1" t="str">
        <f t="shared" si="114"/>
        <v>قراردادي بهره بردار</v>
      </c>
      <c r="E1068" s="1" t="str">
        <f t="shared" ref="E1068:E1100" si="116">"پروژه بهره برداري نيروگاه بوشهر"</f>
        <v>پروژه بهره برداري نيروگاه بوشهر</v>
      </c>
      <c r="F1068" s="1">
        <v>10965188</v>
      </c>
      <c r="G1068" s="1">
        <v>2616902</v>
      </c>
      <c r="H1068" s="1">
        <v>0</v>
      </c>
      <c r="I1068" s="1">
        <v>5110250</v>
      </c>
      <c r="J1068" s="1">
        <v>0</v>
      </c>
      <c r="K1068" s="1">
        <v>5500000</v>
      </c>
      <c r="L1068" s="1">
        <v>0</v>
      </c>
      <c r="M1068" s="1">
        <v>400000</v>
      </c>
      <c r="N1068" s="1">
        <v>1211977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1919195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865698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1038838</v>
      </c>
      <c r="AM1068" s="1">
        <v>0</v>
      </c>
      <c r="AN1068" s="1">
        <v>30728048</v>
      </c>
      <c r="AO1068" s="1">
        <v>3352823</v>
      </c>
      <c r="AP1068" s="1">
        <v>27375225</v>
      </c>
      <c r="AQ1068" s="1">
        <v>6145610</v>
      </c>
      <c r="AR1068" s="1">
        <v>921841</v>
      </c>
      <c r="AS1068" s="1">
        <v>0</v>
      </c>
      <c r="AT1068" s="1">
        <f t="shared" si="111"/>
        <v>37795499</v>
      </c>
    </row>
    <row r="1069" spans="1:46">
      <c r="A1069" s="1" t="str">
        <f>"01351"</f>
        <v>01351</v>
      </c>
      <c r="B1069" s="1" t="str">
        <f>"رضا"</f>
        <v>رضا</v>
      </c>
      <c r="C1069" s="1" t="str">
        <f>"ثابت سروستاني"</f>
        <v>ثابت سروستاني</v>
      </c>
      <c r="D1069" s="1" t="str">
        <f t="shared" si="114"/>
        <v>قراردادي بهره بردار</v>
      </c>
      <c r="E1069" s="1" t="str">
        <f t="shared" si="116"/>
        <v>پروژه بهره برداري نيروگاه بوشهر</v>
      </c>
      <c r="F1069" s="1">
        <v>7243193</v>
      </c>
      <c r="G1069" s="1">
        <v>825385</v>
      </c>
      <c r="H1069" s="1">
        <v>0</v>
      </c>
      <c r="I1069" s="1">
        <v>3334890</v>
      </c>
      <c r="J1069" s="1">
        <v>0</v>
      </c>
      <c r="K1069" s="1">
        <v>3465000</v>
      </c>
      <c r="L1069" s="1">
        <v>0</v>
      </c>
      <c r="M1069" s="1">
        <v>400000</v>
      </c>
      <c r="N1069" s="1">
        <v>841866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1286314</v>
      </c>
      <c r="W1069" s="1">
        <v>1100000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601333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841866</v>
      </c>
      <c r="AM1069" s="1">
        <v>0</v>
      </c>
      <c r="AN1069" s="1">
        <v>19939847</v>
      </c>
      <c r="AO1069" s="1">
        <v>2290686</v>
      </c>
      <c r="AP1069" s="1">
        <v>17649161</v>
      </c>
      <c r="AQ1069" s="1">
        <v>3987969</v>
      </c>
      <c r="AR1069" s="1">
        <v>598195</v>
      </c>
      <c r="AS1069" s="1">
        <v>0</v>
      </c>
      <c r="AT1069" s="1">
        <f t="shared" si="111"/>
        <v>24526011</v>
      </c>
    </row>
    <row r="1070" spans="1:46">
      <c r="A1070" s="1" t="str">
        <f>"01352"</f>
        <v>01352</v>
      </c>
      <c r="B1070" s="1" t="str">
        <f>"امير"</f>
        <v>امير</v>
      </c>
      <c r="C1070" s="1" t="str">
        <f>"حسينلو"</f>
        <v>حسينلو</v>
      </c>
      <c r="D1070" s="1" t="str">
        <f t="shared" si="114"/>
        <v>قراردادي بهره بردار</v>
      </c>
      <c r="E1070" s="1" t="str">
        <f t="shared" si="116"/>
        <v>پروژه بهره برداري نيروگاه بوشهر</v>
      </c>
      <c r="F1070" s="1">
        <v>6991229</v>
      </c>
      <c r="G1070" s="1">
        <v>977793</v>
      </c>
      <c r="H1070" s="1">
        <v>0</v>
      </c>
      <c r="I1070" s="1">
        <v>3160545</v>
      </c>
      <c r="J1070" s="1">
        <v>0</v>
      </c>
      <c r="K1070" s="1">
        <v>3465000</v>
      </c>
      <c r="L1070" s="1">
        <v>0</v>
      </c>
      <c r="M1070" s="1">
        <v>400000</v>
      </c>
      <c r="N1070" s="1">
        <v>751173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1219067</v>
      </c>
      <c r="W1070" s="1">
        <v>1100000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536552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751173</v>
      </c>
      <c r="AM1070" s="1">
        <v>0</v>
      </c>
      <c r="AN1070" s="1">
        <v>19352532</v>
      </c>
      <c r="AO1070" s="1">
        <v>2249574</v>
      </c>
      <c r="AP1070" s="1">
        <v>17102958</v>
      </c>
      <c r="AQ1070" s="1">
        <v>3870506</v>
      </c>
      <c r="AR1070" s="1">
        <v>580576</v>
      </c>
      <c r="AS1070" s="1">
        <v>0</v>
      </c>
      <c r="AT1070" s="1">
        <f t="shared" si="111"/>
        <v>23803614</v>
      </c>
    </row>
    <row r="1071" spans="1:46">
      <c r="A1071" s="1" t="str">
        <f>"01353"</f>
        <v>01353</v>
      </c>
      <c r="B1071" s="1" t="str">
        <f>"مجتبي"</f>
        <v>مجتبي</v>
      </c>
      <c r="C1071" s="1" t="str">
        <f>"چکي"</f>
        <v>چکي</v>
      </c>
      <c r="D1071" s="1" t="str">
        <f t="shared" si="114"/>
        <v>قراردادي بهره بردار</v>
      </c>
      <c r="E1071" s="1" t="str">
        <f t="shared" si="116"/>
        <v>پروژه بهره برداري نيروگاه بوشهر</v>
      </c>
      <c r="F1071" s="1">
        <v>10447494</v>
      </c>
      <c r="G1071" s="1">
        <v>1698888</v>
      </c>
      <c r="H1071" s="1">
        <v>0</v>
      </c>
      <c r="I1071" s="1">
        <v>4576130</v>
      </c>
      <c r="J1071" s="1">
        <v>0</v>
      </c>
      <c r="K1071" s="1">
        <v>4125000</v>
      </c>
      <c r="L1071" s="1">
        <v>0</v>
      </c>
      <c r="M1071" s="1">
        <v>400000</v>
      </c>
      <c r="N1071" s="1">
        <v>1021674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1765079</v>
      </c>
      <c r="W1071" s="1">
        <v>1100000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729768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875721</v>
      </c>
      <c r="AM1071" s="1">
        <v>0</v>
      </c>
      <c r="AN1071" s="1">
        <v>26739754</v>
      </c>
      <c r="AO1071" s="1">
        <v>2671194</v>
      </c>
      <c r="AP1071" s="1">
        <v>24068560</v>
      </c>
      <c r="AQ1071" s="1">
        <v>5347951</v>
      </c>
      <c r="AR1071" s="1">
        <v>802193</v>
      </c>
      <c r="AS1071" s="1">
        <v>0</v>
      </c>
      <c r="AT1071" s="1">
        <f t="shared" si="111"/>
        <v>32889898</v>
      </c>
    </row>
    <row r="1072" spans="1:46">
      <c r="A1072" s="1" t="str">
        <f>"01354"</f>
        <v>01354</v>
      </c>
      <c r="B1072" s="1" t="str">
        <f>"ايمان"</f>
        <v>ايمان</v>
      </c>
      <c r="C1072" s="1" t="str">
        <f>"زردپور"</f>
        <v>زردپور</v>
      </c>
      <c r="D1072" s="1" t="str">
        <f t="shared" si="114"/>
        <v>قراردادي بهره بردار</v>
      </c>
      <c r="E1072" s="1" t="str">
        <f t="shared" si="116"/>
        <v>پروژه بهره برداري نيروگاه بوشهر</v>
      </c>
      <c r="F1072" s="1">
        <v>11203893</v>
      </c>
      <c r="G1072" s="1">
        <v>160537</v>
      </c>
      <c r="H1072" s="1">
        <v>0</v>
      </c>
      <c r="I1072" s="1">
        <v>5189061</v>
      </c>
      <c r="J1072" s="1">
        <v>0</v>
      </c>
      <c r="K1072" s="1">
        <v>5500000</v>
      </c>
      <c r="L1072" s="1">
        <v>0</v>
      </c>
      <c r="M1072" s="1">
        <v>400000</v>
      </c>
      <c r="N1072" s="1">
        <v>1300203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2001494</v>
      </c>
      <c r="W1072" s="1">
        <v>1100000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928717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1393074</v>
      </c>
      <c r="AM1072" s="1">
        <v>0</v>
      </c>
      <c r="AN1072" s="1">
        <v>29176979</v>
      </c>
      <c r="AO1072" s="1">
        <v>3089437</v>
      </c>
      <c r="AP1072" s="1">
        <v>26087542</v>
      </c>
      <c r="AQ1072" s="1">
        <v>5835396</v>
      </c>
      <c r="AR1072" s="1">
        <v>875309</v>
      </c>
      <c r="AS1072" s="1">
        <v>0</v>
      </c>
      <c r="AT1072" s="1">
        <f t="shared" si="111"/>
        <v>35887684</v>
      </c>
    </row>
    <row r="1073" spans="1:46">
      <c r="A1073" s="1" t="str">
        <f>"01355"</f>
        <v>01355</v>
      </c>
      <c r="B1073" s="1" t="str">
        <f>"حسن"</f>
        <v>حسن</v>
      </c>
      <c r="C1073" s="1" t="str">
        <f>"مشتاقي"</f>
        <v>مشتاقي</v>
      </c>
      <c r="D1073" s="1" t="str">
        <f t="shared" si="114"/>
        <v>قراردادي بهره بردار</v>
      </c>
      <c r="E1073" s="1" t="str">
        <f t="shared" si="116"/>
        <v>پروژه بهره برداري نيروگاه بوشهر</v>
      </c>
      <c r="F1073" s="1">
        <v>7688302</v>
      </c>
      <c r="G1073" s="1">
        <v>1126958</v>
      </c>
      <c r="H1073" s="1">
        <v>0</v>
      </c>
      <c r="I1073" s="1">
        <v>3642694</v>
      </c>
      <c r="J1073" s="1">
        <v>0</v>
      </c>
      <c r="K1073" s="1">
        <v>3465000</v>
      </c>
      <c r="L1073" s="1">
        <v>0</v>
      </c>
      <c r="M1073" s="1">
        <v>400000</v>
      </c>
      <c r="N1073" s="1">
        <v>1001882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1405040</v>
      </c>
      <c r="W1073" s="1">
        <v>1100000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715630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1001882</v>
      </c>
      <c r="AM1073" s="1">
        <v>0</v>
      </c>
      <c r="AN1073" s="1">
        <v>21547388</v>
      </c>
      <c r="AO1073" s="1">
        <v>2557881</v>
      </c>
      <c r="AP1073" s="1">
        <v>18989507</v>
      </c>
      <c r="AQ1073" s="1">
        <v>4309478</v>
      </c>
      <c r="AR1073" s="1">
        <v>646422</v>
      </c>
      <c r="AS1073" s="1">
        <v>0</v>
      </c>
      <c r="AT1073" s="1">
        <f t="shared" si="111"/>
        <v>26503288</v>
      </c>
    </row>
    <row r="1074" spans="1:46">
      <c r="A1074" s="1" t="str">
        <f>"01356"</f>
        <v>01356</v>
      </c>
      <c r="B1074" s="1" t="str">
        <f>"يداله"</f>
        <v>يداله</v>
      </c>
      <c r="C1074" s="1" t="str">
        <f>"ابوعلي نژاد"</f>
        <v>ابوعلي نژاد</v>
      </c>
      <c r="D1074" s="1" t="str">
        <f t="shared" si="114"/>
        <v>قراردادي بهره بردار</v>
      </c>
      <c r="E1074" s="1" t="str">
        <f t="shared" si="116"/>
        <v>پروژه بهره برداري نيروگاه بوشهر</v>
      </c>
      <c r="F1074" s="1">
        <v>7338206</v>
      </c>
      <c r="G1074" s="1">
        <v>736449</v>
      </c>
      <c r="H1074" s="1">
        <v>0</v>
      </c>
      <c r="I1074" s="1">
        <v>3400630</v>
      </c>
      <c r="J1074" s="1">
        <v>0</v>
      </c>
      <c r="K1074" s="1">
        <v>9702000</v>
      </c>
      <c r="L1074" s="1">
        <v>0</v>
      </c>
      <c r="M1074" s="1">
        <v>400000</v>
      </c>
      <c r="N1074" s="1">
        <v>876061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1311671</v>
      </c>
      <c r="W1074" s="1">
        <v>1100000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625757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876061</v>
      </c>
      <c r="AM1074" s="1">
        <v>0</v>
      </c>
      <c r="AN1074" s="1">
        <v>26366835</v>
      </c>
      <c r="AO1074" s="1">
        <v>2440575</v>
      </c>
      <c r="AP1074" s="1">
        <v>23926260</v>
      </c>
      <c r="AQ1074" s="1">
        <v>5273367</v>
      </c>
      <c r="AR1074" s="1">
        <v>791005</v>
      </c>
      <c r="AS1074" s="1">
        <v>0</v>
      </c>
      <c r="AT1074" s="1">
        <f t="shared" si="111"/>
        <v>32431207</v>
      </c>
    </row>
    <row r="1075" spans="1:46">
      <c r="A1075" s="1" t="str">
        <f>"01357"</f>
        <v>01357</v>
      </c>
      <c r="B1075" s="1" t="str">
        <f>"پيمان"</f>
        <v>پيمان</v>
      </c>
      <c r="C1075" s="1" t="str">
        <f>"سلحشوري"</f>
        <v>سلحشوري</v>
      </c>
      <c r="D1075" s="1" t="str">
        <f t="shared" si="114"/>
        <v>قراردادي بهره بردار</v>
      </c>
      <c r="E1075" s="1" t="str">
        <f t="shared" si="116"/>
        <v>پروژه بهره برداري نيروگاه بوشهر</v>
      </c>
      <c r="F1075" s="1">
        <v>11448622</v>
      </c>
      <c r="G1075" s="1">
        <v>1636161</v>
      </c>
      <c r="H1075" s="1">
        <v>0</v>
      </c>
      <c r="I1075" s="1">
        <v>5380933</v>
      </c>
      <c r="J1075" s="1">
        <v>0</v>
      </c>
      <c r="K1075" s="1">
        <v>14014000</v>
      </c>
      <c r="L1075" s="1">
        <v>0</v>
      </c>
      <c r="M1075" s="1">
        <v>400000</v>
      </c>
      <c r="N1075" s="1">
        <v>1388074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2039889</v>
      </c>
      <c r="W1075" s="1">
        <v>1100000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991482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1189777</v>
      </c>
      <c r="AM1075" s="1">
        <v>0</v>
      </c>
      <c r="AN1075" s="1">
        <v>39588938</v>
      </c>
      <c r="AO1075" s="1">
        <v>4839047</v>
      </c>
      <c r="AP1075" s="1">
        <v>34749891</v>
      </c>
      <c r="AQ1075" s="1">
        <v>7917788</v>
      </c>
      <c r="AR1075" s="1">
        <v>1187668</v>
      </c>
      <c r="AS1075" s="1">
        <v>0</v>
      </c>
      <c r="AT1075" s="1">
        <f t="shared" si="111"/>
        <v>48694394</v>
      </c>
    </row>
    <row r="1076" spans="1:46">
      <c r="A1076" s="1" t="str">
        <f>"01358"</f>
        <v>01358</v>
      </c>
      <c r="B1076" s="1" t="str">
        <f>"محمود"</f>
        <v>محمود</v>
      </c>
      <c r="C1076" s="1" t="str">
        <f>"دشتي"</f>
        <v>دشتي</v>
      </c>
      <c r="D1076" s="1" t="str">
        <f t="shared" si="114"/>
        <v>قراردادي بهره بردار</v>
      </c>
      <c r="E1076" s="1" t="str">
        <f t="shared" si="116"/>
        <v>پروژه بهره برداري نيروگاه بوشهر</v>
      </c>
      <c r="F1076" s="1">
        <v>7056724</v>
      </c>
      <c r="G1076" s="1">
        <v>0</v>
      </c>
      <c r="H1076" s="1">
        <v>0</v>
      </c>
      <c r="I1076" s="1">
        <v>3205839</v>
      </c>
      <c r="J1076" s="1">
        <v>0</v>
      </c>
      <c r="K1076" s="1">
        <v>4620000</v>
      </c>
      <c r="L1076" s="1">
        <v>0</v>
      </c>
      <c r="M1076" s="1">
        <v>400000</v>
      </c>
      <c r="N1076" s="1">
        <v>774722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1236538</v>
      </c>
      <c r="W1076" s="1">
        <v>1100000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553373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774722</v>
      </c>
      <c r="AM1076" s="1">
        <v>0</v>
      </c>
      <c r="AN1076" s="1">
        <v>19721918</v>
      </c>
      <c r="AO1076" s="1">
        <v>1975431</v>
      </c>
      <c r="AP1076" s="1">
        <v>17746487</v>
      </c>
      <c r="AQ1076" s="1">
        <v>3944384</v>
      </c>
      <c r="AR1076" s="1">
        <v>591658</v>
      </c>
      <c r="AS1076" s="1">
        <v>0</v>
      </c>
      <c r="AT1076" s="1">
        <f t="shared" si="111"/>
        <v>24257960</v>
      </c>
    </row>
    <row r="1077" spans="1:46">
      <c r="A1077" s="1" t="str">
        <f>"01359"</f>
        <v>01359</v>
      </c>
      <c r="B1077" s="1" t="str">
        <f>"مسعود"</f>
        <v>مسعود</v>
      </c>
      <c r="C1077" s="1" t="str">
        <f>"محسني بناري"</f>
        <v>محسني بناري</v>
      </c>
      <c r="D1077" s="1" t="str">
        <f t="shared" si="114"/>
        <v>قراردادي بهره بردار</v>
      </c>
      <c r="E1077" s="1" t="str">
        <f t="shared" si="116"/>
        <v>پروژه بهره برداري نيروگاه بوشهر</v>
      </c>
      <c r="F1077" s="1">
        <v>7026252</v>
      </c>
      <c r="G1077" s="1">
        <v>295598</v>
      </c>
      <c r="H1077" s="1">
        <v>0</v>
      </c>
      <c r="I1077" s="1">
        <v>3184894</v>
      </c>
      <c r="J1077" s="1">
        <v>0</v>
      </c>
      <c r="K1077" s="1">
        <v>3465000</v>
      </c>
      <c r="L1077" s="1">
        <v>0</v>
      </c>
      <c r="M1077" s="1">
        <v>400000</v>
      </c>
      <c r="N1077" s="1">
        <v>763901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1228459</v>
      </c>
      <c r="W1077" s="1">
        <v>1100000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545643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763901</v>
      </c>
      <c r="AM1077" s="1">
        <v>0</v>
      </c>
      <c r="AN1077" s="1">
        <v>18773648</v>
      </c>
      <c r="AO1077" s="1">
        <v>2321788</v>
      </c>
      <c r="AP1077" s="1">
        <v>16451860</v>
      </c>
      <c r="AQ1077" s="1">
        <v>3754730</v>
      </c>
      <c r="AR1077" s="1">
        <v>563209</v>
      </c>
      <c r="AS1077" s="1">
        <v>0</v>
      </c>
      <c r="AT1077" s="1">
        <f t="shared" si="111"/>
        <v>23091587</v>
      </c>
    </row>
    <row r="1078" spans="1:46">
      <c r="A1078" s="1" t="str">
        <f>"01361"</f>
        <v>01361</v>
      </c>
      <c r="B1078" s="1" t="str">
        <f>"عباس"</f>
        <v>عباس</v>
      </c>
      <c r="C1078" s="1" t="str">
        <f>"فولادي"</f>
        <v>فولادي</v>
      </c>
      <c r="D1078" s="1" t="str">
        <f t="shared" si="114"/>
        <v>قراردادي بهره بردار</v>
      </c>
      <c r="E1078" s="1" t="str">
        <f t="shared" si="116"/>
        <v>پروژه بهره برداري نيروگاه بوشهر</v>
      </c>
      <c r="F1078" s="1">
        <v>7539543</v>
      </c>
      <c r="G1078" s="1">
        <v>0</v>
      </c>
      <c r="H1078" s="1">
        <v>0</v>
      </c>
      <c r="I1078" s="1">
        <v>3539826</v>
      </c>
      <c r="J1078" s="1">
        <v>0</v>
      </c>
      <c r="K1078" s="1">
        <v>4620000</v>
      </c>
      <c r="L1078" s="1">
        <v>0</v>
      </c>
      <c r="M1078" s="1">
        <v>400000</v>
      </c>
      <c r="N1078" s="1">
        <v>948407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1365362</v>
      </c>
      <c r="W1078" s="1">
        <v>1100000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677434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948407</v>
      </c>
      <c r="AM1078" s="1">
        <v>0</v>
      </c>
      <c r="AN1078" s="1">
        <v>21138979</v>
      </c>
      <c r="AO1078" s="1">
        <v>2074626</v>
      </c>
      <c r="AP1078" s="1">
        <v>19064353</v>
      </c>
      <c r="AQ1078" s="1">
        <v>4227796</v>
      </c>
      <c r="AR1078" s="1">
        <v>634169</v>
      </c>
      <c r="AS1078" s="1">
        <v>0</v>
      </c>
      <c r="AT1078" s="1">
        <f t="shared" si="111"/>
        <v>26000944</v>
      </c>
    </row>
    <row r="1079" spans="1:46">
      <c r="A1079" s="1" t="str">
        <f>"01362"</f>
        <v>01362</v>
      </c>
      <c r="B1079" s="1" t="str">
        <f>"حسين"</f>
        <v>حسين</v>
      </c>
      <c r="C1079" s="1" t="str">
        <f>"زارعي"</f>
        <v>زارعي</v>
      </c>
      <c r="D1079" s="1" t="str">
        <f t="shared" si="114"/>
        <v>قراردادي بهره بردار</v>
      </c>
      <c r="E1079" s="1" t="str">
        <f t="shared" si="116"/>
        <v>پروژه بهره برداري نيروگاه بوشهر</v>
      </c>
      <c r="F1079" s="1">
        <v>7145463</v>
      </c>
      <c r="G1079" s="1">
        <v>1217891</v>
      </c>
      <c r="H1079" s="1">
        <v>0</v>
      </c>
      <c r="I1079" s="1">
        <v>3317858</v>
      </c>
      <c r="J1079" s="1">
        <v>0</v>
      </c>
      <c r="K1079" s="1">
        <v>3465000</v>
      </c>
      <c r="L1079" s="1">
        <v>0</v>
      </c>
      <c r="M1079" s="1">
        <v>400000</v>
      </c>
      <c r="N1079" s="1">
        <v>806878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1265342</v>
      </c>
      <c r="W1079" s="1">
        <v>1100000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576341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806878</v>
      </c>
      <c r="AM1079" s="1">
        <v>0</v>
      </c>
      <c r="AN1079" s="1">
        <v>20101651</v>
      </c>
      <c r="AO1079" s="1">
        <v>2002013</v>
      </c>
      <c r="AP1079" s="1">
        <v>18099638</v>
      </c>
      <c r="AQ1079" s="1">
        <v>4020330</v>
      </c>
      <c r="AR1079" s="1">
        <v>603050</v>
      </c>
      <c r="AS1079" s="1">
        <v>0</v>
      </c>
      <c r="AT1079" s="1">
        <f t="shared" si="111"/>
        <v>24725031</v>
      </c>
    </row>
    <row r="1080" spans="1:46">
      <c r="A1080" s="1" t="str">
        <f>"01363"</f>
        <v>01363</v>
      </c>
      <c r="B1080" s="1" t="str">
        <f>"مازيار"</f>
        <v>مازيار</v>
      </c>
      <c r="C1080" s="1" t="str">
        <f>"پرواز"</f>
        <v>پرواز</v>
      </c>
      <c r="D1080" s="1" t="str">
        <f t="shared" si="114"/>
        <v>قراردادي بهره بردار</v>
      </c>
      <c r="E1080" s="1" t="str">
        <f t="shared" si="116"/>
        <v>پروژه بهره برداري نيروگاه بوشهر</v>
      </c>
      <c r="F1080" s="1">
        <v>7331118</v>
      </c>
      <c r="G1080" s="1">
        <v>0</v>
      </c>
      <c r="H1080" s="1">
        <v>0</v>
      </c>
      <c r="I1080" s="1">
        <v>3395643</v>
      </c>
      <c r="J1080" s="1">
        <v>0</v>
      </c>
      <c r="K1080" s="1">
        <v>3465000</v>
      </c>
      <c r="L1080" s="1">
        <v>0</v>
      </c>
      <c r="M1080" s="1">
        <v>400000</v>
      </c>
      <c r="N1080" s="1">
        <v>873423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1309748</v>
      </c>
      <c r="W1080" s="1">
        <v>1100000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623873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873423</v>
      </c>
      <c r="AM1080" s="1">
        <v>0</v>
      </c>
      <c r="AN1080" s="1">
        <v>19372228</v>
      </c>
      <c r="AO1080" s="1">
        <v>2382996</v>
      </c>
      <c r="AP1080" s="1">
        <v>16989232</v>
      </c>
      <c r="AQ1080" s="1">
        <v>3874446</v>
      </c>
      <c r="AR1080" s="1">
        <v>581167</v>
      </c>
      <c r="AS1080" s="1">
        <v>0</v>
      </c>
      <c r="AT1080" s="1">
        <f t="shared" si="111"/>
        <v>23827841</v>
      </c>
    </row>
    <row r="1081" spans="1:46">
      <c r="A1081" s="1" t="str">
        <f>"01364"</f>
        <v>01364</v>
      </c>
      <c r="B1081" s="1" t="str">
        <f>"ميثم"</f>
        <v>ميثم</v>
      </c>
      <c r="C1081" s="1" t="str">
        <f>"باغباني"</f>
        <v>باغباني</v>
      </c>
      <c r="D1081" s="1" t="str">
        <f t="shared" si="114"/>
        <v>قراردادي بهره بردار</v>
      </c>
      <c r="E1081" s="1" t="str">
        <f t="shared" si="116"/>
        <v>پروژه بهره برداري نيروگاه بوشهر</v>
      </c>
      <c r="F1081" s="1">
        <v>7392467</v>
      </c>
      <c r="G1081" s="1">
        <v>0</v>
      </c>
      <c r="H1081" s="1">
        <v>0</v>
      </c>
      <c r="I1081" s="1">
        <v>3438109</v>
      </c>
      <c r="J1081" s="1">
        <v>0</v>
      </c>
      <c r="K1081" s="1">
        <v>4620000</v>
      </c>
      <c r="L1081" s="1">
        <v>0</v>
      </c>
      <c r="M1081" s="1">
        <v>400000</v>
      </c>
      <c r="N1081" s="1">
        <v>895521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1326128</v>
      </c>
      <c r="W1081" s="1">
        <v>1100000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639659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895521</v>
      </c>
      <c r="AM1081" s="1">
        <v>0</v>
      </c>
      <c r="AN1081" s="1">
        <v>20707405</v>
      </c>
      <c r="AO1081" s="1">
        <v>2480345</v>
      </c>
      <c r="AP1081" s="1">
        <v>18227060</v>
      </c>
      <c r="AQ1081" s="1">
        <v>4141481</v>
      </c>
      <c r="AR1081" s="1">
        <v>621222</v>
      </c>
      <c r="AS1081" s="1">
        <v>0</v>
      </c>
      <c r="AT1081" s="1">
        <f t="shared" si="111"/>
        <v>25470108</v>
      </c>
    </row>
    <row r="1082" spans="1:46">
      <c r="A1082" s="1" t="str">
        <f>"01365"</f>
        <v>01365</v>
      </c>
      <c r="B1082" s="1" t="str">
        <f>"سيد حسين"</f>
        <v>سيد حسين</v>
      </c>
      <c r="C1082" s="1" t="str">
        <f>"حسيني"</f>
        <v>حسيني</v>
      </c>
      <c r="D1082" s="1" t="str">
        <f t="shared" si="114"/>
        <v>قراردادي بهره بردار</v>
      </c>
      <c r="E1082" s="1" t="str">
        <f t="shared" si="116"/>
        <v>پروژه بهره برداري نيروگاه بوشهر</v>
      </c>
      <c r="F1082" s="1">
        <v>7258064</v>
      </c>
      <c r="G1082" s="1">
        <v>0</v>
      </c>
      <c r="H1082" s="1">
        <v>0</v>
      </c>
      <c r="I1082" s="1">
        <v>3345189</v>
      </c>
      <c r="J1082" s="1">
        <v>0</v>
      </c>
      <c r="K1082" s="1">
        <v>4620000</v>
      </c>
      <c r="L1082" s="1">
        <v>0</v>
      </c>
      <c r="M1082" s="1">
        <v>400000</v>
      </c>
      <c r="N1082" s="1">
        <v>847228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1290287</v>
      </c>
      <c r="W1082" s="1">
        <v>1100000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605163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847228</v>
      </c>
      <c r="AM1082" s="1">
        <v>0</v>
      </c>
      <c r="AN1082" s="1">
        <v>20313159</v>
      </c>
      <c r="AO1082" s="1">
        <v>2016818</v>
      </c>
      <c r="AP1082" s="1">
        <v>18296341</v>
      </c>
      <c r="AQ1082" s="1">
        <v>4062632</v>
      </c>
      <c r="AR1082" s="1">
        <v>609395</v>
      </c>
      <c r="AS1082" s="1">
        <v>0</v>
      </c>
      <c r="AT1082" s="1">
        <f t="shared" si="111"/>
        <v>24985186</v>
      </c>
    </row>
    <row r="1083" spans="1:46">
      <c r="A1083" s="1" t="str">
        <f>"01366"</f>
        <v>01366</v>
      </c>
      <c r="B1083" s="1" t="str">
        <f>"محسن"</f>
        <v>محسن</v>
      </c>
      <c r="C1083" s="1" t="str">
        <f>"حسيني"</f>
        <v>حسيني</v>
      </c>
      <c r="D1083" s="1" t="str">
        <f t="shared" si="114"/>
        <v>قراردادي بهره بردار</v>
      </c>
      <c r="E1083" s="1" t="str">
        <f t="shared" si="116"/>
        <v>پروژه بهره برداري نيروگاه بوشهر</v>
      </c>
      <c r="F1083" s="1">
        <v>7919723</v>
      </c>
      <c r="G1083" s="1">
        <v>0</v>
      </c>
      <c r="H1083" s="1">
        <v>0</v>
      </c>
      <c r="I1083" s="1">
        <v>4039438</v>
      </c>
      <c r="J1083" s="1">
        <v>0</v>
      </c>
      <c r="K1083" s="1">
        <v>3465000</v>
      </c>
      <c r="L1083" s="1">
        <v>0</v>
      </c>
      <c r="M1083" s="1">
        <v>400000</v>
      </c>
      <c r="N1083" s="1">
        <v>1086012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1490691</v>
      </c>
      <c r="W1083" s="1">
        <v>1100000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775723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1086012</v>
      </c>
      <c r="AM1083" s="1">
        <v>0</v>
      </c>
      <c r="AN1083" s="1">
        <v>21362599</v>
      </c>
      <c r="AO1083" s="1">
        <v>2090279</v>
      </c>
      <c r="AP1083" s="1">
        <v>19272320</v>
      </c>
      <c r="AQ1083" s="1">
        <v>4272520</v>
      </c>
      <c r="AR1083" s="1">
        <v>640878</v>
      </c>
      <c r="AS1083" s="1">
        <v>0</v>
      </c>
      <c r="AT1083" s="1">
        <f t="shared" si="111"/>
        <v>26275997</v>
      </c>
    </row>
    <row r="1084" spans="1:46">
      <c r="A1084" s="1" t="str">
        <f>"01367"</f>
        <v>01367</v>
      </c>
      <c r="B1084" s="1" t="str">
        <f>"محمد مهدي"</f>
        <v>محمد مهدي</v>
      </c>
      <c r="C1084" s="1" t="str">
        <f>"ملک نصب اردکاني"</f>
        <v>ملک نصب اردکاني</v>
      </c>
      <c r="D1084" s="1" t="str">
        <f t="shared" si="114"/>
        <v>قراردادي بهره بردار</v>
      </c>
      <c r="E1084" s="1" t="str">
        <f t="shared" si="116"/>
        <v>پروژه بهره برداري نيروگاه بوشهر</v>
      </c>
      <c r="F1084" s="1">
        <v>6992530</v>
      </c>
      <c r="G1084" s="1">
        <v>1271548</v>
      </c>
      <c r="H1084" s="1">
        <v>0</v>
      </c>
      <c r="I1084" s="1">
        <v>3161580</v>
      </c>
      <c r="J1084" s="1">
        <v>0</v>
      </c>
      <c r="K1084" s="1">
        <v>3465000</v>
      </c>
      <c r="L1084" s="1">
        <v>0</v>
      </c>
      <c r="M1084" s="1">
        <v>400000</v>
      </c>
      <c r="N1084" s="1">
        <v>751785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1219467</v>
      </c>
      <c r="W1084" s="1">
        <v>1100000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536989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751785</v>
      </c>
      <c r="AM1084" s="1">
        <v>0</v>
      </c>
      <c r="AN1084" s="1">
        <v>19650684</v>
      </c>
      <c r="AO1084" s="1">
        <v>2570445</v>
      </c>
      <c r="AP1084" s="1">
        <v>17080239</v>
      </c>
      <c r="AQ1084" s="1">
        <v>3930137</v>
      </c>
      <c r="AR1084" s="1">
        <v>589521</v>
      </c>
      <c r="AS1084" s="1">
        <v>0</v>
      </c>
      <c r="AT1084" s="1">
        <f t="shared" si="111"/>
        <v>24170342</v>
      </c>
    </row>
    <row r="1085" spans="1:46">
      <c r="A1085" s="1" t="str">
        <f>"01368"</f>
        <v>01368</v>
      </c>
      <c r="B1085" s="1" t="str">
        <f>"سامان"</f>
        <v>سامان</v>
      </c>
      <c r="C1085" s="1" t="str">
        <f>"حيدري"</f>
        <v>حيدري</v>
      </c>
      <c r="D1085" s="1" t="str">
        <f t="shared" si="114"/>
        <v>قراردادي بهره بردار</v>
      </c>
      <c r="E1085" s="1" t="str">
        <f t="shared" si="116"/>
        <v>پروژه بهره برداري نيروگاه بوشهر</v>
      </c>
      <c r="F1085" s="1">
        <v>7030143</v>
      </c>
      <c r="G1085" s="1">
        <v>0</v>
      </c>
      <c r="H1085" s="1">
        <v>0</v>
      </c>
      <c r="I1085" s="1">
        <v>3187549</v>
      </c>
      <c r="J1085" s="1">
        <v>0</v>
      </c>
      <c r="K1085" s="1">
        <v>4620000</v>
      </c>
      <c r="L1085" s="1">
        <v>0</v>
      </c>
      <c r="M1085" s="1">
        <v>400000</v>
      </c>
      <c r="N1085" s="1">
        <v>765263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1229483</v>
      </c>
      <c r="W1085" s="1">
        <v>1100000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546616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765263</v>
      </c>
      <c r="AM1085" s="1">
        <v>0</v>
      </c>
      <c r="AN1085" s="1">
        <v>19644317</v>
      </c>
      <c r="AO1085" s="1">
        <v>1969999</v>
      </c>
      <c r="AP1085" s="1">
        <v>17674318</v>
      </c>
      <c r="AQ1085" s="1">
        <v>3928863</v>
      </c>
      <c r="AR1085" s="1">
        <v>589330</v>
      </c>
      <c r="AS1085" s="1">
        <v>0</v>
      </c>
      <c r="AT1085" s="1">
        <f t="shared" si="111"/>
        <v>24162510</v>
      </c>
    </row>
    <row r="1086" spans="1:46">
      <c r="A1086" s="1" t="str">
        <f>"01370"</f>
        <v>01370</v>
      </c>
      <c r="B1086" s="1" t="str">
        <f>"علي"</f>
        <v>علي</v>
      </c>
      <c r="C1086" s="1" t="str">
        <f>"عباس زاده"</f>
        <v>عباس زاده</v>
      </c>
      <c r="D1086" s="1" t="str">
        <f t="shared" si="114"/>
        <v>قراردادي بهره بردار</v>
      </c>
      <c r="E1086" s="1" t="str">
        <f t="shared" si="116"/>
        <v>پروژه بهره برداري نيروگاه بوشهر</v>
      </c>
      <c r="F1086" s="1">
        <v>7015228</v>
      </c>
      <c r="G1086" s="1">
        <v>0</v>
      </c>
      <c r="H1086" s="1">
        <v>0</v>
      </c>
      <c r="I1086" s="1">
        <v>3177221</v>
      </c>
      <c r="J1086" s="1">
        <v>0</v>
      </c>
      <c r="K1086" s="1">
        <v>3465000</v>
      </c>
      <c r="L1086" s="1">
        <v>0</v>
      </c>
      <c r="M1086" s="1">
        <v>400000</v>
      </c>
      <c r="N1086" s="1">
        <v>759886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1225500</v>
      </c>
      <c r="W1086" s="1">
        <v>1100000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542776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759886</v>
      </c>
      <c r="AM1086" s="1">
        <v>0</v>
      </c>
      <c r="AN1086" s="1">
        <v>18445497</v>
      </c>
      <c r="AO1086" s="1">
        <v>3788118</v>
      </c>
      <c r="AP1086" s="1">
        <v>14657379</v>
      </c>
      <c r="AQ1086" s="1">
        <v>3689099</v>
      </c>
      <c r="AR1086" s="1">
        <v>553365</v>
      </c>
      <c r="AS1086" s="1">
        <v>0</v>
      </c>
      <c r="AT1086" s="1">
        <f t="shared" si="111"/>
        <v>22687961</v>
      </c>
    </row>
    <row r="1087" spans="1:46">
      <c r="A1087" s="1" t="str">
        <f>"01371"</f>
        <v>01371</v>
      </c>
      <c r="B1087" s="1" t="str">
        <f>"محمد"</f>
        <v>محمد</v>
      </c>
      <c r="C1087" s="1" t="str">
        <f>"روشني روز"</f>
        <v>روشني روز</v>
      </c>
      <c r="D1087" s="1" t="str">
        <f t="shared" si="114"/>
        <v>قراردادي بهره بردار</v>
      </c>
      <c r="E1087" s="1" t="str">
        <f t="shared" si="116"/>
        <v>پروژه بهره برداري نيروگاه بوشهر</v>
      </c>
      <c r="F1087" s="1">
        <v>7308490</v>
      </c>
      <c r="G1087" s="1">
        <v>731992</v>
      </c>
      <c r="H1087" s="1">
        <v>0</v>
      </c>
      <c r="I1087" s="1">
        <v>3380050</v>
      </c>
      <c r="J1087" s="1">
        <v>0</v>
      </c>
      <c r="K1087" s="1">
        <v>4620000</v>
      </c>
      <c r="L1087" s="1">
        <v>0</v>
      </c>
      <c r="M1087" s="1">
        <v>400000</v>
      </c>
      <c r="N1087" s="1">
        <v>865346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1303733</v>
      </c>
      <c r="W1087" s="1">
        <v>1100000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618104</v>
      </c>
      <c r="AF1087" s="1">
        <v>1111269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865346</v>
      </c>
      <c r="AM1087" s="1">
        <v>0</v>
      </c>
      <c r="AN1087" s="1">
        <v>22304330</v>
      </c>
      <c r="AO1087" s="1">
        <v>2178411</v>
      </c>
      <c r="AP1087" s="1">
        <v>20125919</v>
      </c>
      <c r="AQ1087" s="1">
        <v>4238612</v>
      </c>
      <c r="AR1087" s="1">
        <v>635792</v>
      </c>
      <c r="AS1087" s="1">
        <v>0</v>
      </c>
      <c r="AT1087" s="1">
        <f t="shared" si="111"/>
        <v>27178734</v>
      </c>
    </row>
    <row r="1088" spans="1:46">
      <c r="A1088" s="1" t="str">
        <f>"01372"</f>
        <v>01372</v>
      </c>
      <c r="B1088" s="1" t="str">
        <f>"رضا"</f>
        <v>رضا</v>
      </c>
      <c r="C1088" s="1" t="str">
        <f>"محمدي"</f>
        <v>محمدي</v>
      </c>
      <c r="D1088" s="1" t="str">
        <f t="shared" si="114"/>
        <v>قراردادي بهره بردار</v>
      </c>
      <c r="E1088" s="1" t="str">
        <f t="shared" si="116"/>
        <v>پروژه بهره برداري نيروگاه بوشهر</v>
      </c>
      <c r="F1088" s="1">
        <v>7122168</v>
      </c>
      <c r="G1088" s="1">
        <v>1307552</v>
      </c>
      <c r="H1088" s="1">
        <v>0</v>
      </c>
      <c r="I1088" s="1">
        <v>3251101</v>
      </c>
      <c r="J1088" s="1">
        <v>0</v>
      </c>
      <c r="K1088" s="1">
        <v>3465000</v>
      </c>
      <c r="L1088" s="1">
        <v>0</v>
      </c>
      <c r="M1088" s="1">
        <v>400000</v>
      </c>
      <c r="N1088" s="1">
        <v>798254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1253996</v>
      </c>
      <c r="W1088" s="1">
        <v>1100000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570182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798254</v>
      </c>
      <c r="AM1088" s="1">
        <v>0</v>
      </c>
      <c r="AN1088" s="1">
        <v>20066507</v>
      </c>
      <c r="AO1088" s="1">
        <v>2199552</v>
      </c>
      <c r="AP1088" s="1">
        <v>17866955</v>
      </c>
      <c r="AQ1088" s="1">
        <v>4013301</v>
      </c>
      <c r="AR1088" s="1">
        <v>601995</v>
      </c>
      <c r="AS1088" s="1">
        <v>0</v>
      </c>
      <c r="AT1088" s="1">
        <f t="shared" si="111"/>
        <v>24681803</v>
      </c>
    </row>
    <row r="1089" spans="1:46">
      <c r="A1089" s="1" t="str">
        <f>"01373"</f>
        <v>01373</v>
      </c>
      <c r="B1089" s="1" t="str">
        <f>"محسن"</f>
        <v>محسن</v>
      </c>
      <c r="C1089" s="1" t="str">
        <f>"موحدنيا"</f>
        <v>موحدنيا</v>
      </c>
      <c r="D1089" s="1" t="str">
        <f t="shared" si="114"/>
        <v>قراردادي بهره بردار</v>
      </c>
      <c r="E1089" s="1" t="str">
        <f t="shared" si="116"/>
        <v>پروژه بهره برداري نيروگاه بوشهر</v>
      </c>
      <c r="F1089" s="1">
        <v>11440977</v>
      </c>
      <c r="G1089" s="1">
        <v>2125577</v>
      </c>
      <c r="H1089" s="1">
        <v>0</v>
      </c>
      <c r="I1089" s="1">
        <v>5381730</v>
      </c>
      <c r="J1089" s="1">
        <v>0</v>
      </c>
      <c r="K1089" s="1">
        <v>4125000</v>
      </c>
      <c r="L1089" s="1">
        <v>0</v>
      </c>
      <c r="M1089" s="1">
        <v>400000</v>
      </c>
      <c r="N1089" s="1">
        <v>1385397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2038516</v>
      </c>
      <c r="W1089" s="1">
        <v>1100000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989570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1187484</v>
      </c>
      <c r="AM1089" s="1">
        <v>0</v>
      </c>
      <c r="AN1089" s="1">
        <v>30174251</v>
      </c>
      <c r="AO1089" s="1">
        <v>3256979</v>
      </c>
      <c r="AP1089" s="1">
        <v>26917272</v>
      </c>
      <c r="AQ1089" s="1">
        <v>6034850</v>
      </c>
      <c r="AR1089" s="1">
        <v>905228</v>
      </c>
      <c r="AS1089" s="1">
        <v>0</v>
      </c>
      <c r="AT1089" s="1">
        <f t="shared" si="111"/>
        <v>37114329</v>
      </c>
    </row>
    <row r="1090" spans="1:46">
      <c r="A1090" s="1" t="str">
        <f>"01374"</f>
        <v>01374</v>
      </c>
      <c r="B1090" s="1" t="str">
        <f>"علي"</f>
        <v>علي</v>
      </c>
      <c r="C1090" s="1" t="str">
        <f>"اسماعيلي نسب"</f>
        <v>اسماعيلي نسب</v>
      </c>
      <c r="D1090" s="1" t="str">
        <f t="shared" si="114"/>
        <v>قراردادي بهره بردار</v>
      </c>
      <c r="E1090" s="1" t="str">
        <f t="shared" si="116"/>
        <v>پروژه بهره برداري نيروگاه بوشهر</v>
      </c>
      <c r="F1090" s="1">
        <v>11076173</v>
      </c>
      <c r="G1090" s="1">
        <v>1547755</v>
      </c>
      <c r="H1090" s="1">
        <v>0</v>
      </c>
      <c r="I1090" s="1">
        <v>5002844</v>
      </c>
      <c r="J1090" s="1">
        <v>0</v>
      </c>
      <c r="K1090" s="1">
        <v>5500000</v>
      </c>
      <c r="L1090" s="1">
        <v>0</v>
      </c>
      <c r="M1090" s="1">
        <v>400000</v>
      </c>
      <c r="N1090" s="1">
        <v>1251315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1929668</v>
      </c>
      <c r="W1090" s="1">
        <v>1100000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893795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1072556</v>
      </c>
      <c r="AM1090" s="1">
        <v>0</v>
      </c>
      <c r="AN1090" s="1">
        <v>29774106</v>
      </c>
      <c r="AO1090" s="1">
        <v>3189754</v>
      </c>
      <c r="AP1090" s="1">
        <v>26584352</v>
      </c>
      <c r="AQ1090" s="1">
        <v>5954821</v>
      </c>
      <c r="AR1090" s="1">
        <v>893223</v>
      </c>
      <c r="AS1090" s="1">
        <v>0</v>
      </c>
      <c r="AT1090" s="1">
        <f t="shared" si="111"/>
        <v>36622150</v>
      </c>
    </row>
    <row r="1091" spans="1:46">
      <c r="A1091" s="1" t="str">
        <f>"01375"</f>
        <v>01375</v>
      </c>
      <c r="B1091" s="1" t="str">
        <f>"نصراله"</f>
        <v>نصراله</v>
      </c>
      <c r="C1091" s="1" t="str">
        <f>"کرم پور"</f>
        <v>کرم پور</v>
      </c>
      <c r="D1091" s="1" t="str">
        <f t="shared" si="114"/>
        <v>قراردادي بهره بردار</v>
      </c>
      <c r="E1091" s="1" t="str">
        <f t="shared" si="116"/>
        <v>پروژه بهره برداري نيروگاه بوشهر</v>
      </c>
      <c r="F1091" s="1">
        <v>10647993</v>
      </c>
      <c r="G1091" s="1">
        <v>1895245</v>
      </c>
      <c r="H1091" s="1">
        <v>0</v>
      </c>
      <c r="I1091" s="1">
        <v>4712341</v>
      </c>
      <c r="J1091" s="1">
        <v>0</v>
      </c>
      <c r="K1091" s="1">
        <v>4125000</v>
      </c>
      <c r="L1091" s="1">
        <v>0</v>
      </c>
      <c r="M1091" s="1">
        <v>400000</v>
      </c>
      <c r="N1091" s="1">
        <v>1095050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1817617</v>
      </c>
      <c r="W1091" s="1">
        <v>1100000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782178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938614</v>
      </c>
      <c r="AM1091" s="1">
        <v>0</v>
      </c>
      <c r="AN1091" s="1">
        <v>27514038</v>
      </c>
      <c r="AO1091" s="1">
        <v>2810063</v>
      </c>
      <c r="AP1091" s="1">
        <v>24703975</v>
      </c>
      <c r="AQ1091" s="1">
        <v>5502808</v>
      </c>
      <c r="AR1091" s="1">
        <v>825421</v>
      </c>
      <c r="AS1091" s="1">
        <v>0</v>
      </c>
      <c r="AT1091" s="1">
        <f t="shared" ref="AT1091:AT1138" si="117">AS1091+AR1091+AQ1091+AN1091</f>
        <v>33842267</v>
      </c>
    </row>
    <row r="1092" spans="1:46">
      <c r="A1092" s="1" t="str">
        <f>"01376"</f>
        <v>01376</v>
      </c>
      <c r="B1092" s="1" t="str">
        <f>"مهدي"</f>
        <v>مهدي</v>
      </c>
      <c r="C1092" s="1" t="str">
        <f>"افشين"</f>
        <v>افشين</v>
      </c>
      <c r="D1092" s="1" t="str">
        <f t="shared" si="114"/>
        <v>قراردادي بهره بردار</v>
      </c>
      <c r="E1092" s="1" t="str">
        <f t="shared" si="116"/>
        <v>پروژه بهره برداري نيروگاه بوشهر</v>
      </c>
      <c r="F1092" s="1">
        <v>10536746</v>
      </c>
      <c r="G1092" s="1">
        <v>287809</v>
      </c>
      <c r="H1092" s="1">
        <v>0</v>
      </c>
      <c r="I1092" s="1">
        <v>4692678</v>
      </c>
      <c r="J1092" s="1">
        <v>0</v>
      </c>
      <c r="K1092" s="1">
        <v>4125000</v>
      </c>
      <c r="L1092" s="1">
        <v>0</v>
      </c>
      <c r="M1092" s="1">
        <v>400000</v>
      </c>
      <c r="N1092" s="1">
        <v>1054636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1794135</v>
      </c>
      <c r="W1092" s="1">
        <v>1100000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753311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903973</v>
      </c>
      <c r="AM1092" s="1">
        <v>0</v>
      </c>
      <c r="AN1092" s="1">
        <v>25648288</v>
      </c>
      <c r="AO1092" s="1">
        <v>2496617</v>
      </c>
      <c r="AP1092" s="1">
        <v>23151671</v>
      </c>
      <c r="AQ1092" s="1">
        <v>5129658</v>
      </c>
      <c r="AR1092" s="1">
        <v>769449</v>
      </c>
      <c r="AS1092" s="1">
        <v>0</v>
      </c>
      <c r="AT1092" s="1">
        <f t="shared" si="117"/>
        <v>31547395</v>
      </c>
    </row>
    <row r="1093" spans="1:46">
      <c r="A1093" s="1" t="str">
        <f>"01377"</f>
        <v>01377</v>
      </c>
      <c r="B1093" s="1" t="str">
        <f>"عليرضا"</f>
        <v>عليرضا</v>
      </c>
      <c r="C1093" s="1" t="str">
        <f>"گچ کاران"</f>
        <v>گچ کاران</v>
      </c>
      <c r="D1093" s="1" t="str">
        <f t="shared" si="114"/>
        <v>قراردادي بهره بردار</v>
      </c>
      <c r="E1093" s="1" t="str">
        <f t="shared" si="116"/>
        <v>پروژه بهره برداري نيروگاه بوشهر</v>
      </c>
      <c r="F1093" s="1">
        <v>6957490</v>
      </c>
      <c r="G1093" s="1">
        <v>0</v>
      </c>
      <c r="H1093" s="1">
        <v>0</v>
      </c>
      <c r="I1093" s="1">
        <v>3137220</v>
      </c>
      <c r="J1093" s="1">
        <v>0</v>
      </c>
      <c r="K1093" s="1">
        <v>3465000</v>
      </c>
      <c r="L1093" s="1">
        <v>0</v>
      </c>
      <c r="M1093" s="1">
        <v>400000</v>
      </c>
      <c r="N1093" s="1">
        <v>739051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1210071</v>
      </c>
      <c r="W1093" s="1">
        <v>1100000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527893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739051</v>
      </c>
      <c r="AM1093" s="1">
        <v>0</v>
      </c>
      <c r="AN1093" s="1">
        <v>18275776</v>
      </c>
      <c r="AO1093" s="1">
        <v>1974201</v>
      </c>
      <c r="AP1093" s="1">
        <v>16301575</v>
      </c>
      <c r="AQ1093" s="1">
        <v>3655155</v>
      </c>
      <c r="AR1093" s="1">
        <v>548273</v>
      </c>
      <c r="AS1093" s="1">
        <v>0</v>
      </c>
      <c r="AT1093" s="1">
        <f t="shared" si="117"/>
        <v>22479204</v>
      </c>
    </row>
    <row r="1094" spans="1:46">
      <c r="A1094" s="1" t="str">
        <f>"01379"</f>
        <v>01379</v>
      </c>
      <c r="B1094" s="1" t="str">
        <f>"احمد"</f>
        <v>احمد</v>
      </c>
      <c r="C1094" s="1" t="str">
        <f>"ناطوري"</f>
        <v>ناطوري</v>
      </c>
      <c r="D1094" s="1" t="str">
        <f t="shared" si="114"/>
        <v>قراردادي بهره بردار</v>
      </c>
      <c r="E1094" s="1" t="str">
        <f t="shared" si="116"/>
        <v>پروژه بهره برداري نيروگاه بوشهر</v>
      </c>
      <c r="F1094" s="1">
        <v>10388871</v>
      </c>
      <c r="G1094" s="1">
        <v>1403474</v>
      </c>
      <c r="H1094" s="1">
        <v>0</v>
      </c>
      <c r="I1094" s="1">
        <v>4536480</v>
      </c>
      <c r="J1094" s="1">
        <v>0</v>
      </c>
      <c r="K1094" s="1">
        <v>4125000</v>
      </c>
      <c r="L1094" s="1">
        <v>0</v>
      </c>
      <c r="M1094" s="1">
        <v>400000</v>
      </c>
      <c r="N1094" s="1">
        <v>1000417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1749785</v>
      </c>
      <c r="W1094" s="1">
        <v>1100000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714584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857501</v>
      </c>
      <c r="AM1094" s="1">
        <v>0</v>
      </c>
      <c r="AN1094" s="1">
        <v>26276112</v>
      </c>
      <c r="AO1094" s="1">
        <v>2602092</v>
      </c>
      <c r="AP1094" s="1">
        <v>23674020</v>
      </c>
      <c r="AQ1094" s="1">
        <v>5255222</v>
      </c>
      <c r="AR1094" s="1">
        <v>788283</v>
      </c>
      <c r="AS1094" s="1">
        <v>0</v>
      </c>
      <c r="AT1094" s="1">
        <f t="shared" si="117"/>
        <v>32319617</v>
      </c>
    </row>
    <row r="1095" spans="1:46">
      <c r="A1095" s="1" t="str">
        <f>"01380"</f>
        <v>01380</v>
      </c>
      <c r="B1095" s="1" t="str">
        <f>"ابوطالب"</f>
        <v>ابوطالب</v>
      </c>
      <c r="C1095" s="1" t="str">
        <f>"نوروزي"</f>
        <v>نوروزي</v>
      </c>
      <c r="D1095" s="1" t="str">
        <f t="shared" si="114"/>
        <v>قراردادي بهره بردار</v>
      </c>
      <c r="E1095" s="1" t="str">
        <f t="shared" si="116"/>
        <v>پروژه بهره برداري نيروگاه بوشهر</v>
      </c>
      <c r="F1095" s="1">
        <v>10423470</v>
      </c>
      <c r="G1095" s="1">
        <v>1410729</v>
      </c>
      <c r="H1095" s="1">
        <v>0</v>
      </c>
      <c r="I1095" s="1">
        <v>4559932</v>
      </c>
      <c r="J1095" s="1">
        <v>0</v>
      </c>
      <c r="K1095" s="1">
        <v>4125000</v>
      </c>
      <c r="L1095" s="1">
        <v>0</v>
      </c>
      <c r="M1095" s="1">
        <v>400000</v>
      </c>
      <c r="N1095" s="1">
        <v>1013019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1758831</v>
      </c>
      <c r="W1095" s="1">
        <v>1100000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723585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868302</v>
      </c>
      <c r="AM1095" s="1">
        <v>0</v>
      </c>
      <c r="AN1095" s="1">
        <v>26382868</v>
      </c>
      <c r="AO1095" s="1">
        <v>2620027</v>
      </c>
      <c r="AP1095" s="1">
        <v>23762841</v>
      </c>
      <c r="AQ1095" s="1">
        <v>5276574</v>
      </c>
      <c r="AR1095" s="1">
        <v>791486</v>
      </c>
      <c r="AS1095" s="1">
        <v>0</v>
      </c>
      <c r="AT1095" s="1">
        <f t="shared" si="117"/>
        <v>32450928</v>
      </c>
    </row>
    <row r="1096" spans="1:46">
      <c r="A1096" s="1" t="str">
        <f>"01381"</f>
        <v>01381</v>
      </c>
      <c r="B1096" s="1" t="str">
        <f>"احسان"</f>
        <v>احسان</v>
      </c>
      <c r="C1096" s="1" t="str">
        <f>"شاهي غفاربي"</f>
        <v>شاهي غفاربي</v>
      </c>
      <c r="D1096" s="1" t="str">
        <f t="shared" si="114"/>
        <v>قراردادي بهره بردار</v>
      </c>
      <c r="E1096" s="1" t="str">
        <f t="shared" si="116"/>
        <v>پروژه بهره برداري نيروگاه بوشهر</v>
      </c>
      <c r="F1096" s="1">
        <v>10647993</v>
      </c>
      <c r="G1096" s="1">
        <v>1020517</v>
      </c>
      <c r="H1096" s="1">
        <v>0</v>
      </c>
      <c r="I1096" s="1">
        <v>4712341</v>
      </c>
      <c r="J1096" s="1">
        <v>0</v>
      </c>
      <c r="K1096" s="1">
        <v>4125000</v>
      </c>
      <c r="L1096" s="1">
        <v>0</v>
      </c>
      <c r="M1096" s="1">
        <v>400000</v>
      </c>
      <c r="N1096" s="1">
        <v>1095050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1817617</v>
      </c>
      <c r="W1096" s="1">
        <v>1100000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782178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938614</v>
      </c>
      <c r="AM1096" s="1">
        <v>0</v>
      </c>
      <c r="AN1096" s="1">
        <v>26639310</v>
      </c>
      <c r="AO1096" s="1">
        <v>2663109</v>
      </c>
      <c r="AP1096" s="1">
        <v>23976201</v>
      </c>
      <c r="AQ1096" s="1">
        <v>5327862</v>
      </c>
      <c r="AR1096" s="1">
        <v>799179</v>
      </c>
      <c r="AS1096" s="1">
        <v>0</v>
      </c>
      <c r="AT1096" s="1">
        <f t="shared" si="117"/>
        <v>32766351</v>
      </c>
    </row>
    <row r="1097" spans="1:46">
      <c r="A1097" s="1" t="str">
        <f>"01382"</f>
        <v>01382</v>
      </c>
      <c r="B1097" s="1" t="str">
        <f>"امين"</f>
        <v>امين</v>
      </c>
      <c r="C1097" s="1" t="str">
        <f>"پرهيزکار"</f>
        <v>پرهيزکار</v>
      </c>
      <c r="D1097" s="1" t="str">
        <f t="shared" si="114"/>
        <v>قراردادي بهره بردار</v>
      </c>
      <c r="E1097" s="1" t="str">
        <f t="shared" si="116"/>
        <v>پروژه بهره برداري نيروگاه بوشهر</v>
      </c>
      <c r="F1097" s="1">
        <v>11286356</v>
      </c>
      <c r="G1097" s="1">
        <v>1598393</v>
      </c>
      <c r="H1097" s="1">
        <v>0</v>
      </c>
      <c r="I1097" s="1">
        <v>5225334</v>
      </c>
      <c r="J1097" s="1">
        <v>0</v>
      </c>
      <c r="K1097" s="1">
        <v>5500000</v>
      </c>
      <c r="L1097" s="1">
        <v>0</v>
      </c>
      <c r="M1097" s="1">
        <v>400000</v>
      </c>
      <c r="N1097" s="1">
        <v>1328572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1992801</v>
      </c>
      <c r="W1097" s="1">
        <v>1100000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948980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1138775</v>
      </c>
      <c r="AM1097" s="1">
        <v>0</v>
      </c>
      <c r="AN1097" s="1">
        <v>30519211</v>
      </c>
      <c r="AO1097" s="1">
        <v>3314932</v>
      </c>
      <c r="AP1097" s="1">
        <v>27204279</v>
      </c>
      <c r="AQ1097" s="1">
        <v>6103842</v>
      </c>
      <c r="AR1097" s="1">
        <v>915576</v>
      </c>
      <c r="AS1097" s="1">
        <v>0</v>
      </c>
      <c r="AT1097" s="1">
        <f t="shared" si="117"/>
        <v>37538629</v>
      </c>
    </row>
    <row r="1098" spans="1:46">
      <c r="A1098" s="1" t="str">
        <f>"01383"</f>
        <v>01383</v>
      </c>
      <c r="B1098" s="1" t="str">
        <f>"صادق"</f>
        <v>صادق</v>
      </c>
      <c r="C1098" s="1" t="str">
        <f>"مختاري"</f>
        <v>مختاري</v>
      </c>
      <c r="D1098" s="1" t="str">
        <f t="shared" si="114"/>
        <v>قراردادي بهره بردار</v>
      </c>
      <c r="E1098" s="1" t="str">
        <f t="shared" si="116"/>
        <v>پروژه بهره برداري نيروگاه بوشهر</v>
      </c>
      <c r="F1098" s="1">
        <v>6985392</v>
      </c>
      <c r="G1098" s="1">
        <v>0</v>
      </c>
      <c r="H1098" s="1">
        <v>0</v>
      </c>
      <c r="I1098" s="1">
        <v>3156560</v>
      </c>
      <c r="J1098" s="1">
        <v>0</v>
      </c>
      <c r="K1098" s="1">
        <v>3465000</v>
      </c>
      <c r="L1098" s="1">
        <v>0</v>
      </c>
      <c r="M1098" s="1">
        <v>400000</v>
      </c>
      <c r="N1098" s="1">
        <v>749130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1217531</v>
      </c>
      <c r="W1098" s="1">
        <v>1100000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535093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749130</v>
      </c>
      <c r="AM1098" s="1">
        <v>0</v>
      </c>
      <c r="AN1098" s="1">
        <v>18357836</v>
      </c>
      <c r="AO1098" s="1">
        <v>2390092</v>
      </c>
      <c r="AP1098" s="1">
        <v>15967744</v>
      </c>
      <c r="AQ1098" s="1">
        <v>3671567</v>
      </c>
      <c r="AR1098" s="1">
        <v>550735</v>
      </c>
      <c r="AS1098" s="1">
        <v>0</v>
      </c>
      <c r="AT1098" s="1">
        <f t="shared" si="117"/>
        <v>22580138</v>
      </c>
    </row>
    <row r="1099" spans="1:46">
      <c r="A1099" s="1" t="str">
        <f>"01386"</f>
        <v>01386</v>
      </c>
      <c r="B1099" s="1" t="str">
        <f>"محمد"</f>
        <v>محمد</v>
      </c>
      <c r="C1099" s="1" t="str">
        <f>"شاهسوني"</f>
        <v>شاهسوني</v>
      </c>
      <c r="D1099" s="1" t="str">
        <f t="shared" si="114"/>
        <v>قراردادي بهره بردار</v>
      </c>
      <c r="E1099" s="1" t="str">
        <f t="shared" si="116"/>
        <v>پروژه بهره برداري نيروگاه بوشهر</v>
      </c>
      <c r="F1099" s="1">
        <v>11593070</v>
      </c>
      <c r="G1099" s="1">
        <v>2484438</v>
      </c>
      <c r="H1099" s="1">
        <v>0</v>
      </c>
      <c r="I1099" s="1">
        <v>5353672</v>
      </c>
      <c r="J1099" s="1">
        <v>0</v>
      </c>
      <c r="K1099" s="1">
        <v>5500000</v>
      </c>
      <c r="L1099" s="1">
        <v>0</v>
      </c>
      <c r="M1099" s="1">
        <v>400000</v>
      </c>
      <c r="N1099" s="1">
        <v>1440108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2064988</v>
      </c>
      <c r="W1099" s="1">
        <v>1100000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1028648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1234378</v>
      </c>
      <c r="AM1099" s="1">
        <v>0</v>
      </c>
      <c r="AN1099" s="1">
        <v>32199302</v>
      </c>
      <c r="AO1099" s="1">
        <v>3600394</v>
      </c>
      <c r="AP1099" s="1">
        <v>28598908</v>
      </c>
      <c r="AQ1099" s="1">
        <v>6439860</v>
      </c>
      <c r="AR1099" s="1">
        <v>965979</v>
      </c>
      <c r="AS1099" s="1">
        <v>0</v>
      </c>
      <c r="AT1099" s="1">
        <f t="shared" si="117"/>
        <v>39605141</v>
      </c>
    </row>
    <row r="1100" spans="1:46">
      <c r="A1100" s="1" t="str">
        <f>"01387"</f>
        <v>01387</v>
      </c>
      <c r="B1100" s="1" t="str">
        <f>"علي"</f>
        <v>علي</v>
      </c>
      <c r="C1100" s="1" t="str">
        <f>"صفي ياري خفري"</f>
        <v>صفي ياري خفري</v>
      </c>
      <c r="D1100" s="1" t="str">
        <f t="shared" si="114"/>
        <v>قراردادي بهره بردار</v>
      </c>
      <c r="E1100" s="1" t="str">
        <f t="shared" si="116"/>
        <v>پروژه بهره برداري نيروگاه بوشهر</v>
      </c>
      <c r="F1100" s="1">
        <v>11029460</v>
      </c>
      <c r="G1100" s="1">
        <v>0</v>
      </c>
      <c r="H1100" s="1">
        <v>0</v>
      </c>
      <c r="I1100" s="1">
        <v>4971114</v>
      </c>
      <c r="J1100" s="1">
        <v>0</v>
      </c>
      <c r="K1100" s="1">
        <v>0</v>
      </c>
      <c r="L1100" s="1">
        <v>0</v>
      </c>
      <c r="M1100" s="1">
        <v>400000</v>
      </c>
      <c r="N1100" s="1">
        <v>1234226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1917430</v>
      </c>
      <c r="W1100" s="1">
        <v>1100000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881590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1057908</v>
      </c>
      <c r="AM1100" s="1">
        <v>0</v>
      </c>
      <c r="AN1100" s="1">
        <v>22591728</v>
      </c>
      <c r="AO1100" s="1">
        <v>4342984</v>
      </c>
      <c r="AP1100" s="1">
        <v>18248744</v>
      </c>
      <c r="AQ1100" s="1">
        <v>4518346</v>
      </c>
      <c r="AR1100" s="1">
        <v>677752</v>
      </c>
      <c r="AS1100" s="1">
        <v>0</v>
      </c>
      <c r="AT1100" s="1">
        <f t="shared" si="117"/>
        <v>27787826</v>
      </c>
    </row>
    <row r="1101" spans="1:46">
      <c r="A1101" s="1" t="str">
        <f>"01388"</f>
        <v>01388</v>
      </c>
      <c r="B1101" s="1" t="str">
        <f>"پوريا"</f>
        <v>پوريا</v>
      </c>
      <c r="C1101" s="1" t="str">
        <f>"ميرسنجري"</f>
        <v>ميرسنجري</v>
      </c>
      <c r="D1101" s="1" t="str">
        <f>"قراردادي کارگري"</f>
        <v>قراردادي کارگري</v>
      </c>
      <c r="E1101" s="1" t="str">
        <f>"پروژه تعميرات نيروگاه بوشهر"</f>
        <v>پروژه تعميرات نيروگاه بوشهر</v>
      </c>
      <c r="F1101" s="1">
        <v>4640688</v>
      </c>
      <c r="G1101" s="1">
        <v>0</v>
      </c>
      <c r="H1101" s="1">
        <v>0</v>
      </c>
      <c r="I1101" s="1">
        <v>2784413</v>
      </c>
      <c r="J1101" s="1">
        <v>0</v>
      </c>
      <c r="K1101" s="1">
        <v>0</v>
      </c>
      <c r="L1101" s="1">
        <v>3460800</v>
      </c>
      <c r="M1101" s="1">
        <v>400000</v>
      </c>
      <c r="N1101" s="1">
        <v>2475034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1486093</v>
      </c>
      <c r="W1101" s="1">
        <v>1100000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16347028</v>
      </c>
      <c r="AO1101" s="1">
        <v>1188292</v>
      </c>
      <c r="AP1101" s="1">
        <v>15158736</v>
      </c>
      <c r="AQ1101" s="1">
        <v>3269406</v>
      </c>
      <c r="AR1101" s="1">
        <v>490411</v>
      </c>
      <c r="AS1101" s="1">
        <v>0</v>
      </c>
      <c r="AT1101" s="1">
        <f t="shared" si="117"/>
        <v>20106845</v>
      </c>
    </row>
    <row r="1102" spans="1:46">
      <c r="A1102" s="1" t="str">
        <f>"01389"</f>
        <v>01389</v>
      </c>
      <c r="B1102" s="1" t="str">
        <f>"عيسي"</f>
        <v>عيسي</v>
      </c>
      <c r="C1102" s="1" t="str">
        <f>"زنده بودي"</f>
        <v>زنده بودي</v>
      </c>
      <c r="D1102" s="1" t="str">
        <f>"قراردادي کارگري"</f>
        <v>قراردادي کارگري</v>
      </c>
      <c r="E1102" s="1" t="str">
        <f>"پروژه تعميرات نيروگاه بوشهر"</f>
        <v>پروژه تعميرات نيروگاه بوشهر</v>
      </c>
      <c r="F1102" s="1">
        <v>11112690</v>
      </c>
      <c r="G1102" s="1">
        <v>2430901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400000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1100000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15043591</v>
      </c>
      <c r="AO1102" s="1">
        <v>1097051</v>
      </c>
      <c r="AP1102" s="1">
        <v>13946540</v>
      </c>
      <c r="AQ1102" s="1">
        <v>3008718</v>
      </c>
      <c r="AR1102" s="1">
        <v>451308</v>
      </c>
      <c r="AS1102" s="1">
        <v>0</v>
      </c>
      <c r="AT1102" s="1">
        <f t="shared" si="117"/>
        <v>18503617</v>
      </c>
    </row>
    <row r="1103" spans="1:46">
      <c r="A1103" s="1" t="str">
        <f>"01390"</f>
        <v>01390</v>
      </c>
      <c r="B1103" s="1" t="str">
        <f>"محمد"</f>
        <v>محمد</v>
      </c>
      <c r="C1103" s="1" t="str">
        <f>"صبوريان"</f>
        <v>صبوريان</v>
      </c>
      <c r="D1103" s="1" t="str">
        <f>"قراردادي کارگري"</f>
        <v>قراردادي کارگري</v>
      </c>
      <c r="E1103" s="1" t="str">
        <f>"پروژه تعميرات نيروگاه بوشهر"</f>
        <v>پروژه تعميرات نيروگاه بوشهر</v>
      </c>
      <c r="F1103" s="1">
        <v>11112690</v>
      </c>
      <c r="G1103" s="1">
        <v>810300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400000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1100000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1666904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15089894</v>
      </c>
      <c r="AO1103" s="1">
        <v>1100293</v>
      </c>
      <c r="AP1103" s="1">
        <v>13989601</v>
      </c>
      <c r="AQ1103" s="1">
        <v>3017979</v>
      </c>
      <c r="AR1103" s="1">
        <v>452697</v>
      </c>
      <c r="AS1103" s="1">
        <v>0</v>
      </c>
      <c r="AT1103" s="1">
        <f t="shared" si="117"/>
        <v>18560570</v>
      </c>
    </row>
    <row r="1104" spans="1:46">
      <c r="A1104" s="1" t="str">
        <f>"01391"</f>
        <v>01391</v>
      </c>
      <c r="B1104" s="1" t="str">
        <f>"اميد"</f>
        <v>اميد</v>
      </c>
      <c r="C1104" s="1" t="str">
        <f>"محمدپور"</f>
        <v>محمدپور</v>
      </c>
      <c r="D1104" s="1" t="str">
        <f>"قراردادي کارگري"</f>
        <v>قراردادي کارگري</v>
      </c>
      <c r="E1104" s="1" t="str">
        <f>"پروژه تعميرات نيروگاه بوشهر"</f>
        <v>پروژه تعميرات نيروگاه بوشهر</v>
      </c>
      <c r="F1104" s="1">
        <v>11112690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400000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1100000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12612690</v>
      </c>
      <c r="AO1104" s="1">
        <v>926888</v>
      </c>
      <c r="AP1104" s="1">
        <v>11685802</v>
      </c>
      <c r="AQ1104" s="1">
        <v>2522538</v>
      </c>
      <c r="AR1104" s="1">
        <v>378381</v>
      </c>
      <c r="AS1104" s="1">
        <v>0</v>
      </c>
      <c r="AT1104" s="1">
        <f t="shared" si="117"/>
        <v>15513609</v>
      </c>
    </row>
    <row r="1105" spans="1:46">
      <c r="A1105" s="1" t="str">
        <f>"01392"</f>
        <v>01392</v>
      </c>
      <c r="B1105" s="1" t="str">
        <f>"سيد محمد"</f>
        <v>سيد محمد</v>
      </c>
      <c r="C1105" s="1" t="str">
        <f>"مير سليماني"</f>
        <v>مير سليماني</v>
      </c>
      <c r="D1105" s="1" t="str">
        <f t="shared" ref="D1105:D1138" si="118">"قراردادي بهره بردار"</f>
        <v>قراردادي بهره بردار</v>
      </c>
      <c r="E1105" s="1" t="str">
        <f t="shared" ref="E1105:E1138" si="119">"پروژه بهره برداري نيروگاه بوشهر"</f>
        <v>پروژه بهره برداري نيروگاه بوشهر</v>
      </c>
      <c r="F1105" s="1">
        <v>11112690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400000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1100000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12612690</v>
      </c>
      <c r="AO1105" s="1">
        <v>926888</v>
      </c>
      <c r="AP1105" s="1">
        <v>11685802</v>
      </c>
      <c r="AQ1105" s="1">
        <v>2522538</v>
      </c>
      <c r="AR1105" s="1">
        <v>378381</v>
      </c>
      <c r="AS1105" s="1">
        <v>0</v>
      </c>
      <c r="AT1105" s="1">
        <f t="shared" si="117"/>
        <v>15513609</v>
      </c>
    </row>
    <row r="1106" spans="1:46">
      <c r="A1106" s="1" t="str">
        <f>"01393"</f>
        <v>01393</v>
      </c>
      <c r="B1106" s="1" t="str">
        <f>"پيمان"</f>
        <v>پيمان</v>
      </c>
      <c r="C1106" s="1" t="str">
        <f>"نجفي"</f>
        <v>نجفي</v>
      </c>
      <c r="D1106" s="1" t="str">
        <f t="shared" si="118"/>
        <v>قراردادي بهره بردار</v>
      </c>
      <c r="E1106" s="1" t="str">
        <f t="shared" si="119"/>
        <v>پروژه بهره برداري نيروگاه بوشهر</v>
      </c>
      <c r="F1106" s="1">
        <v>11112690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400000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1100000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12612690</v>
      </c>
      <c r="AO1106" s="1">
        <v>926888</v>
      </c>
      <c r="AP1106" s="1">
        <v>11685802</v>
      </c>
      <c r="AQ1106" s="1">
        <v>2522538</v>
      </c>
      <c r="AR1106" s="1">
        <v>378381</v>
      </c>
      <c r="AS1106" s="1">
        <v>0</v>
      </c>
      <c r="AT1106" s="1">
        <f t="shared" si="117"/>
        <v>15513609</v>
      </c>
    </row>
    <row r="1107" spans="1:46">
      <c r="A1107" s="1" t="str">
        <f>"01394"</f>
        <v>01394</v>
      </c>
      <c r="B1107" s="1" t="str">
        <f>"محمدرضا"</f>
        <v>محمدرضا</v>
      </c>
      <c r="C1107" s="1" t="str">
        <f>"احمدپري"</f>
        <v>احمدپري</v>
      </c>
      <c r="D1107" s="1" t="str">
        <f t="shared" si="118"/>
        <v>قراردادي بهره بردار</v>
      </c>
      <c r="E1107" s="1" t="str">
        <f t="shared" si="119"/>
        <v>پروژه بهره برداري نيروگاه بوشهر</v>
      </c>
      <c r="F1107" s="1">
        <v>11112690</v>
      </c>
      <c r="G1107" s="1">
        <v>0</v>
      </c>
      <c r="H1107" s="1">
        <v>0</v>
      </c>
      <c r="I1107" s="1">
        <v>0</v>
      </c>
      <c r="J1107" s="1">
        <v>0</v>
      </c>
      <c r="K1107" s="1">
        <v>4258065</v>
      </c>
      <c r="L1107" s="1">
        <v>0</v>
      </c>
      <c r="M1107" s="1">
        <v>400000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1100000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16870755</v>
      </c>
      <c r="AO1107" s="1">
        <v>1224952</v>
      </c>
      <c r="AP1107" s="1">
        <v>15645803</v>
      </c>
      <c r="AQ1107" s="1">
        <v>3374151</v>
      </c>
      <c r="AR1107" s="1">
        <v>506123</v>
      </c>
      <c r="AS1107" s="1">
        <v>0</v>
      </c>
      <c r="AT1107" s="1">
        <f t="shared" si="117"/>
        <v>20751029</v>
      </c>
    </row>
    <row r="1108" spans="1:46">
      <c r="A1108" s="1" t="str">
        <f>"01395"</f>
        <v>01395</v>
      </c>
      <c r="B1108" s="1" t="str">
        <f>"وحيد"</f>
        <v>وحيد</v>
      </c>
      <c r="C1108" s="1" t="str">
        <f>"زندي"</f>
        <v>زندي</v>
      </c>
      <c r="D1108" s="1" t="str">
        <f t="shared" si="118"/>
        <v>قراردادي بهره بردار</v>
      </c>
      <c r="E1108" s="1" t="str">
        <f t="shared" si="119"/>
        <v>پروژه بهره برداري نيروگاه بوشهر</v>
      </c>
      <c r="F1108" s="1">
        <v>11112690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400000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1100000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12612690</v>
      </c>
      <c r="AO1108" s="1">
        <v>926888</v>
      </c>
      <c r="AP1108" s="1">
        <v>11685802</v>
      </c>
      <c r="AQ1108" s="1">
        <v>2522538</v>
      </c>
      <c r="AR1108" s="1">
        <v>378381</v>
      </c>
      <c r="AS1108" s="1">
        <v>0</v>
      </c>
      <c r="AT1108" s="1">
        <f t="shared" si="117"/>
        <v>15513609</v>
      </c>
    </row>
    <row r="1109" spans="1:46">
      <c r="A1109" s="1" t="str">
        <f>"01396"</f>
        <v>01396</v>
      </c>
      <c r="B1109" s="1" t="str">
        <f>"مهدي"</f>
        <v>مهدي</v>
      </c>
      <c r="C1109" s="1" t="str">
        <f>"ترحمي سيل آباد"</f>
        <v>ترحمي سيل آباد</v>
      </c>
      <c r="D1109" s="1" t="str">
        <f t="shared" si="118"/>
        <v>قراردادي بهره بردار</v>
      </c>
      <c r="E1109" s="1" t="str">
        <f t="shared" si="119"/>
        <v>پروژه بهره برداري نيروگاه بوشهر</v>
      </c>
      <c r="F1109" s="1">
        <v>11112690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400000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1100000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12612690</v>
      </c>
      <c r="AO1109" s="1">
        <v>926888</v>
      </c>
      <c r="AP1109" s="1">
        <v>11685802</v>
      </c>
      <c r="AQ1109" s="1">
        <v>2522538</v>
      </c>
      <c r="AR1109" s="1">
        <v>378381</v>
      </c>
      <c r="AS1109" s="1">
        <v>0</v>
      </c>
      <c r="AT1109" s="1">
        <f t="shared" si="117"/>
        <v>15513609</v>
      </c>
    </row>
    <row r="1110" spans="1:46">
      <c r="A1110" s="1" t="str">
        <f>"01397"</f>
        <v>01397</v>
      </c>
      <c r="B1110" s="1" t="str">
        <f>"محمد"</f>
        <v>محمد</v>
      </c>
      <c r="C1110" s="1" t="str">
        <f>"پديسار"</f>
        <v>پديسار</v>
      </c>
      <c r="D1110" s="1" t="str">
        <f t="shared" si="118"/>
        <v>قراردادي بهره بردار</v>
      </c>
      <c r="E1110" s="1" t="str">
        <f t="shared" si="119"/>
        <v>پروژه بهره برداري نيروگاه بوشهر</v>
      </c>
      <c r="F1110" s="1">
        <v>11112690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400000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1100000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12612690</v>
      </c>
      <c r="AO1110" s="1">
        <v>926888</v>
      </c>
      <c r="AP1110" s="1">
        <v>11685802</v>
      </c>
      <c r="AQ1110" s="1">
        <v>2522538</v>
      </c>
      <c r="AR1110" s="1">
        <v>378381</v>
      </c>
      <c r="AS1110" s="1">
        <v>0</v>
      </c>
      <c r="AT1110" s="1">
        <f t="shared" si="117"/>
        <v>15513609</v>
      </c>
    </row>
    <row r="1111" spans="1:46">
      <c r="A1111" s="1" t="str">
        <f>"01398"</f>
        <v>01398</v>
      </c>
      <c r="B1111" s="1" t="str">
        <f>"پژمان"</f>
        <v>پژمان</v>
      </c>
      <c r="C1111" s="1" t="str">
        <f>"سروري"</f>
        <v>سروري</v>
      </c>
      <c r="D1111" s="1" t="str">
        <f t="shared" si="118"/>
        <v>قراردادي بهره بردار</v>
      </c>
      <c r="E1111" s="1" t="str">
        <f t="shared" si="119"/>
        <v>پروژه بهره برداري نيروگاه بوشهر</v>
      </c>
      <c r="F1111" s="1">
        <v>11112690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400000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1100000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12612690</v>
      </c>
      <c r="AO1111" s="1">
        <v>926888</v>
      </c>
      <c r="AP1111" s="1">
        <v>11685802</v>
      </c>
      <c r="AQ1111" s="1">
        <v>2522538</v>
      </c>
      <c r="AR1111" s="1">
        <v>378381</v>
      </c>
      <c r="AS1111" s="1">
        <v>0</v>
      </c>
      <c r="AT1111" s="1">
        <f t="shared" si="117"/>
        <v>15513609</v>
      </c>
    </row>
    <row r="1112" spans="1:46">
      <c r="A1112" s="1" t="str">
        <f>"01399"</f>
        <v>01399</v>
      </c>
      <c r="B1112" s="1" t="str">
        <f>"سيد ساعد"</f>
        <v>سيد ساعد</v>
      </c>
      <c r="C1112" s="1" t="str">
        <f>"فداکار"</f>
        <v>فداکار</v>
      </c>
      <c r="D1112" s="1" t="str">
        <f t="shared" si="118"/>
        <v>قراردادي بهره بردار</v>
      </c>
      <c r="E1112" s="1" t="str">
        <f t="shared" si="119"/>
        <v>پروژه بهره برداري نيروگاه بوشهر</v>
      </c>
      <c r="F1112" s="1">
        <v>11112690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400000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1100000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12612690</v>
      </c>
      <c r="AO1112" s="1">
        <v>926888</v>
      </c>
      <c r="AP1112" s="1">
        <v>11685802</v>
      </c>
      <c r="AQ1112" s="1">
        <v>2522538</v>
      </c>
      <c r="AR1112" s="1">
        <v>378381</v>
      </c>
      <c r="AS1112" s="1">
        <v>0</v>
      </c>
      <c r="AT1112" s="1">
        <f t="shared" si="117"/>
        <v>15513609</v>
      </c>
    </row>
    <row r="1113" spans="1:46">
      <c r="A1113" s="1" t="str">
        <f>"01400"</f>
        <v>01400</v>
      </c>
      <c r="B1113" s="1" t="str">
        <f>"اسماعيل"</f>
        <v>اسماعيل</v>
      </c>
      <c r="C1113" s="1" t="str">
        <f>"احمد حسيني"</f>
        <v>احمد حسيني</v>
      </c>
      <c r="D1113" s="1" t="str">
        <f t="shared" si="118"/>
        <v>قراردادي بهره بردار</v>
      </c>
      <c r="E1113" s="1" t="str">
        <f t="shared" si="119"/>
        <v>پروژه بهره برداري نيروگاه بوشهر</v>
      </c>
      <c r="F1113" s="1">
        <v>11112690</v>
      </c>
      <c r="G1113" s="1">
        <v>0</v>
      </c>
      <c r="H1113" s="1">
        <v>0</v>
      </c>
      <c r="I1113" s="1">
        <v>0</v>
      </c>
      <c r="J1113" s="1">
        <v>0</v>
      </c>
      <c r="K1113" s="1">
        <v>3576774</v>
      </c>
      <c r="L1113" s="1">
        <v>0</v>
      </c>
      <c r="M1113" s="1">
        <v>400000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1100000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16189464</v>
      </c>
      <c r="AO1113" s="1">
        <v>1177262</v>
      </c>
      <c r="AP1113" s="1">
        <v>15012202</v>
      </c>
      <c r="AQ1113" s="1">
        <v>3237893</v>
      </c>
      <c r="AR1113" s="1">
        <v>485685</v>
      </c>
      <c r="AS1113" s="1">
        <v>0</v>
      </c>
      <c r="AT1113" s="1">
        <f t="shared" si="117"/>
        <v>19913042</v>
      </c>
    </row>
    <row r="1114" spans="1:46">
      <c r="A1114" s="1" t="str">
        <f>"01401"</f>
        <v>01401</v>
      </c>
      <c r="B1114" s="1" t="str">
        <f>"علي"</f>
        <v>علي</v>
      </c>
      <c r="C1114" s="1" t="str">
        <f>"دشتي زاده"</f>
        <v>دشتي زاده</v>
      </c>
      <c r="D1114" s="1" t="str">
        <f t="shared" si="118"/>
        <v>قراردادي بهره بردار</v>
      </c>
      <c r="E1114" s="1" t="str">
        <f t="shared" si="119"/>
        <v>پروژه بهره برداري نيروگاه بوشهر</v>
      </c>
      <c r="F1114" s="1">
        <v>11112690</v>
      </c>
      <c r="G1114" s="1">
        <v>0</v>
      </c>
      <c r="H1114" s="1">
        <v>0</v>
      </c>
      <c r="I1114" s="1">
        <v>0</v>
      </c>
      <c r="J1114" s="1">
        <v>0</v>
      </c>
      <c r="K1114" s="1">
        <v>3576774</v>
      </c>
      <c r="L1114" s="1">
        <v>0</v>
      </c>
      <c r="M1114" s="1">
        <v>400000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1100000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16189464</v>
      </c>
      <c r="AO1114" s="1">
        <v>1177262</v>
      </c>
      <c r="AP1114" s="1">
        <v>15012202</v>
      </c>
      <c r="AQ1114" s="1">
        <v>3237893</v>
      </c>
      <c r="AR1114" s="1">
        <v>485685</v>
      </c>
      <c r="AS1114" s="1">
        <v>0</v>
      </c>
      <c r="AT1114" s="1">
        <f t="shared" si="117"/>
        <v>19913042</v>
      </c>
    </row>
    <row r="1115" spans="1:46">
      <c r="A1115" s="1" t="str">
        <f>"01402"</f>
        <v>01402</v>
      </c>
      <c r="B1115" s="1" t="str">
        <f>"روح اله"</f>
        <v>روح اله</v>
      </c>
      <c r="C1115" s="1" t="str">
        <f>"دهقاني"</f>
        <v>دهقاني</v>
      </c>
      <c r="D1115" s="1" t="str">
        <f t="shared" si="118"/>
        <v>قراردادي بهره بردار</v>
      </c>
      <c r="E1115" s="1" t="str">
        <f t="shared" si="119"/>
        <v>پروژه بهره برداري نيروگاه بوشهر</v>
      </c>
      <c r="F1115" s="1">
        <v>11112690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400000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1100000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12612690</v>
      </c>
      <c r="AO1115" s="1">
        <v>926888</v>
      </c>
      <c r="AP1115" s="1">
        <v>11685802</v>
      </c>
      <c r="AQ1115" s="1">
        <v>2522538</v>
      </c>
      <c r="AR1115" s="1">
        <v>378381</v>
      </c>
      <c r="AS1115" s="1">
        <v>0</v>
      </c>
      <c r="AT1115" s="1">
        <f t="shared" si="117"/>
        <v>15513609</v>
      </c>
    </row>
    <row r="1116" spans="1:46">
      <c r="A1116" s="1" t="str">
        <f>"01403"</f>
        <v>01403</v>
      </c>
      <c r="B1116" s="1" t="str">
        <f>"محمد مجتبي"</f>
        <v>محمد مجتبي</v>
      </c>
      <c r="C1116" s="1" t="str">
        <f>"کشت کار"</f>
        <v>کشت کار</v>
      </c>
      <c r="D1116" s="1" t="str">
        <f t="shared" si="118"/>
        <v>قراردادي بهره بردار</v>
      </c>
      <c r="E1116" s="1" t="str">
        <f t="shared" si="119"/>
        <v>پروژه بهره برداري نيروگاه بوشهر</v>
      </c>
      <c r="F1116" s="1">
        <v>11112690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400000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1100000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12612690</v>
      </c>
      <c r="AO1116" s="1">
        <v>926888</v>
      </c>
      <c r="AP1116" s="1">
        <v>11685802</v>
      </c>
      <c r="AQ1116" s="1">
        <v>2522538</v>
      </c>
      <c r="AR1116" s="1">
        <v>378381</v>
      </c>
      <c r="AS1116" s="1">
        <v>0</v>
      </c>
      <c r="AT1116" s="1">
        <f t="shared" si="117"/>
        <v>15513609</v>
      </c>
    </row>
    <row r="1117" spans="1:46">
      <c r="A1117" s="1" t="str">
        <f>"01404"</f>
        <v>01404</v>
      </c>
      <c r="B1117" s="1" t="str">
        <f>"مصطفي"</f>
        <v>مصطفي</v>
      </c>
      <c r="C1117" s="1" t="str">
        <f>"آذرخش"</f>
        <v>آذرخش</v>
      </c>
      <c r="D1117" s="1" t="str">
        <f t="shared" si="118"/>
        <v>قراردادي بهره بردار</v>
      </c>
      <c r="E1117" s="1" t="str">
        <f t="shared" si="119"/>
        <v>پروژه بهره برداري نيروگاه بوشهر</v>
      </c>
      <c r="F1117" s="1">
        <v>11112690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400000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>
        <v>1100000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12612690</v>
      </c>
      <c r="AO1117" s="1">
        <v>926888</v>
      </c>
      <c r="AP1117" s="1">
        <v>11685802</v>
      </c>
      <c r="AQ1117" s="1">
        <v>2522538</v>
      </c>
      <c r="AR1117" s="1">
        <v>378381</v>
      </c>
      <c r="AS1117" s="1">
        <v>0</v>
      </c>
      <c r="AT1117" s="1">
        <f t="shared" si="117"/>
        <v>15513609</v>
      </c>
    </row>
    <row r="1118" spans="1:46">
      <c r="A1118" s="1" t="str">
        <f>"01405"</f>
        <v>01405</v>
      </c>
      <c r="B1118" s="1" t="str">
        <f>"يوسف"</f>
        <v>يوسف</v>
      </c>
      <c r="C1118" s="1" t="str">
        <f>"زنده بودي"</f>
        <v>زنده بودي</v>
      </c>
      <c r="D1118" s="1" t="str">
        <f t="shared" si="118"/>
        <v>قراردادي بهره بردار</v>
      </c>
      <c r="E1118" s="1" t="str">
        <f t="shared" si="119"/>
        <v>پروژه بهره برداري نيروگاه بوشهر</v>
      </c>
      <c r="F1118" s="1">
        <v>11112690</v>
      </c>
      <c r="G1118" s="1">
        <v>0</v>
      </c>
      <c r="H1118" s="1">
        <v>0</v>
      </c>
      <c r="I1118" s="1">
        <v>0</v>
      </c>
      <c r="J1118" s="1">
        <v>0</v>
      </c>
      <c r="K1118" s="1">
        <v>3576774</v>
      </c>
      <c r="L1118" s="1">
        <v>0</v>
      </c>
      <c r="M1118" s="1">
        <v>400000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1100000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16189464</v>
      </c>
      <c r="AO1118" s="1">
        <v>1177262</v>
      </c>
      <c r="AP1118" s="1">
        <v>15012202</v>
      </c>
      <c r="AQ1118" s="1">
        <v>3237893</v>
      </c>
      <c r="AR1118" s="1">
        <v>485685</v>
      </c>
      <c r="AS1118" s="1">
        <v>0</v>
      </c>
      <c r="AT1118" s="1">
        <f t="shared" si="117"/>
        <v>19913042</v>
      </c>
    </row>
    <row r="1119" spans="1:46">
      <c r="A1119" s="1" t="str">
        <f>"01406"</f>
        <v>01406</v>
      </c>
      <c r="B1119" s="1" t="str">
        <f>"مصطفي"</f>
        <v>مصطفي</v>
      </c>
      <c r="C1119" s="1" t="str">
        <f>"محمدي گلوردي"</f>
        <v>محمدي گلوردي</v>
      </c>
      <c r="D1119" s="1" t="str">
        <f t="shared" si="118"/>
        <v>قراردادي بهره بردار</v>
      </c>
      <c r="E1119" s="1" t="str">
        <f t="shared" si="119"/>
        <v>پروژه بهره برداري نيروگاه بوشهر</v>
      </c>
      <c r="F1119" s="1">
        <v>11112690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400000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1100000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12612690</v>
      </c>
      <c r="AO1119" s="1">
        <v>926888</v>
      </c>
      <c r="AP1119" s="1">
        <v>11685802</v>
      </c>
      <c r="AQ1119" s="1">
        <v>2522538</v>
      </c>
      <c r="AR1119" s="1">
        <v>378381</v>
      </c>
      <c r="AS1119" s="1">
        <v>0</v>
      </c>
      <c r="AT1119" s="1">
        <f t="shared" si="117"/>
        <v>15513609</v>
      </c>
    </row>
    <row r="1120" spans="1:46">
      <c r="A1120" s="1" t="str">
        <f>"01407"</f>
        <v>01407</v>
      </c>
      <c r="B1120" s="1" t="str">
        <f>"سجاد"</f>
        <v>سجاد</v>
      </c>
      <c r="C1120" s="1" t="str">
        <f>"رستمي"</f>
        <v>رستمي</v>
      </c>
      <c r="D1120" s="1" t="str">
        <f t="shared" si="118"/>
        <v>قراردادي بهره بردار</v>
      </c>
      <c r="E1120" s="1" t="str">
        <f t="shared" si="119"/>
        <v>پروژه بهره برداري نيروگاه بوشهر</v>
      </c>
      <c r="F1120" s="1">
        <v>11112690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400000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1100000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12612690</v>
      </c>
      <c r="AO1120" s="1">
        <v>926888</v>
      </c>
      <c r="AP1120" s="1">
        <v>11685802</v>
      </c>
      <c r="AQ1120" s="1">
        <v>2522538</v>
      </c>
      <c r="AR1120" s="1">
        <v>378381</v>
      </c>
      <c r="AS1120" s="1">
        <v>0</v>
      </c>
      <c r="AT1120" s="1">
        <f t="shared" si="117"/>
        <v>15513609</v>
      </c>
    </row>
    <row r="1121" spans="1:46">
      <c r="A1121" s="1" t="str">
        <f>"01408"</f>
        <v>01408</v>
      </c>
      <c r="B1121" s="1" t="str">
        <f>"مصطفي"</f>
        <v>مصطفي</v>
      </c>
      <c r="C1121" s="1" t="str">
        <f>"محمدي"</f>
        <v>محمدي</v>
      </c>
      <c r="D1121" s="1" t="str">
        <f t="shared" si="118"/>
        <v>قراردادي بهره بردار</v>
      </c>
      <c r="E1121" s="1" t="str">
        <f t="shared" si="119"/>
        <v>پروژه بهره برداري نيروگاه بوشهر</v>
      </c>
      <c r="F1121" s="1">
        <v>11112690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400000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1100000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12612690</v>
      </c>
      <c r="AO1121" s="1">
        <v>926888</v>
      </c>
      <c r="AP1121" s="1">
        <v>11685802</v>
      </c>
      <c r="AQ1121" s="1">
        <v>2522538</v>
      </c>
      <c r="AR1121" s="1">
        <v>378381</v>
      </c>
      <c r="AS1121" s="1">
        <v>0</v>
      </c>
      <c r="AT1121" s="1">
        <f t="shared" si="117"/>
        <v>15513609</v>
      </c>
    </row>
    <row r="1122" spans="1:46">
      <c r="A1122" s="1" t="str">
        <f>"01409"</f>
        <v>01409</v>
      </c>
      <c r="B1122" s="1" t="str">
        <f>"عبدالرحيم"</f>
        <v>عبدالرحيم</v>
      </c>
      <c r="C1122" s="1" t="str">
        <f>"نيکنام"</f>
        <v>نيکنام</v>
      </c>
      <c r="D1122" s="1" t="str">
        <f t="shared" si="118"/>
        <v>قراردادي بهره بردار</v>
      </c>
      <c r="E1122" s="1" t="str">
        <f t="shared" si="119"/>
        <v>پروژه بهره برداري نيروگاه بوشهر</v>
      </c>
      <c r="F1122" s="1">
        <v>11112690</v>
      </c>
      <c r="G1122" s="1">
        <v>0</v>
      </c>
      <c r="H1122" s="1">
        <v>0</v>
      </c>
      <c r="I1122" s="1">
        <v>0</v>
      </c>
      <c r="J1122" s="1">
        <v>0</v>
      </c>
      <c r="K1122" s="1">
        <v>3576774</v>
      </c>
      <c r="L1122" s="1">
        <v>0</v>
      </c>
      <c r="M1122" s="1">
        <v>400000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1100000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16189464</v>
      </c>
      <c r="AO1122" s="1">
        <v>1177262</v>
      </c>
      <c r="AP1122" s="1">
        <v>15012202</v>
      </c>
      <c r="AQ1122" s="1">
        <v>3237893</v>
      </c>
      <c r="AR1122" s="1">
        <v>485685</v>
      </c>
      <c r="AS1122" s="1">
        <v>0</v>
      </c>
      <c r="AT1122" s="1">
        <f t="shared" si="117"/>
        <v>19913042</v>
      </c>
    </row>
    <row r="1123" spans="1:46">
      <c r="A1123" s="1" t="str">
        <f>"01410"</f>
        <v>01410</v>
      </c>
      <c r="B1123" s="1" t="str">
        <f>"حسين"</f>
        <v>حسين</v>
      </c>
      <c r="C1123" s="1" t="str">
        <f>"اندرياي"</f>
        <v>اندرياي</v>
      </c>
      <c r="D1123" s="1" t="str">
        <f t="shared" si="118"/>
        <v>قراردادي بهره بردار</v>
      </c>
      <c r="E1123" s="1" t="str">
        <f t="shared" si="119"/>
        <v>پروژه بهره برداري نيروگاه بوشهر</v>
      </c>
      <c r="F1123" s="1">
        <v>11112690</v>
      </c>
      <c r="G1123" s="1">
        <v>0</v>
      </c>
      <c r="H1123" s="1">
        <v>0</v>
      </c>
      <c r="I1123" s="1">
        <v>0</v>
      </c>
      <c r="J1123" s="1">
        <v>0</v>
      </c>
      <c r="K1123" s="1">
        <v>3576774</v>
      </c>
      <c r="L1123" s="1">
        <v>0</v>
      </c>
      <c r="M1123" s="1">
        <v>400000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1100000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16189464</v>
      </c>
      <c r="AO1123" s="1">
        <v>1177262</v>
      </c>
      <c r="AP1123" s="1">
        <v>15012202</v>
      </c>
      <c r="AQ1123" s="1">
        <v>3237893</v>
      </c>
      <c r="AR1123" s="1">
        <v>485685</v>
      </c>
      <c r="AS1123" s="1">
        <v>0</v>
      </c>
      <c r="AT1123" s="1">
        <f t="shared" si="117"/>
        <v>19913042</v>
      </c>
    </row>
    <row r="1124" spans="1:46">
      <c r="A1124" s="1" t="str">
        <f>"01411"</f>
        <v>01411</v>
      </c>
      <c r="B1124" s="1" t="str">
        <f>"هادي"</f>
        <v>هادي</v>
      </c>
      <c r="C1124" s="1" t="str">
        <f>"تجويدي"</f>
        <v>تجويدي</v>
      </c>
      <c r="D1124" s="1" t="str">
        <f t="shared" si="118"/>
        <v>قراردادي بهره بردار</v>
      </c>
      <c r="E1124" s="1" t="str">
        <f t="shared" si="119"/>
        <v>پروژه بهره برداري نيروگاه بوشهر</v>
      </c>
      <c r="F1124" s="1">
        <v>11112690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400000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1100000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12612690</v>
      </c>
      <c r="AO1124" s="1">
        <v>926888</v>
      </c>
      <c r="AP1124" s="1">
        <v>11685802</v>
      </c>
      <c r="AQ1124" s="1">
        <v>2522538</v>
      </c>
      <c r="AR1124" s="1">
        <v>378381</v>
      </c>
      <c r="AS1124" s="1">
        <v>0</v>
      </c>
      <c r="AT1124" s="1">
        <f t="shared" si="117"/>
        <v>15513609</v>
      </c>
    </row>
    <row r="1125" spans="1:46">
      <c r="A1125" s="1" t="str">
        <f>"01412"</f>
        <v>01412</v>
      </c>
      <c r="B1125" s="1" t="str">
        <f>"مهرداد"</f>
        <v>مهرداد</v>
      </c>
      <c r="C1125" s="1" t="str">
        <f>"نظري"</f>
        <v>نظري</v>
      </c>
      <c r="D1125" s="1" t="str">
        <f t="shared" si="118"/>
        <v>قراردادي بهره بردار</v>
      </c>
      <c r="E1125" s="1" t="str">
        <f t="shared" si="119"/>
        <v>پروژه بهره برداري نيروگاه بوشهر</v>
      </c>
      <c r="F1125" s="1">
        <v>11112690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400000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1100000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12612690</v>
      </c>
      <c r="AO1125" s="1">
        <v>926888</v>
      </c>
      <c r="AP1125" s="1">
        <v>11685802</v>
      </c>
      <c r="AQ1125" s="1">
        <v>2522538</v>
      </c>
      <c r="AR1125" s="1">
        <v>378381</v>
      </c>
      <c r="AS1125" s="1">
        <v>0</v>
      </c>
      <c r="AT1125" s="1">
        <f t="shared" si="117"/>
        <v>15513609</v>
      </c>
    </row>
    <row r="1126" spans="1:46">
      <c r="A1126" s="1" t="str">
        <f>"01413"</f>
        <v>01413</v>
      </c>
      <c r="B1126" s="1" t="str">
        <f>"سجاد"</f>
        <v>سجاد</v>
      </c>
      <c r="C1126" s="1" t="str">
        <f>"مرادزاده"</f>
        <v>مرادزاده</v>
      </c>
      <c r="D1126" s="1" t="str">
        <f t="shared" si="118"/>
        <v>قراردادي بهره بردار</v>
      </c>
      <c r="E1126" s="1" t="str">
        <f t="shared" si="119"/>
        <v>پروژه بهره برداري نيروگاه بوشهر</v>
      </c>
      <c r="F1126" s="1">
        <v>11112690</v>
      </c>
      <c r="G1126" s="1">
        <v>0</v>
      </c>
      <c r="H1126" s="1">
        <v>0</v>
      </c>
      <c r="I1126" s="1">
        <v>0</v>
      </c>
      <c r="J1126" s="1">
        <v>0</v>
      </c>
      <c r="K1126" s="1">
        <v>3576774</v>
      </c>
      <c r="L1126" s="1">
        <v>0</v>
      </c>
      <c r="M1126" s="1">
        <v>400000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1100000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16189464</v>
      </c>
      <c r="AO1126" s="1">
        <v>1177262</v>
      </c>
      <c r="AP1126" s="1">
        <v>15012202</v>
      </c>
      <c r="AQ1126" s="1">
        <v>3237893</v>
      </c>
      <c r="AR1126" s="1">
        <v>485685</v>
      </c>
      <c r="AS1126" s="1">
        <v>0</v>
      </c>
      <c r="AT1126" s="1">
        <f t="shared" si="117"/>
        <v>19913042</v>
      </c>
    </row>
    <row r="1127" spans="1:46">
      <c r="A1127" s="1" t="str">
        <f>"01414"</f>
        <v>01414</v>
      </c>
      <c r="B1127" s="1" t="str">
        <f>"حسين"</f>
        <v>حسين</v>
      </c>
      <c r="C1127" s="1" t="str">
        <f>"آدره"</f>
        <v>آدره</v>
      </c>
      <c r="D1127" s="1" t="str">
        <f t="shared" si="118"/>
        <v>قراردادي بهره بردار</v>
      </c>
      <c r="E1127" s="1" t="str">
        <f t="shared" si="119"/>
        <v>پروژه بهره برداري نيروگاه بوشهر</v>
      </c>
      <c r="F1127" s="1">
        <v>11112690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400000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1100000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12612690</v>
      </c>
      <c r="AO1127" s="1">
        <v>926888</v>
      </c>
      <c r="AP1127" s="1">
        <v>11685802</v>
      </c>
      <c r="AQ1127" s="1">
        <v>2522538</v>
      </c>
      <c r="AR1127" s="1">
        <v>378381</v>
      </c>
      <c r="AS1127" s="1">
        <v>0</v>
      </c>
      <c r="AT1127" s="1">
        <f t="shared" si="117"/>
        <v>15513609</v>
      </c>
    </row>
    <row r="1128" spans="1:46">
      <c r="A1128" s="1" t="str">
        <f>"01415"</f>
        <v>01415</v>
      </c>
      <c r="B1128" s="1" t="str">
        <f>"تورج"</f>
        <v>تورج</v>
      </c>
      <c r="C1128" s="1" t="str">
        <f>"نظري"</f>
        <v>نظري</v>
      </c>
      <c r="D1128" s="1" t="str">
        <f t="shared" si="118"/>
        <v>قراردادي بهره بردار</v>
      </c>
      <c r="E1128" s="1" t="str">
        <f t="shared" si="119"/>
        <v>پروژه بهره برداري نيروگاه بوشهر</v>
      </c>
      <c r="F1128" s="1">
        <v>11112690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400000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1100000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12612690</v>
      </c>
      <c r="AO1128" s="1">
        <v>926888</v>
      </c>
      <c r="AP1128" s="1">
        <v>11685802</v>
      </c>
      <c r="AQ1128" s="1">
        <v>2522538</v>
      </c>
      <c r="AR1128" s="1">
        <v>378381</v>
      </c>
      <c r="AS1128" s="1">
        <v>0</v>
      </c>
      <c r="AT1128" s="1">
        <f t="shared" si="117"/>
        <v>15513609</v>
      </c>
    </row>
    <row r="1129" spans="1:46">
      <c r="A1129" s="1" t="str">
        <f>"01416"</f>
        <v>01416</v>
      </c>
      <c r="B1129" s="1" t="str">
        <f>"حسين"</f>
        <v>حسين</v>
      </c>
      <c r="C1129" s="1" t="str">
        <f>"مظاهري بني"</f>
        <v>مظاهري بني</v>
      </c>
      <c r="D1129" s="1" t="str">
        <f t="shared" si="118"/>
        <v>قراردادي بهره بردار</v>
      </c>
      <c r="E1129" s="1" t="str">
        <f t="shared" si="119"/>
        <v>پروژه بهره برداري نيروگاه بوشهر</v>
      </c>
      <c r="F1129" s="1">
        <v>11112690</v>
      </c>
      <c r="G1129" s="1">
        <v>0</v>
      </c>
      <c r="H1129" s="1">
        <v>0</v>
      </c>
      <c r="I1129" s="1">
        <v>0</v>
      </c>
      <c r="J1129" s="1">
        <v>0</v>
      </c>
      <c r="K1129" s="1">
        <v>2566667</v>
      </c>
      <c r="L1129" s="1">
        <v>0</v>
      </c>
      <c r="M1129" s="1">
        <v>400000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1100000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15179357</v>
      </c>
      <c r="AO1129" s="1">
        <v>1106555</v>
      </c>
      <c r="AP1129" s="1">
        <v>14072802</v>
      </c>
      <c r="AQ1129" s="1">
        <v>3035871</v>
      </c>
      <c r="AR1129" s="1">
        <v>455381</v>
      </c>
      <c r="AS1129" s="1">
        <v>0</v>
      </c>
      <c r="AT1129" s="1">
        <f t="shared" si="117"/>
        <v>18670609</v>
      </c>
    </row>
    <row r="1130" spans="1:46">
      <c r="A1130" s="1" t="str">
        <f>"01417"</f>
        <v>01417</v>
      </c>
      <c r="B1130" s="1" t="str">
        <f>"راضيه"</f>
        <v>راضيه</v>
      </c>
      <c r="C1130" s="1" t="str">
        <f>"هژبرنيا"</f>
        <v>هژبرنيا</v>
      </c>
      <c r="D1130" s="1" t="str">
        <f t="shared" si="118"/>
        <v>قراردادي بهره بردار</v>
      </c>
      <c r="E1130" s="1" t="str">
        <f t="shared" si="119"/>
        <v>پروژه بهره برداري نيروگاه بوشهر</v>
      </c>
      <c r="F1130" s="1">
        <v>11112690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400000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1100000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12612690</v>
      </c>
      <c r="AO1130" s="1">
        <v>926888</v>
      </c>
      <c r="AP1130" s="1">
        <v>11685802</v>
      </c>
      <c r="AQ1130" s="1">
        <v>2522538</v>
      </c>
      <c r="AR1130" s="1">
        <v>378381</v>
      </c>
      <c r="AS1130" s="1">
        <v>0</v>
      </c>
      <c r="AT1130" s="1">
        <f t="shared" si="117"/>
        <v>15513609</v>
      </c>
    </row>
    <row r="1131" spans="1:46">
      <c r="A1131" s="1" t="str">
        <f>"01418"</f>
        <v>01418</v>
      </c>
      <c r="B1131" s="1" t="str">
        <f>"اميد"</f>
        <v>اميد</v>
      </c>
      <c r="C1131" s="1" t="str">
        <f>"سبحاني جو"</f>
        <v>سبحاني جو</v>
      </c>
      <c r="D1131" s="1" t="str">
        <f t="shared" si="118"/>
        <v>قراردادي بهره بردار</v>
      </c>
      <c r="E1131" s="1" t="str">
        <f t="shared" si="119"/>
        <v>پروژه بهره برداري نيروگاه بوشهر</v>
      </c>
      <c r="F1131" s="1">
        <v>11112690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400000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1100000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12612690</v>
      </c>
      <c r="AO1131" s="1">
        <v>926888</v>
      </c>
      <c r="AP1131" s="1">
        <v>11685802</v>
      </c>
      <c r="AQ1131" s="1">
        <v>2522538</v>
      </c>
      <c r="AR1131" s="1">
        <v>378381</v>
      </c>
      <c r="AS1131" s="1">
        <v>0</v>
      </c>
      <c r="AT1131" s="1">
        <f t="shared" si="117"/>
        <v>15513609</v>
      </c>
    </row>
    <row r="1132" spans="1:46">
      <c r="A1132" s="1" t="str">
        <f>"01419"</f>
        <v>01419</v>
      </c>
      <c r="B1132" s="1" t="str">
        <f>"سيد عادل"</f>
        <v>سيد عادل</v>
      </c>
      <c r="C1132" s="1" t="str">
        <f>"هاشمي تنگستاني"</f>
        <v>هاشمي تنگستاني</v>
      </c>
      <c r="D1132" s="1" t="str">
        <f t="shared" si="118"/>
        <v>قراردادي بهره بردار</v>
      </c>
      <c r="E1132" s="1" t="str">
        <f t="shared" si="119"/>
        <v>پروژه بهره برداري نيروگاه بوشهر</v>
      </c>
      <c r="F1132" s="1">
        <v>11112690</v>
      </c>
      <c r="G1132" s="1">
        <v>0</v>
      </c>
      <c r="H1132" s="1">
        <v>0</v>
      </c>
      <c r="I1132" s="1">
        <v>0</v>
      </c>
      <c r="J1132" s="1">
        <v>0</v>
      </c>
      <c r="K1132" s="1">
        <v>4769032</v>
      </c>
      <c r="L1132" s="1">
        <v>0</v>
      </c>
      <c r="M1132" s="1">
        <v>400000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1100000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17381722</v>
      </c>
      <c r="AO1132" s="1">
        <v>1260720</v>
      </c>
      <c r="AP1132" s="1">
        <v>16121002</v>
      </c>
      <c r="AQ1132" s="1">
        <v>3476344</v>
      </c>
      <c r="AR1132" s="1">
        <v>521452</v>
      </c>
      <c r="AS1132" s="1">
        <v>0</v>
      </c>
      <c r="AT1132" s="1">
        <f t="shared" si="117"/>
        <v>21379518</v>
      </c>
    </row>
    <row r="1133" spans="1:46">
      <c r="A1133" s="1" t="str">
        <f>"01420"</f>
        <v>01420</v>
      </c>
      <c r="B1133" s="1" t="str">
        <f>"اميد"</f>
        <v>اميد</v>
      </c>
      <c r="C1133" s="1" t="str">
        <f>"زارع گلستاني"</f>
        <v>زارع گلستاني</v>
      </c>
      <c r="D1133" s="1" t="str">
        <f t="shared" si="118"/>
        <v>قراردادي بهره بردار</v>
      </c>
      <c r="E1133" s="1" t="str">
        <f t="shared" si="119"/>
        <v>پروژه بهره برداري نيروگاه بوشهر</v>
      </c>
      <c r="F1133" s="1">
        <v>11112690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400000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1100000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12612690</v>
      </c>
      <c r="AO1133" s="1">
        <v>926888</v>
      </c>
      <c r="AP1133" s="1">
        <v>11685802</v>
      </c>
      <c r="AQ1133" s="1">
        <v>2522538</v>
      </c>
      <c r="AR1133" s="1">
        <v>378381</v>
      </c>
      <c r="AS1133" s="1">
        <v>0</v>
      </c>
      <c r="AT1133" s="1">
        <f t="shared" si="117"/>
        <v>15513609</v>
      </c>
    </row>
    <row r="1134" spans="1:46">
      <c r="A1134" s="1" t="str">
        <f>"01421"</f>
        <v>01421</v>
      </c>
      <c r="B1134" s="1" t="str">
        <f>"ساسان"</f>
        <v>ساسان</v>
      </c>
      <c r="C1134" s="1" t="str">
        <f>"رحيمي"</f>
        <v>رحيمي</v>
      </c>
      <c r="D1134" s="1" t="str">
        <f t="shared" si="118"/>
        <v>قراردادي بهره بردار</v>
      </c>
      <c r="E1134" s="1" t="str">
        <f t="shared" si="119"/>
        <v>پروژه بهره برداري نيروگاه بوشهر</v>
      </c>
      <c r="F1134" s="1">
        <v>11112690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400000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1100000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12612690</v>
      </c>
      <c r="AO1134" s="1">
        <v>926888</v>
      </c>
      <c r="AP1134" s="1">
        <v>11685802</v>
      </c>
      <c r="AQ1134" s="1">
        <v>2522538</v>
      </c>
      <c r="AR1134" s="1">
        <v>378381</v>
      </c>
      <c r="AS1134" s="1">
        <v>0</v>
      </c>
      <c r="AT1134" s="1">
        <f t="shared" si="117"/>
        <v>15513609</v>
      </c>
    </row>
    <row r="1135" spans="1:46">
      <c r="A1135" s="1" t="str">
        <f>"01422"</f>
        <v>01422</v>
      </c>
      <c r="B1135" s="1" t="str">
        <f>"صابر"</f>
        <v>صابر</v>
      </c>
      <c r="C1135" s="1" t="str">
        <f>"حيدري"</f>
        <v>حيدري</v>
      </c>
      <c r="D1135" s="1" t="str">
        <f t="shared" si="118"/>
        <v>قراردادي بهره بردار</v>
      </c>
      <c r="E1135" s="1" t="str">
        <f t="shared" si="119"/>
        <v>پروژه بهره برداري نيروگاه بوشهر</v>
      </c>
      <c r="F1135" s="1">
        <v>1481692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53333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146667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1681692</v>
      </c>
      <c r="AO1135" s="1">
        <v>1681692</v>
      </c>
      <c r="AP1135" s="1">
        <v>0</v>
      </c>
      <c r="AQ1135" s="1">
        <v>336338</v>
      </c>
      <c r="AR1135" s="1">
        <v>50451</v>
      </c>
      <c r="AS1135" s="1">
        <v>0</v>
      </c>
      <c r="AT1135" s="1">
        <f t="shared" si="117"/>
        <v>2068481</v>
      </c>
    </row>
    <row r="1136" spans="1:46">
      <c r="A1136" s="1" t="str">
        <f>"01423"</f>
        <v>01423</v>
      </c>
      <c r="B1136" s="1" t="str">
        <f>"عليرضا"</f>
        <v>عليرضا</v>
      </c>
      <c r="C1136" s="1" t="str">
        <f>"حاجياني"</f>
        <v>حاجياني</v>
      </c>
      <c r="D1136" s="1" t="str">
        <f t="shared" si="118"/>
        <v>قراردادي بهره بردار</v>
      </c>
      <c r="E1136" s="1" t="str">
        <f t="shared" si="119"/>
        <v>پروژه بهره برداري نيروگاه بوشهر</v>
      </c>
      <c r="F1136" s="1">
        <v>11112690</v>
      </c>
      <c r="G1136" s="1">
        <v>0</v>
      </c>
      <c r="H1136" s="1">
        <v>0</v>
      </c>
      <c r="I1136" s="1">
        <v>0</v>
      </c>
      <c r="J1136" s="1">
        <v>0</v>
      </c>
      <c r="K1136" s="1">
        <v>3576774</v>
      </c>
      <c r="L1136" s="1">
        <v>0</v>
      </c>
      <c r="M1136" s="1">
        <v>400000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1100000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16189464</v>
      </c>
      <c r="AO1136" s="1">
        <v>1177262</v>
      </c>
      <c r="AP1136" s="1">
        <v>15012202</v>
      </c>
      <c r="AQ1136" s="1">
        <v>3237893</v>
      </c>
      <c r="AR1136" s="1">
        <v>485685</v>
      </c>
      <c r="AS1136" s="1">
        <v>0</v>
      </c>
      <c r="AT1136" s="1">
        <f t="shared" si="117"/>
        <v>19913042</v>
      </c>
    </row>
    <row r="1137" spans="1:46">
      <c r="A1137" s="1" t="str">
        <f>"01424"</f>
        <v>01424</v>
      </c>
      <c r="B1137" s="1" t="str">
        <f>"سيد سجاد"</f>
        <v>سيد سجاد</v>
      </c>
      <c r="C1137" s="1" t="str">
        <f>"نعمت اللهي"</f>
        <v>نعمت اللهي</v>
      </c>
      <c r="D1137" s="1" t="str">
        <f t="shared" si="118"/>
        <v>قراردادي بهره بردار</v>
      </c>
      <c r="E1137" s="1" t="str">
        <f t="shared" si="119"/>
        <v>پروژه بهره برداري نيروگاه بوشهر</v>
      </c>
      <c r="F1137" s="1">
        <v>11112690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400000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1100000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12612690</v>
      </c>
      <c r="AO1137" s="1">
        <v>926888</v>
      </c>
      <c r="AP1137" s="1">
        <v>11685802</v>
      </c>
      <c r="AQ1137" s="1">
        <v>2522538</v>
      </c>
      <c r="AR1137" s="1">
        <v>378381</v>
      </c>
      <c r="AS1137" s="1">
        <v>0</v>
      </c>
      <c r="AT1137" s="1">
        <f t="shared" si="117"/>
        <v>15513609</v>
      </c>
    </row>
    <row r="1138" spans="1:46">
      <c r="A1138" s="1" t="str">
        <f>"01425"</f>
        <v>01425</v>
      </c>
      <c r="B1138" s="1" t="str">
        <f>"اشکان"</f>
        <v>اشکان</v>
      </c>
      <c r="C1138" s="1" t="str">
        <f>"احمدي دوقزلو"</f>
        <v>احمدي دوقزلو</v>
      </c>
      <c r="D1138" s="1" t="str">
        <f t="shared" si="118"/>
        <v>قراردادي بهره بردار</v>
      </c>
      <c r="E1138" s="1" t="str">
        <f t="shared" si="119"/>
        <v>پروژه بهره برداري نيروگاه بوشهر</v>
      </c>
      <c r="F1138" s="1">
        <v>11112690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400000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1100000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12612690</v>
      </c>
      <c r="AO1138" s="1">
        <v>926888</v>
      </c>
      <c r="AP1138" s="1">
        <v>11685802</v>
      </c>
      <c r="AQ1138" s="1">
        <v>2522538</v>
      </c>
      <c r="AR1138" s="1">
        <v>378381</v>
      </c>
      <c r="AS1138" s="1">
        <v>0</v>
      </c>
      <c r="AT1138" s="1">
        <f t="shared" si="117"/>
        <v>15513609</v>
      </c>
    </row>
    <row r="1139" spans="1:46">
      <c r="AT1139" s="1">
        <f>SUM(AT2:AT1138)</f>
        <v>65684881394</v>
      </c>
    </row>
  </sheetData>
  <sortState ref="A2:BE1138">
    <sortCondition ref="A2:A113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9707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2018-11-10T05:48:40Z</dcterms:created>
  <dcterms:modified xsi:type="dcterms:W3CDTF">2018-11-26T05:32:31Z</dcterms:modified>
</cp:coreProperties>
</file>