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قرارداد های فی مابین با شرکتها\صورت وضعیت سال 94\صورت وضعیت سال 94\تولید توسعه\دارخوین\بهمن دارخوین\"/>
    </mc:Choice>
  </mc:AlternateContent>
  <bookViews>
    <workbookView xWindow="0" yWindow="0" windowWidth="20400" windowHeight="9600" activeTab="4"/>
  </bookViews>
  <sheets>
    <sheet name="بهمن ماه توليد توسعه دارخوين " sheetId="1" r:id="rId1"/>
    <sheet name="رفاهیات " sheetId="4" r:id="rId2"/>
    <sheet name="رفاهی " sheetId="7" r:id="rId3"/>
    <sheet name="سنوات " sheetId="6" r:id="rId4"/>
    <sheet name="جدول  " sheetId="2" r:id="rId5"/>
  </sheets>
  <definedNames>
    <definedName name="_xlnm.Print_Area" localSheetId="4">'جدول  '!$A$1:$L$14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E5" i="2"/>
  <c r="E35" i="4"/>
  <c r="G35" i="7"/>
  <c r="N34" i="6" l="1"/>
  <c r="O34" i="6"/>
  <c r="P34" i="6"/>
  <c r="E34" i="6"/>
  <c r="F34" i="6"/>
  <c r="G34" i="6"/>
  <c r="H34" i="6"/>
  <c r="I34" i="6"/>
  <c r="J34" i="6"/>
  <c r="K34" i="6"/>
  <c r="L34" i="6"/>
  <c r="M34" i="6"/>
  <c r="D34" i="6"/>
  <c r="N4" i="6"/>
  <c r="O4" i="6" s="1"/>
  <c r="P4" i="6"/>
  <c r="N5" i="6"/>
  <c r="O5" i="6"/>
  <c r="P5" i="6"/>
  <c r="N6" i="6"/>
  <c r="O6" i="6" s="1"/>
  <c r="P6" i="6"/>
  <c r="N7" i="6"/>
  <c r="O7" i="6"/>
  <c r="P7" i="6"/>
  <c r="N8" i="6"/>
  <c r="O8" i="6" s="1"/>
  <c r="P8" i="6"/>
  <c r="N9" i="6"/>
  <c r="O9" i="6"/>
  <c r="P9" i="6"/>
  <c r="N10" i="6"/>
  <c r="O10" i="6" s="1"/>
  <c r="P10" i="6"/>
  <c r="N11" i="6"/>
  <c r="O11" i="6"/>
  <c r="P11" i="6"/>
  <c r="N12" i="6"/>
  <c r="O12" i="6" s="1"/>
  <c r="P12" i="6"/>
  <c r="N13" i="6"/>
  <c r="O13" i="6"/>
  <c r="P13" i="6"/>
  <c r="N14" i="6"/>
  <c r="O14" i="6" s="1"/>
  <c r="P14" i="6"/>
  <c r="N15" i="6"/>
  <c r="O15" i="6"/>
  <c r="P15" i="6"/>
  <c r="N16" i="6"/>
  <c r="O16" i="6" s="1"/>
  <c r="P16" i="6"/>
  <c r="N17" i="6"/>
  <c r="O17" i="6"/>
  <c r="P17" i="6"/>
  <c r="N18" i="6"/>
  <c r="O18" i="6" s="1"/>
  <c r="P18" i="6"/>
  <c r="N19" i="6"/>
  <c r="O19" i="6"/>
  <c r="P19" i="6"/>
  <c r="N20" i="6"/>
  <c r="O20" i="6" s="1"/>
  <c r="P20" i="6"/>
  <c r="N21" i="6"/>
  <c r="O21" i="6"/>
  <c r="P21" i="6"/>
  <c r="N22" i="6"/>
  <c r="O22" i="6" s="1"/>
  <c r="P22" i="6"/>
  <c r="N23" i="6"/>
  <c r="O23" i="6"/>
  <c r="P23" i="6"/>
  <c r="N24" i="6"/>
  <c r="O24" i="6" s="1"/>
  <c r="P24" i="6"/>
  <c r="N25" i="6"/>
  <c r="O25" i="6"/>
  <c r="P25" i="6"/>
  <c r="N26" i="6"/>
  <c r="O26" i="6" s="1"/>
  <c r="P26" i="6"/>
  <c r="N27" i="6"/>
  <c r="O27" i="6"/>
  <c r="P27" i="6"/>
  <c r="N28" i="6"/>
  <c r="O28" i="6" s="1"/>
  <c r="P28" i="6"/>
  <c r="N29" i="6"/>
  <c r="O29" i="6"/>
  <c r="P29" i="6"/>
  <c r="N30" i="6"/>
  <c r="O30" i="6" s="1"/>
  <c r="P30" i="6"/>
  <c r="N31" i="6"/>
  <c r="O31" i="6"/>
  <c r="P31" i="6"/>
  <c r="N32" i="6"/>
  <c r="O32" i="6" s="1"/>
  <c r="P32" i="6"/>
  <c r="N33" i="6"/>
  <c r="O33" i="6"/>
  <c r="P33" i="6"/>
  <c r="P3" i="6"/>
  <c r="O3" i="6"/>
  <c r="N3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" i="6"/>
  <c r="B3" i="6"/>
  <c r="A3" i="6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D33" i="1"/>
  <c r="H6" i="2" l="1"/>
  <c r="F6" i="2"/>
  <c r="I6" i="2"/>
  <c r="G6" i="2"/>
  <c r="E6" i="2"/>
  <c r="J5" i="2" l="1"/>
  <c r="J6" i="2" s="1"/>
  <c r="K5" i="2" l="1"/>
  <c r="K6" i="2" s="1"/>
  <c r="K7" i="2" s="1"/>
  <c r="K8" i="2" s="1"/>
  <c r="K9" i="2" s="1"/>
</calcChain>
</file>

<file path=xl/sharedStrings.xml><?xml version="1.0" encoding="utf-8"?>
<sst xmlns="http://schemas.openxmlformats.org/spreadsheetml/2006/main" count="463" uniqueCount="174">
  <si>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</si>
  <si>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</si>
  <si>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</si>
  <si>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</si>
  <si>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</si>
  <si>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</si>
  <si>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</si>
  <si>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</si>
  <si>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</si>
  <si>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</si>
  <si>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</si>
  <si>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</si>
  <si>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</si>
  <si>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</si>
  <si>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</si>
  <si>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</si>
  <si>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</si>
  <si>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</si>
  <si>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</si>
  <si>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</si>
  <si>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</si>
  <si>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</si>
  <si>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</si>
  <si>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</si>
  <si>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</si>
  <si>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</si>
  <si>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</si>
  <si>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</si>
  <si>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>شعبات سازمان تامين اجتماعي</t>
  </si>
  <si>
    <t>شماره بيمهء سازمان تامين اجتماعي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</si>
  <si>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</si>
  <si>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</si>
  <si>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</si>
  <si>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</si>
  <si>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بيمه ايران شرکت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</si>
  <si>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</si>
  <si>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</si>
  <si>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</si>
  <si>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</si>
  <si>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</si>
  <si>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</si>
  <si>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رفاهیات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</si>
  <si>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</si>
  <si>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</si>
  <si>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</si>
  <si>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</si>
  <si>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</si>
  <si>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</si>
  <si>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</si>
  <si>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</si>
  <si>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</si>
  <si>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</si>
  <si>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</si>
  <si>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</si>
  <si>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</si>
  <si>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</si>
  <si>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سختي کار</t>
  </si>
  <si>
    <t xml:space="preserve"> مبلغ در حكم مزد سنوات</t>
  </si>
  <si>
    <t xml:space="preserve"> مبلغ در حكم تفاوت تطبيق</t>
  </si>
  <si>
    <t xml:space="preserve">عیدی </t>
  </si>
  <si>
    <t>پرداختی</t>
  </si>
  <si>
    <t>توليد توسعه - دارخوين</t>
  </si>
  <si>
    <t>عيد آسماني</t>
  </si>
  <si>
    <t>عبداله البوبالد</t>
  </si>
  <si>
    <t>سعيد ال بوبالدي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</si>
  <si>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</si>
  <si>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</si>
  <si>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</si>
  <si>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</si>
  <si>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</si>
  <si>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</si>
  <si>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</si>
  <si>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</si>
  <si>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سعيد بدوي</t>
  </si>
  <si>
    <t>عباس بدوي</t>
  </si>
  <si>
    <t>طاهر پورحزبه</t>
  </si>
  <si>
    <t>رحمه سياحي</t>
  </si>
  <si>
    <t>مرد سياحي</t>
  </si>
  <si>
    <t>رحيم عقباوي</t>
  </si>
  <si>
    <t>جمشيد فرحانيان</t>
  </si>
  <si>
    <t>مجتبي قنواتي زاده</t>
  </si>
  <si>
    <t>رضا محمدحسيني</t>
  </si>
  <si>
    <t>فاضل مقدم</t>
  </si>
  <si>
    <t>محمدامين نادري</t>
  </si>
  <si>
    <t>علي پورحزبه</t>
  </si>
  <si>
    <t>جاسم جامدي باوي</t>
  </si>
  <si>
    <t>مزعل جليزي</t>
  </si>
  <si>
    <t>فهد چاملي</t>
  </si>
  <si>
    <t>ايوب حويزاوي</t>
  </si>
  <si>
    <t>منصور خنفري راد</t>
  </si>
  <si>
    <t>جميل زرگاني</t>
  </si>
  <si>
    <t>علي ساري</t>
  </si>
  <si>
    <t xml:space="preserve"> مبلغ قسط وام صندوق رفاه و پس انداز کارکنان</t>
  </si>
  <si>
    <t xml:space="preserve">گزارش صورت وضعیت بهمن ماه 94پرسنل شرکت تولید توسعه انرژی اتمی (دارخوین) </t>
  </si>
  <si>
    <t>بهمن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</si>
  <si>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</si>
  <si>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</si>
  <si>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</si>
  <si>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</si>
  <si>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باقيمانده‌ بيمه ايران شرکت</t>
  </si>
  <si>
    <t>مجموع اقساط‌بيمه ايران شرکت</t>
  </si>
  <si>
    <t>مبلغ‌بيمه ايران شرکت</t>
  </si>
  <si>
    <t xml:space="preserve"> مبلغ استقراربيمه ايران شرکت</t>
  </si>
  <si>
    <t>9157041</t>
  </si>
  <si>
    <t>شعبه شادگان</t>
  </si>
  <si>
    <t>50575808</t>
  </si>
  <si>
    <t>9157042</t>
  </si>
  <si>
    <t>کاظم آل بالدي</t>
  </si>
  <si>
    <t>57951643</t>
  </si>
  <si>
    <t>9157043</t>
  </si>
  <si>
    <t>57951654</t>
  </si>
  <si>
    <t>9157044</t>
  </si>
  <si>
    <t>56004180</t>
  </si>
  <si>
    <t>9157045</t>
  </si>
  <si>
    <t>52544320</t>
  </si>
  <si>
    <t>9157046</t>
  </si>
  <si>
    <t>52545284</t>
  </si>
  <si>
    <t>9157047</t>
  </si>
  <si>
    <t>57958412</t>
  </si>
  <si>
    <t>9157049</t>
  </si>
  <si>
    <t>50135194</t>
  </si>
  <si>
    <t>9157050</t>
  </si>
  <si>
    <t>57952049</t>
  </si>
  <si>
    <t>9157053</t>
  </si>
  <si>
    <t>57962120</t>
  </si>
  <si>
    <t>9157054</t>
  </si>
  <si>
    <t>52703310</t>
  </si>
  <si>
    <t>9157055</t>
  </si>
  <si>
    <t>52554911</t>
  </si>
  <si>
    <t>9157056</t>
  </si>
  <si>
    <t>50354983</t>
  </si>
  <si>
    <t>9157057</t>
  </si>
  <si>
    <t>50546913</t>
  </si>
  <si>
    <t>9157058</t>
  </si>
  <si>
    <t>52537454</t>
  </si>
  <si>
    <t>9157059</t>
  </si>
  <si>
    <t>57963719</t>
  </si>
  <si>
    <t>9157060</t>
  </si>
  <si>
    <t>57787686</t>
  </si>
  <si>
    <t>9157065</t>
  </si>
  <si>
    <t>57950611</t>
  </si>
  <si>
    <t>9157066</t>
  </si>
  <si>
    <t>57951656</t>
  </si>
  <si>
    <t>9157068</t>
  </si>
  <si>
    <t>57964338</t>
  </si>
  <si>
    <t>9157069</t>
  </si>
  <si>
    <t>57964159</t>
  </si>
  <si>
    <t>9157070</t>
  </si>
  <si>
    <t>76306655</t>
  </si>
  <si>
    <t>9157072</t>
  </si>
  <si>
    <t>57959895</t>
  </si>
  <si>
    <t>9157075</t>
  </si>
  <si>
    <t>52551779</t>
  </si>
  <si>
    <t>9157077</t>
  </si>
  <si>
    <t>57963718</t>
  </si>
  <si>
    <t>9157079</t>
  </si>
  <si>
    <t>50090371</t>
  </si>
  <si>
    <t>9157081</t>
  </si>
  <si>
    <t>57961939</t>
  </si>
  <si>
    <t>9157084</t>
  </si>
  <si>
    <t>57955080</t>
  </si>
  <si>
    <t>9157089</t>
  </si>
  <si>
    <t>57962868</t>
  </si>
  <si>
    <t>9157090</t>
  </si>
  <si>
    <t>57959541</t>
  </si>
  <si>
    <t>9157091</t>
  </si>
  <si>
    <t>52564961</t>
  </si>
  <si>
    <t xml:space="preserve"> مبلغ در حكم حق پرتو کاري</t>
  </si>
  <si>
    <t>حکم حقوقی</t>
  </si>
  <si>
    <t>كاركرد دی94</t>
  </si>
  <si>
    <t>پاداش روز 22 بهمن ماه 94</t>
  </si>
  <si>
    <t>پرداخت طی نامه شماره 945461</t>
  </si>
  <si>
    <t>رفاهی دی94</t>
  </si>
  <si>
    <t>یارانه ورزشی دی94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</si>
</sst>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8" formatCode="_-* #,##0.00_-;_-* #,##0.00\-;_-* &quot;-&quot;??_-;_-@_-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rgb="FF0000FF"/>
      <name val="B Zar"/>
      <charset val="178"/>
    </font>
    <font>
      <sz val="11"/>
      <color theme="1"/>
      <name val="B Zar"/>
      <charset val="178"/>
    </font>
    <font>
      <b/>
      <sz val="11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2" fillId="0" borderId="0" xfId="1" applyNumberFormat="1" applyFont="1"/>
    <xf numFmtId="0" fontId="5" fillId="0" borderId="0" xfId="0" applyFont="1"/>
    <xf numFmtId="164" fontId="5" fillId="0" borderId="0" xfId="1" applyNumberFormat="1" applyFont="1"/>
    <xf numFmtId="3" fontId="11" fillId="2" borderId="9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164" fontId="3" fillId="0" borderId="0" xfId="1" applyNumberFormat="1" applyFont="1"/>
    <xf numFmtId="164" fontId="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right" vertical="top" wrapText="1"/>
    </xf>
    <xf numFmtId="0" fontId="14" fillId="2" borderId="12" xfId="0" applyFont="1" applyFill="1" applyBorder="1" applyAlignment="1">
      <alignment horizontal="right" vertical="top" wrapText="1"/>
    </xf>
    <xf numFmtId="0" fontId="14" fillId="2" borderId="13" xfId="0" applyFont="1" applyFill="1" applyBorder="1" applyAlignment="1">
      <alignment horizontal="right" vertical="top" wrapText="1"/>
    </xf>
    <xf numFmtId="3" fontId="14" fillId="2" borderId="11" xfId="0" applyNumberFormat="1" applyFont="1" applyFill="1" applyBorder="1" applyAlignment="1">
      <alignment horizontal="right" vertical="top" wrapText="1"/>
    </xf>
    <xf numFmtId="3" fontId="14" fillId="2" borderId="12" xfId="0" applyNumberFormat="1" applyFont="1" applyFill="1" applyBorder="1" applyAlignment="1">
      <alignment horizontal="right" vertical="top" wrapText="1"/>
    </xf>
    <xf numFmtId="3" fontId="14" fillId="2" borderId="13" xfId="0" applyNumberFormat="1" applyFont="1" applyFill="1" applyBorder="1" applyAlignment="1">
      <alignment horizontal="right" vertical="top" wrapText="1"/>
    </xf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2" applyNumberFormat="1" applyFont="1"/>
    <xf numFmtId="164" fontId="15" fillId="0" borderId="0" xfId="1" applyNumberFormat="1" applyFont="1"/>
    <xf numFmtId="0" fontId="16" fillId="0" borderId="0" xfId="0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0" xfId="1" applyNumberFormat="1" applyFont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rightToLeft="1" topLeftCell="R1" zoomScaleNormal="100" workbookViewId="0">
      <pane ySplit="1" topLeftCell="A20" activePane="bottomLeft" state="frozen"/>
      <selection pane="bottomLeft" sqref="A1:A1048576"/>
    </sheetView>
  </sheetViews>
  <sheetFormatPr defaultRowHeight="14.25"/>
  <cols>
    <col min="1" max="1" width="12.5703125" style="1" bestFit="1" customWidth="1"/>
    <col min="2" max="2" width="19.5703125" style="1" bestFit="1" customWidth="1"/>
    <col min="3" max="3" width="21" style="1" bestFit="1" customWidth="1"/>
    <col min="4" max="4" width="19.85546875" style="1" bestFit="1" customWidth="1"/>
    <col min="5" max="5" width="13.7109375" style="1" bestFit="1" customWidth="1"/>
    <col min="6" max="6" width="14.5703125" style="1" bestFit="1" customWidth="1"/>
    <col min="7" max="7" width="16" style="1" bestFit="1" customWidth="1"/>
    <col min="8" max="8" width="14.5703125" style="1" bestFit="1" customWidth="1"/>
    <col min="9" max="11" width="16" style="1" bestFit="1" customWidth="1"/>
    <col min="12" max="12" width="22.85546875" style="1" bestFit="1" customWidth="1"/>
    <col min="13" max="13" width="14.5703125" style="1" bestFit="1" customWidth="1"/>
    <col min="14" max="14" width="17.5703125" style="1" bestFit="1" customWidth="1"/>
    <col min="15" max="15" width="14.5703125" style="1" bestFit="1" customWidth="1"/>
    <col min="16" max="16" width="16" style="1" bestFit="1" customWidth="1"/>
    <col min="17" max="17" width="14.5703125" style="1" bestFit="1" customWidth="1"/>
    <col min="18" max="18" width="36.140625" style="1" bestFit="1" customWidth="1"/>
    <col min="19" max="19" width="9.5703125" style="1" bestFit="1" customWidth="1"/>
    <col min="20" max="20" width="7.5703125" style="1" bestFit="1" customWidth="1"/>
    <col min="21" max="21" width="16.7109375" style="1" bestFit="1" customWidth="1"/>
    <col min="22" max="22" width="22.42578125" style="1" bestFit="1" customWidth="1"/>
    <col min="23" max="23" width="35.5703125" style="1" bestFit="1" customWidth="1"/>
    <col min="24" max="24" width="16" style="1" bestFit="1" customWidth="1"/>
    <col min="25" max="25" width="12.42578125" style="1" bestFit="1" customWidth="1"/>
    <col min="26" max="26" width="17.5703125" style="1" bestFit="1" customWidth="1"/>
    <col min="27" max="27" width="19.42578125" style="1" bestFit="1" customWidth="1"/>
    <col min="28" max="28" width="16" style="1" bestFit="1" customWidth="1"/>
    <col min="29" max="29" width="33" style="1" bestFit="1" customWidth="1"/>
    <col min="30" max="30" width="38.5703125" style="1" bestFit="1" customWidth="1"/>
    <col min="31" max="31" width="48.5703125" style="1" bestFit="1" customWidth="1"/>
    <col min="32" max="32" width="46.140625" style="1" bestFit="1" customWidth="1"/>
    <col min="33" max="33" width="51.140625" style="1" bestFit="1" customWidth="1"/>
    <col min="34" max="34" width="41.140625" style="1" bestFit="1" customWidth="1"/>
    <col min="35" max="35" width="50.28515625" style="1" bestFit="1" customWidth="1"/>
    <col min="36" max="36" width="50.140625" style="1" bestFit="1" customWidth="1"/>
    <col min="37" max="37" width="55.140625" style="45" bestFit="1" customWidth="1"/>
    <col min="38" max="38" width="45.140625" style="1" bestFit="1" customWidth="1"/>
    <col min="39" max="39" width="54.28515625" style="1" bestFit="1" customWidth="1"/>
    <col min="40" max="40" width="30.5703125" style="1" bestFit="1" customWidth="1"/>
    <col min="41" max="41" width="28.140625" style="1" bestFit="1" customWidth="1"/>
    <col min="42" max="42" width="33" style="1" bestFit="1" customWidth="1"/>
    <col min="43" max="43" width="23.140625" style="1" bestFit="1" customWidth="1"/>
    <col min="44" max="44" width="32.28515625" style="1" bestFit="1" customWidth="1"/>
    <col min="45" max="16384" width="9.140625" style="1"/>
  </cols>
  <sheetData>
    <row r="1" spans="1:104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8" t="s">
        <v>15</v>
      </c>
      <c r="Q1" s="68" t="s">
        <v>16</v>
      </c>
      <c r="R1" s="68" t="s">
        <v>17</v>
      </c>
      <c r="S1" s="68" t="s">
        <v>18</v>
      </c>
      <c r="T1" s="68" t="s">
        <v>19</v>
      </c>
      <c r="U1" s="68" t="s">
        <v>20</v>
      </c>
      <c r="V1" s="68" t="s">
        <v>21</v>
      </c>
      <c r="W1" s="68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68" t="s">
        <v>27</v>
      </c>
      <c r="AC1" s="68" t="s">
        <v>28</v>
      </c>
      <c r="AD1" s="68" t="s">
        <v>29</v>
      </c>
      <c r="AE1" s="68" t="s">
        <v>92</v>
      </c>
      <c r="AF1" s="68" t="s">
        <v>95</v>
      </c>
      <c r="AG1" s="68" t="s">
        <v>96</v>
      </c>
      <c r="AH1" s="68" t="s">
        <v>97</v>
      </c>
      <c r="AI1" s="68" t="s">
        <v>98</v>
      </c>
      <c r="AJ1" s="68" t="s">
        <v>30</v>
      </c>
      <c r="AK1" s="68" t="s">
        <v>31</v>
      </c>
      <c r="AL1" s="68" t="s">
        <v>32</v>
      </c>
      <c r="AM1" s="68" t="s">
        <v>33</v>
      </c>
      <c r="AN1" s="68" t="s">
        <v>34</v>
      </c>
      <c r="AO1" s="68" t="s">
        <v>99</v>
      </c>
      <c r="AP1" s="68" t="s">
        <v>100</v>
      </c>
      <c r="AQ1" s="68" t="s">
        <v>101</v>
      </c>
      <c r="AR1" s="68" t="s">
        <v>102</v>
      </c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</row>
    <row r="2" spans="1:104" ht="15">
      <c r="A2" s="67" t="s">
        <v>103</v>
      </c>
      <c r="B2" s="67" t="s">
        <v>62</v>
      </c>
      <c r="C2" s="67" t="s">
        <v>61</v>
      </c>
      <c r="D2" s="67">
        <v>0</v>
      </c>
      <c r="E2" s="67">
        <v>13200</v>
      </c>
      <c r="F2" s="67">
        <v>0</v>
      </c>
      <c r="G2" s="67">
        <v>0</v>
      </c>
      <c r="H2" s="67">
        <v>200000</v>
      </c>
      <c r="I2" s="67">
        <v>1100000</v>
      </c>
      <c r="J2" s="67">
        <v>1012000</v>
      </c>
      <c r="K2" s="67">
        <v>960000</v>
      </c>
      <c r="L2" s="67">
        <v>0</v>
      </c>
      <c r="M2" s="67">
        <v>161995</v>
      </c>
      <c r="N2" s="67">
        <v>8389590</v>
      </c>
      <c r="O2" s="67">
        <v>0</v>
      </c>
      <c r="P2" s="67">
        <v>587952</v>
      </c>
      <c r="Q2" s="67">
        <v>0</v>
      </c>
      <c r="R2" s="67">
        <v>797968</v>
      </c>
      <c r="S2" s="67">
        <v>0</v>
      </c>
      <c r="T2" s="67">
        <v>0</v>
      </c>
      <c r="U2" s="67">
        <v>833333</v>
      </c>
      <c r="V2" s="67">
        <v>650000</v>
      </c>
      <c r="W2" s="67">
        <v>2279907</v>
      </c>
      <c r="X2" s="67">
        <v>341986</v>
      </c>
      <c r="Y2" s="67">
        <v>13200</v>
      </c>
      <c r="Z2" s="67">
        <v>10130236</v>
      </c>
      <c r="AA2" s="67">
        <v>12411537</v>
      </c>
      <c r="AB2" s="67">
        <v>2281301</v>
      </c>
      <c r="AC2" s="67" t="s">
        <v>104</v>
      </c>
      <c r="AD2" s="67" t="s">
        <v>105</v>
      </c>
      <c r="AE2" s="67">
        <v>833333</v>
      </c>
      <c r="AF2" s="67">
        <v>25833323</v>
      </c>
      <c r="AG2" s="67">
        <v>4166677</v>
      </c>
      <c r="AH2" s="67">
        <v>30000000</v>
      </c>
      <c r="AI2" s="67">
        <v>30000000</v>
      </c>
      <c r="AJ2" s="67">
        <v>52800000</v>
      </c>
      <c r="AK2" s="67">
        <v>7200000</v>
      </c>
      <c r="AL2" s="67">
        <v>60000000</v>
      </c>
      <c r="AM2" s="67">
        <v>60000000</v>
      </c>
      <c r="AN2" s="67">
        <v>0</v>
      </c>
      <c r="AO2" s="67">
        <v>0</v>
      </c>
      <c r="AP2" s="67">
        <v>0</v>
      </c>
      <c r="AQ2" s="67">
        <v>0</v>
      </c>
      <c r="AR2" s="67">
        <v>0</v>
      </c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</row>
    <row r="3" spans="1:104" ht="15">
      <c r="A3" s="67" t="s">
        <v>106</v>
      </c>
      <c r="B3" s="67" t="s">
        <v>107</v>
      </c>
      <c r="C3" s="67" t="s">
        <v>61</v>
      </c>
      <c r="D3" s="67">
        <v>0</v>
      </c>
      <c r="E3" s="67">
        <v>13200</v>
      </c>
      <c r="F3" s="67">
        <v>0</v>
      </c>
      <c r="G3" s="67">
        <v>2849700</v>
      </c>
      <c r="H3" s="67">
        <v>200000</v>
      </c>
      <c r="I3" s="67">
        <v>1100000</v>
      </c>
      <c r="J3" s="67">
        <v>1012000</v>
      </c>
      <c r="K3" s="67">
        <v>960000</v>
      </c>
      <c r="L3" s="67">
        <v>0</v>
      </c>
      <c r="M3" s="67">
        <v>0</v>
      </c>
      <c r="N3" s="67">
        <v>9654930</v>
      </c>
      <c r="O3" s="67">
        <v>0</v>
      </c>
      <c r="P3" s="67">
        <v>611952</v>
      </c>
      <c r="Q3" s="67">
        <v>0</v>
      </c>
      <c r="R3" s="67">
        <v>876882</v>
      </c>
      <c r="S3" s="67">
        <v>0</v>
      </c>
      <c r="T3" s="67">
        <v>0</v>
      </c>
      <c r="U3" s="67">
        <v>1388888</v>
      </c>
      <c r="V3" s="67">
        <v>650000</v>
      </c>
      <c r="W3" s="67">
        <v>2505376</v>
      </c>
      <c r="X3" s="67">
        <v>375806</v>
      </c>
      <c r="Y3" s="67">
        <v>13200</v>
      </c>
      <c r="Z3" s="67">
        <v>13472812</v>
      </c>
      <c r="AA3" s="67">
        <v>16388582</v>
      </c>
      <c r="AB3" s="67">
        <v>2915770</v>
      </c>
      <c r="AC3" s="67" t="s">
        <v>104</v>
      </c>
      <c r="AD3" s="67" t="s">
        <v>108</v>
      </c>
      <c r="AE3" s="67">
        <v>1388888</v>
      </c>
      <c r="AF3" s="67">
        <v>31944424</v>
      </c>
      <c r="AG3" s="67">
        <v>18055576</v>
      </c>
      <c r="AH3" s="67">
        <v>50000000</v>
      </c>
      <c r="AI3" s="67">
        <v>50000000</v>
      </c>
      <c r="AJ3" s="67">
        <v>52800000</v>
      </c>
      <c r="AK3" s="67">
        <v>7200000</v>
      </c>
      <c r="AL3" s="67">
        <v>60000000</v>
      </c>
      <c r="AM3" s="67">
        <v>60000000</v>
      </c>
      <c r="AN3" s="67">
        <v>0</v>
      </c>
      <c r="AO3" s="67">
        <v>0</v>
      </c>
      <c r="AP3" s="67">
        <v>0</v>
      </c>
      <c r="AQ3" s="67">
        <v>0</v>
      </c>
      <c r="AR3" s="67">
        <v>0</v>
      </c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</row>
    <row r="4" spans="1:104" ht="15">
      <c r="A4" s="67" t="s">
        <v>109</v>
      </c>
      <c r="B4" s="67" t="s">
        <v>63</v>
      </c>
      <c r="C4" s="67" t="s">
        <v>61</v>
      </c>
      <c r="D4" s="67">
        <v>0</v>
      </c>
      <c r="E4" s="67">
        <v>13200</v>
      </c>
      <c r="F4" s="67">
        <v>0</v>
      </c>
      <c r="G4" s="67">
        <v>712425</v>
      </c>
      <c r="H4" s="67">
        <v>200000</v>
      </c>
      <c r="I4" s="67">
        <v>1100000</v>
      </c>
      <c r="J4" s="67">
        <v>1012000</v>
      </c>
      <c r="K4" s="67">
        <v>960000</v>
      </c>
      <c r="L4" s="67">
        <v>0</v>
      </c>
      <c r="M4" s="67">
        <v>0</v>
      </c>
      <c r="N4" s="67">
        <v>10725600</v>
      </c>
      <c r="O4" s="67">
        <v>0</v>
      </c>
      <c r="P4" s="67">
        <v>617952</v>
      </c>
      <c r="Q4" s="67">
        <v>0</v>
      </c>
      <c r="R4" s="67">
        <v>952249</v>
      </c>
      <c r="S4" s="67">
        <v>0</v>
      </c>
      <c r="T4" s="67">
        <v>0</v>
      </c>
      <c r="U4" s="67">
        <v>1388888</v>
      </c>
      <c r="V4" s="67">
        <v>650000</v>
      </c>
      <c r="W4" s="67">
        <v>2720710</v>
      </c>
      <c r="X4" s="67">
        <v>408107</v>
      </c>
      <c r="Y4" s="67">
        <v>13200</v>
      </c>
      <c r="Z4" s="67">
        <v>12336840</v>
      </c>
      <c r="AA4" s="67">
        <v>15327977</v>
      </c>
      <c r="AB4" s="67">
        <v>2991137</v>
      </c>
      <c r="AC4" s="67" t="s">
        <v>104</v>
      </c>
      <c r="AD4" s="67" t="s">
        <v>110</v>
      </c>
      <c r="AE4" s="67">
        <v>1388888</v>
      </c>
      <c r="AF4" s="67">
        <v>34722200</v>
      </c>
      <c r="AG4" s="67">
        <v>15277800</v>
      </c>
      <c r="AH4" s="67">
        <v>50000000</v>
      </c>
      <c r="AI4" s="67">
        <v>50000000</v>
      </c>
      <c r="AJ4" s="67">
        <v>52800000</v>
      </c>
      <c r="AK4" s="67">
        <v>7200000</v>
      </c>
      <c r="AL4" s="67">
        <v>60000000</v>
      </c>
      <c r="AM4" s="67">
        <v>60000000</v>
      </c>
      <c r="AN4" s="67">
        <v>0</v>
      </c>
      <c r="AO4" s="67">
        <v>0</v>
      </c>
      <c r="AP4" s="67">
        <v>0</v>
      </c>
      <c r="AQ4" s="67">
        <v>0</v>
      </c>
      <c r="AR4" s="67">
        <v>0</v>
      </c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</row>
    <row r="5" spans="1:104" ht="15">
      <c r="A5" s="67" t="s">
        <v>111</v>
      </c>
      <c r="B5" s="67" t="s">
        <v>64</v>
      </c>
      <c r="C5" s="67" t="s">
        <v>61</v>
      </c>
      <c r="D5" s="67">
        <v>0</v>
      </c>
      <c r="E5" s="67">
        <v>13200</v>
      </c>
      <c r="F5" s="67">
        <v>0</v>
      </c>
      <c r="G5" s="67">
        <v>2849700</v>
      </c>
      <c r="H5" s="67">
        <v>200000</v>
      </c>
      <c r="I5" s="67">
        <v>1100000</v>
      </c>
      <c r="J5" s="67">
        <v>1012000</v>
      </c>
      <c r="K5" s="67">
        <v>960000</v>
      </c>
      <c r="L5" s="67">
        <v>0</v>
      </c>
      <c r="M5" s="67">
        <v>0</v>
      </c>
      <c r="N5" s="67">
        <v>9168270</v>
      </c>
      <c r="O5" s="67">
        <v>0</v>
      </c>
      <c r="P5" s="67">
        <v>599952</v>
      </c>
      <c r="Q5" s="67">
        <v>0</v>
      </c>
      <c r="R5" s="67">
        <v>841976</v>
      </c>
      <c r="S5" s="67">
        <v>0</v>
      </c>
      <c r="T5" s="67">
        <v>0</v>
      </c>
      <c r="U5" s="67">
        <v>0</v>
      </c>
      <c r="V5" s="67">
        <v>0</v>
      </c>
      <c r="W5" s="67">
        <v>2405644</v>
      </c>
      <c r="X5" s="67">
        <v>360847</v>
      </c>
      <c r="Y5" s="67">
        <v>13200</v>
      </c>
      <c r="Z5" s="67">
        <v>15047946</v>
      </c>
      <c r="AA5" s="67">
        <v>15889922</v>
      </c>
      <c r="AB5" s="67">
        <v>841976</v>
      </c>
      <c r="AC5" s="67" t="s">
        <v>104</v>
      </c>
      <c r="AD5" s="67" t="s">
        <v>112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</row>
    <row r="6" spans="1:104" ht="15">
      <c r="A6" s="67" t="s">
        <v>113</v>
      </c>
      <c r="B6" s="67" t="s">
        <v>65</v>
      </c>
      <c r="C6" s="67" t="s">
        <v>61</v>
      </c>
      <c r="D6" s="67">
        <v>0</v>
      </c>
      <c r="E6" s="67">
        <v>13200</v>
      </c>
      <c r="F6" s="67">
        <v>0</v>
      </c>
      <c r="G6" s="67">
        <v>712425</v>
      </c>
      <c r="H6" s="67">
        <v>200000</v>
      </c>
      <c r="I6" s="67">
        <v>1100000</v>
      </c>
      <c r="J6" s="67">
        <v>1012000</v>
      </c>
      <c r="K6" s="67">
        <v>960000</v>
      </c>
      <c r="L6" s="67">
        <v>0</v>
      </c>
      <c r="M6" s="67">
        <v>0</v>
      </c>
      <c r="N6" s="67">
        <v>9168270</v>
      </c>
      <c r="O6" s="67">
        <v>0</v>
      </c>
      <c r="P6" s="67">
        <v>599952</v>
      </c>
      <c r="Q6" s="67">
        <v>0</v>
      </c>
      <c r="R6" s="67">
        <v>841976</v>
      </c>
      <c r="S6" s="67">
        <v>0</v>
      </c>
      <c r="T6" s="67">
        <v>0</v>
      </c>
      <c r="U6" s="67">
        <v>1388888</v>
      </c>
      <c r="V6" s="67">
        <v>650000</v>
      </c>
      <c r="W6" s="67">
        <v>2405644</v>
      </c>
      <c r="X6" s="67">
        <v>360847</v>
      </c>
      <c r="Y6" s="67">
        <v>13200</v>
      </c>
      <c r="Z6" s="67">
        <v>10871783</v>
      </c>
      <c r="AA6" s="67">
        <v>13752647</v>
      </c>
      <c r="AB6" s="67">
        <v>2880864</v>
      </c>
      <c r="AC6" s="67" t="s">
        <v>104</v>
      </c>
      <c r="AD6" s="67" t="s">
        <v>114</v>
      </c>
      <c r="AE6" s="67">
        <v>1388888</v>
      </c>
      <c r="AF6" s="67">
        <v>45833304</v>
      </c>
      <c r="AG6" s="67">
        <v>4166696</v>
      </c>
      <c r="AH6" s="67">
        <v>50000000</v>
      </c>
      <c r="AI6" s="67">
        <v>50000000</v>
      </c>
      <c r="AJ6" s="67">
        <v>58800000</v>
      </c>
      <c r="AK6" s="67">
        <v>1200000</v>
      </c>
      <c r="AL6" s="67">
        <v>60000000</v>
      </c>
      <c r="AM6" s="67">
        <v>60000000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</row>
    <row r="7" spans="1:104" ht="15">
      <c r="A7" s="67" t="s">
        <v>115</v>
      </c>
      <c r="B7" s="67" t="s">
        <v>66</v>
      </c>
      <c r="C7" s="67" t="s">
        <v>61</v>
      </c>
      <c r="D7" s="67">
        <v>120</v>
      </c>
      <c r="E7" s="67">
        <v>13200</v>
      </c>
      <c r="F7" s="67">
        <v>182722</v>
      </c>
      <c r="G7" s="67">
        <v>2137275</v>
      </c>
      <c r="H7" s="67">
        <v>200000</v>
      </c>
      <c r="I7" s="67">
        <v>1100000</v>
      </c>
      <c r="J7" s="67">
        <v>1012000</v>
      </c>
      <c r="K7" s="67">
        <v>960000</v>
      </c>
      <c r="L7" s="67">
        <v>0</v>
      </c>
      <c r="M7" s="67">
        <v>0</v>
      </c>
      <c r="N7" s="67">
        <v>11893590</v>
      </c>
      <c r="O7" s="67">
        <v>0</v>
      </c>
      <c r="P7" s="67">
        <v>635952</v>
      </c>
      <c r="Q7" s="67">
        <v>0</v>
      </c>
      <c r="R7" s="67">
        <v>1048058</v>
      </c>
      <c r="S7" s="67">
        <v>0</v>
      </c>
      <c r="T7" s="67">
        <v>0</v>
      </c>
      <c r="U7" s="67">
        <v>1388888</v>
      </c>
      <c r="V7" s="67">
        <v>650000</v>
      </c>
      <c r="W7" s="67">
        <v>2994453</v>
      </c>
      <c r="X7" s="67">
        <v>449168</v>
      </c>
      <c r="Y7" s="67">
        <v>13200</v>
      </c>
      <c r="Z7" s="67">
        <v>15034593</v>
      </c>
      <c r="AA7" s="67">
        <v>18121539</v>
      </c>
      <c r="AB7" s="67">
        <v>3086946</v>
      </c>
      <c r="AC7" s="67" t="s">
        <v>104</v>
      </c>
      <c r="AD7" s="67" t="s">
        <v>116</v>
      </c>
      <c r="AE7" s="67">
        <v>1388888</v>
      </c>
      <c r="AF7" s="67">
        <v>43055528</v>
      </c>
      <c r="AG7" s="67">
        <v>6944472</v>
      </c>
      <c r="AH7" s="67">
        <v>50000000</v>
      </c>
      <c r="AI7" s="67">
        <v>50000000</v>
      </c>
      <c r="AJ7" s="67">
        <v>52800000</v>
      </c>
      <c r="AK7" s="67">
        <v>7200000</v>
      </c>
      <c r="AL7" s="67">
        <v>60000000</v>
      </c>
      <c r="AM7" s="67">
        <v>60000000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</row>
    <row r="8" spans="1:104" ht="15">
      <c r="A8" s="67" t="s">
        <v>117</v>
      </c>
      <c r="B8" s="67" t="s">
        <v>67</v>
      </c>
      <c r="C8" s="67" t="s">
        <v>61</v>
      </c>
      <c r="D8" s="67">
        <v>600</v>
      </c>
      <c r="E8" s="67">
        <v>13200</v>
      </c>
      <c r="F8" s="67">
        <v>913612</v>
      </c>
      <c r="G8" s="67">
        <v>0</v>
      </c>
      <c r="H8" s="67">
        <v>200000</v>
      </c>
      <c r="I8" s="67">
        <v>1100000</v>
      </c>
      <c r="J8" s="67">
        <v>1012000</v>
      </c>
      <c r="K8" s="67">
        <v>960000</v>
      </c>
      <c r="L8" s="67">
        <v>0</v>
      </c>
      <c r="M8" s="67">
        <v>0</v>
      </c>
      <c r="N8" s="67">
        <v>11893590</v>
      </c>
      <c r="O8" s="67">
        <v>0</v>
      </c>
      <c r="P8" s="67">
        <v>635952</v>
      </c>
      <c r="Q8" s="67">
        <v>0</v>
      </c>
      <c r="R8" s="67">
        <v>1099221</v>
      </c>
      <c r="S8" s="67">
        <v>0</v>
      </c>
      <c r="T8" s="67">
        <v>0</v>
      </c>
      <c r="U8" s="67">
        <v>1361111</v>
      </c>
      <c r="V8" s="67">
        <v>650000</v>
      </c>
      <c r="W8" s="67">
        <v>3140631</v>
      </c>
      <c r="X8" s="67">
        <v>471095</v>
      </c>
      <c r="Y8" s="67">
        <v>13200</v>
      </c>
      <c r="Z8" s="67">
        <v>13604822</v>
      </c>
      <c r="AA8" s="67">
        <v>16715154</v>
      </c>
      <c r="AB8" s="67">
        <v>3110332</v>
      </c>
      <c r="AC8" s="67" t="s">
        <v>104</v>
      </c>
      <c r="AD8" s="67" t="s">
        <v>118</v>
      </c>
      <c r="AE8" s="67">
        <v>1361111</v>
      </c>
      <c r="AF8" s="67">
        <v>9527777</v>
      </c>
      <c r="AG8" s="67">
        <v>39472223</v>
      </c>
      <c r="AH8" s="67">
        <v>49000000</v>
      </c>
      <c r="AI8" s="67">
        <v>49000000</v>
      </c>
      <c r="AJ8" s="67">
        <v>52800000</v>
      </c>
      <c r="AK8" s="67">
        <v>7200000</v>
      </c>
      <c r="AL8" s="67">
        <v>60000000</v>
      </c>
      <c r="AM8" s="67">
        <v>60000000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</row>
    <row r="9" spans="1:104" ht="15">
      <c r="A9" s="67" t="s">
        <v>119</v>
      </c>
      <c r="B9" s="67" t="s">
        <v>68</v>
      </c>
      <c r="C9" s="67" t="s">
        <v>61</v>
      </c>
      <c r="D9" s="67">
        <v>0</v>
      </c>
      <c r="E9" s="67">
        <v>13200</v>
      </c>
      <c r="F9" s="67">
        <v>0</v>
      </c>
      <c r="G9" s="67">
        <v>0</v>
      </c>
      <c r="H9" s="67">
        <v>200000</v>
      </c>
      <c r="I9" s="67">
        <v>1100000</v>
      </c>
      <c r="J9" s="67">
        <v>1012000</v>
      </c>
      <c r="K9" s="67">
        <v>960000</v>
      </c>
      <c r="L9" s="67">
        <v>0</v>
      </c>
      <c r="M9" s="67">
        <v>0</v>
      </c>
      <c r="N9" s="67">
        <v>10725600</v>
      </c>
      <c r="O9" s="67">
        <v>0</v>
      </c>
      <c r="P9" s="67">
        <v>617952</v>
      </c>
      <c r="Q9" s="67">
        <v>1051200</v>
      </c>
      <c r="R9" s="67">
        <v>1025833</v>
      </c>
      <c r="S9" s="67">
        <v>0</v>
      </c>
      <c r="T9" s="67">
        <v>0</v>
      </c>
      <c r="U9" s="67">
        <v>2258888</v>
      </c>
      <c r="V9" s="67">
        <v>650000</v>
      </c>
      <c r="W9" s="67">
        <v>2930950</v>
      </c>
      <c r="X9" s="67">
        <v>439643</v>
      </c>
      <c r="Y9" s="67">
        <v>13200</v>
      </c>
      <c r="Z9" s="67">
        <v>11732031</v>
      </c>
      <c r="AA9" s="67">
        <v>15666752</v>
      </c>
      <c r="AB9" s="67">
        <v>3934721</v>
      </c>
      <c r="AC9" s="67" t="s">
        <v>104</v>
      </c>
      <c r="AD9" s="67" t="s">
        <v>120</v>
      </c>
      <c r="AE9" s="67">
        <v>1388888</v>
      </c>
      <c r="AF9" s="67">
        <v>9722216</v>
      </c>
      <c r="AG9" s="67">
        <v>40277784</v>
      </c>
      <c r="AH9" s="67">
        <v>50000000</v>
      </c>
      <c r="AI9" s="67">
        <v>50000000</v>
      </c>
      <c r="AJ9" s="67">
        <v>52800000</v>
      </c>
      <c r="AK9" s="67">
        <v>7200000</v>
      </c>
      <c r="AL9" s="67">
        <v>60000000</v>
      </c>
      <c r="AM9" s="67">
        <v>60000000</v>
      </c>
      <c r="AN9" s="67">
        <v>870000</v>
      </c>
      <c r="AO9" s="67">
        <v>2610000</v>
      </c>
      <c r="AP9" s="67">
        <v>7830000</v>
      </c>
      <c r="AQ9" s="67">
        <v>10440000</v>
      </c>
      <c r="AR9" s="67">
        <v>10440000</v>
      </c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</row>
    <row r="10" spans="1:104" ht="15">
      <c r="A10" s="67" t="s">
        <v>121</v>
      </c>
      <c r="B10" s="67" t="s">
        <v>69</v>
      </c>
      <c r="C10" s="67" t="s">
        <v>61</v>
      </c>
      <c r="D10" s="67">
        <v>480</v>
      </c>
      <c r="E10" s="67">
        <v>13200</v>
      </c>
      <c r="F10" s="67">
        <v>627292</v>
      </c>
      <c r="G10" s="67">
        <v>2849700</v>
      </c>
      <c r="H10" s="67">
        <v>200000</v>
      </c>
      <c r="I10" s="67">
        <v>1100000</v>
      </c>
      <c r="J10" s="67">
        <v>1012000</v>
      </c>
      <c r="K10" s="67">
        <v>960000</v>
      </c>
      <c r="L10" s="67">
        <v>0</v>
      </c>
      <c r="M10" s="67">
        <v>0</v>
      </c>
      <c r="N10" s="67">
        <v>10141620</v>
      </c>
      <c r="O10" s="67">
        <v>0</v>
      </c>
      <c r="P10" s="67">
        <v>611952</v>
      </c>
      <c r="Q10" s="67">
        <v>0</v>
      </c>
      <c r="R10" s="67">
        <v>954860</v>
      </c>
      <c r="S10" s="67">
        <v>0</v>
      </c>
      <c r="T10" s="67">
        <v>0</v>
      </c>
      <c r="U10" s="67">
        <v>0</v>
      </c>
      <c r="V10" s="67">
        <v>650000</v>
      </c>
      <c r="W10" s="67">
        <v>2728173</v>
      </c>
      <c r="X10" s="67">
        <v>409226</v>
      </c>
      <c r="Y10" s="67">
        <v>13200</v>
      </c>
      <c r="Z10" s="67">
        <v>15897704</v>
      </c>
      <c r="AA10" s="67">
        <v>17502564</v>
      </c>
      <c r="AB10" s="67">
        <v>1604860</v>
      </c>
      <c r="AC10" s="67" t="s">
        <v>104</v>
      </c>
      <c r="AD10" s="67" t="s">
        <v>122</v>
      </c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</row>
    <row r="11" spans="1:104" ht="15">
      <c r="A11" s="67" t="s">
        <v>123</v>
      </c>
      <c r="B11" s="67" t="s">
        <v>70</v>
      </c>
      <c r="C11" s="67" t="s">
        <v>61</v>
      </c>
      <c r="D11" s="67">
        <v>300</v>
      </c>
      <c r="E11" s="67">
        <v>13200</v>
      </c>
      <c r="F11" s="67">
        <v>338864</v>
      </c>
      <c r="G11" s="67">
        <v>712425</v>
      </c>
      <c r="H11" s="67">
        <v>200000</v>
      </c>
      <c r="I11" s="67">
        <v>1100000</v>
      </c>
      <c r="J11" s="67">
        <v>1012000</v>
      </c>
      <c r="K11" s="67">
        <v>960000</v>
      </c>
      <c r="L11" s="67">
        <v>0</v>
      </c>
      <c r="M11" s="67">
        <v>420358</v>
      </c>
      <c r="N11" s="67">
        <v>8000250</v>
      </c>
      <c r="O11" s="67">
        <v>291990</v>
      </c>
      <c r="P11" s="67">
        <v>581952</v>
      </c>
      <c r="Q11" s="67">
        <v>0</v>
      </c>
      <c r="R11" s="67">
        <v>832539</v>
      </c>
      <c r="S11" s="67">
        <v>0</v>
      </c>
      <c r="T11" s="67">
        <v>0</v>
      </c>
      <c r="U11" s="67">
        <v>0</v>
      </c>
      <c r="V11" s="67">
        <v>650000</v>
      </c>
      <c r="W11" s="67">
        <v>2378683</v>
      </c>
      <c r="X11" s="67">
        <v>356802</v>
      </c>
      <c r="Y11" s="67">
        <v>13200</v>
      </c>
      <c r="Z11" s="67">
        <v>12135300</v>
      </c>
      <c r="AA11" s="67">
        <v>13617839</v>
      </c>
      <c r="AB11" s="67">
        <v>1482539</v>
      </c>
      <c r="AC11" s="67" t="s">
        <v>104</v>
      </c>
      <c r="AD11" s="67" t="s">
        <v>124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52800000</v>
      </c>
      <c r="AK11" s="67">
        <v>7200000</v>
      </c>
      <c r="AL11" s="67">
        <v>60000000</v>
      </c>
      <c r="AM11" s="67">
        <v>60000000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</row>
    <row r="12" spans="1:104" ht="15">
      <c r="A12" s="67" t="s">
        <v>125</v>
      </c>
      <c r="B12" s="67" t="s">
        <v>71</v>
      </c>
      <c r="C12" s="67" t="s">
        <v>61</v>
      </c>
      <c r="D12" s="67">
        <v>0</v>
      </c>
      <c r="E12" s="67">
        <v>13200</v>
      </c>
      <c r="F12" s="67">
        <v>0</v>
      </c>
      <c r="G12" s="67">
        <v>0</v>
      </c>
      <c r="H12" s="67">
        <v>200000</v>
      </c>
      <c r="I12" s="67">
        <v>1100000</v>
      </c>
      <c r="J12" s="67">
        <v>1012000</v>
      </c>
      <c r="K12" s="67">
        <v>960000</v>
      </c>
      <c r="L12" s="67">
        <v>0</v>
      </c>
      <c r="M12" s="67">
        <v>0</v>
      </c>
      <c r="N12" s="67">
        <v>8778930</v>
      </c>
      <c r="O12" s="67">
        <v>389340</v>
      </c>
      <c r="P12" s="67">
        <v>593952</v>
      </c>
      <c r="Q12" s="67">
        <v>0</v>
      </c>
      <c r="R12" s="67">
        <v>841556</v>
      </c>
      <c r="S12" s="67">
        <v>0</v>
      </c>
      <c r="T12" s="67">
        <v>0</v>
      </c>
      <c r="U12" s="67">
        <v>1388888</v>
      </c>
      <c r="V12" s="67">
        <v>650000</v>
      </c>
      <c r="W12" s="67">
        <v>2404444</v>
      </c>
      <c r="X12" s="67">
        <v>360667</v>
      </c>
      <c r="Y12" s="67">
        <v>13200</v>
      </c>
      <c r="Z12" s="67">
        <v>10153778</v>
      </c>
      <c r="AA12" s="67">
        <v>13034222</v>
      </c>
      <c r="AB12" s="67">
        <v>2880444</v>
      </c>
      <c r="AC12" s="67" t="s">
        <v>104</v>
      </c>
      <c r="AD12" s="67" t="s">
        <v>126</v>
      </c>
      <c r="AE12" s="67">
        <v>1388888</v>
      </c>
      <c r="AF12" s="67">
        <v>31944424</v>
      </c>
      <c r="AG12" s="67">
        <v>18055576</v>
      </c>
      <c r="AH12" s="67">
        <v>50000000</v>
      </c>
      <c r="AI12" s="67">
        <v>50000000</v>
      </c>
      <c r="AJ12" s="67">
        <v>52800000</v>
      </c>
      <c r="AK12" s="67">
        <v>7200000</v>
      </c>
      <c r="AL12" s="67">
        <v>60000000</v>
      </c>
      <c r="AM12" s="67">
        <v>60000000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</row>
    <row r="13" spans="1:104" ht="15">
      <c r="A13" s="67" t="s">
        <v>127</v>
      </c>
      <c r="B13" s="67" t="s">
        <v>72</v>
      </c>
      <c r="C13" s="67" t="s">
        <v>61</v>
      </c>
      <c r="D13" s="67">
        <v>0</v>
      </c>
      <c r="E13" s="67">
        <v>13200</v>
      </c>
      <c r="F13" s="67">
        <v>0</v>
      </c>
      <c r="G13" s="67">
        <v>712425</v>
      </c>
      <c r="H13" s="67">
        <v>200000</v>
      </c>
      <c r="I13" s="67">
        <v>1100000</v>
      </c>
      <c r="J13" s="67">
        <v>1012000</v>
      </c>
      <c r="K13" s="67">
        <v>960000</v>
      </c>
      <c r="L13" s="67">
        <v>0</v>
      </c>
      <c r="M13" s="67">
        <v>0</v>
      </c>
      <c r="N13" s="67">
        <v>9168270</v>
      </c>
      <c r="O13" s="67">
        <v>0</v>
      </c>
      <c r="P13" s="67">
        <v>599952</v>
      </c>
      <c r="Q13" s="67">
        <v>0</v>
      </c>
      <c r="R13" s="67">
        <v>841976</v>
      </c>
      <c r="S13" s="67">
        <v>0</v>
      </c>
      <c r="T13" s="67">
        <v>0</v>
      </c>
      <c r="U13" s="67">
        <v>1388888</v>
      </c>
      <c r="V13" s="67">
        <v>650000</v>
      </c>
      <c r="W13" s="67">
        <v>2405644</v>
      </c>
      <c r="X13" s="67">
        <v>360847</v>
      </c>
      <c r="Y13" s="67">
        <v>13200</v>
      </c>
      <c r="Z13" s="67">
        <v>10871783</v>
      </c>
      <c r="AA13" s="67">
        <v>13752647</v>
      </c>
      <c r="AB13" s="67">
        <v>2880864</v>
      </c>
      <c r="AC13" s="67" t="s">
        <v>104</v>
      </c>
      <c r="AD13" s="67" t="s">
        <v>128</v>
      </c>
      <c r="AE13" s="67">
        <v>1388888</v>
      </c>
      <c r="AF13" s="67">
        <v>30555536</v>
      </c>
      <c r="AG13" s="67">
        <v>19444464</v>
      </c>
      <c r="AH13" s="67">
        <v>50000000</v>
      </c>
      <c r="AI13" s="67">
        <v>50000000</v>
      </c>
      <c r="AJ13" s="67">
        <v>52800000</v>
      </c>
      <c r="AK13" s="67">
        <v>7200000</v>
      </c>
      <c r="AL13" s="67">
        <v>60000000</v>
      </c>
      <c r="AM13" s="67">
        <v>60000000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</row>
    <row r="14" spans="1:104" ht="15">
      <c r="A14" s="67" t="s">
        <v>129</v>
      </c>
      <c r="B14" s="67" t="s">
        <v>73</v>
      </c>
      <c r="C14" s="67" t="s">
        <v>61</v>
      </c>
      <c r="D14" s="67">
        <v>120</v>
      </c>
      <c r="E14" s="67">
        <v>13200</v>
      </c>
      <c r="F14" s="67">
        <v>140232</v>
      </c>
      <c r="G14" s="67">
        <v>1424850</v>
      </c>
      <c r="H14" s="67">
        <v>200000</v>
      </c>
      <c r="I14" s="67">
        <v>1100000</v>
      </c>
      <c r="J14" s="67">
        <v>1012000</v>
      </c>
      <c r="K14" s="67">
        <v>960000</v>
      </c>
      <c r="L14" s="67">
        <v>0</v>
      </c>
      <c r="M14" s="67">
        <v>243008</v>
      </c>
      <c r="N14" s="67">
        <v>8778930</v>
      </c>
      <c r="O14" s="67">
        <v>0</v>
      </c>
      <c r="P14" s="67">
        <v>593952</v>
      </c>
      <c r="Q14" s="67">
        <v>0</v>
      </c>
      <c r="R14" s="67">
        <v>841129</v>
      </c>
      <c r="S14" s="67">
        <v>0</v>
      </c>
      <c r="T14" s="67">
        <v>0</v>
      </c>
      <c r="U14" s="67">
        <v>1388888</v>
      </c>
      <c r="V14" s="67">
        <v>650000</v>
      </c>
      <c r="W14" s="67">
        <v>2403224</v>
      </c>
      <c r="X14" s="67">
        <v>360484</v>
      </c>
      <c r="Y14" s="67">
        <v>13200</v>
      </c>
      <c r="Z14" s="67">
        <v>11572955</v>
      </c>
      <c r="AA14" s="67">
        <v>14452972</v>
      </c>
      <c r="AB14" s="67">
        <v>2880017</v>
      </c>
      <c r="AC14" s="67" t="s">
        <v>104</v>
      </c>
      <c r="AD14" s="67" t="s">
        <v>130</v>
      </c>
      <c r="AE14" s="67">
        <v>1388888</v>
      </c>
      <c r="AF14" s="67">
        <v>45833304</v>
      </c>
      <c r="AG14" s="67">
        <v>4166696</v>
      </c>
      <c r="AH14" s="67">
        <v>50000000</v>
      </c>
      <c r="AI14" s="67">
        <v>50000000</v>
      </c>
      <c r="AJ14" s="67">
        <v>58800000</v>
      </c>
      <c r="AK14" s="67">
        <v>1200000</v>
      </c>
      <c r="AL14" s="67">
        <v>60000000</v>
      </c>
      <c r="AM14" s="67">
        <v>60000000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</row>
    <row r="15" spans="1:104" ht="15">
      <c r="A15" s="67" t="s">
        <v>131</v>
      </c>
      <c r="B15" s="67" t="s">
        <v>74</v>
      </c>
      <c r="C15" s="67" t="s">
        <v>61</v>
      </c>
      <c r="D15" s="67">
        <v>0</v>
      </c>
      <c r="E15" s="67">
        <v>13200</v>
      </c>
      <c r="F15" s="67">
        <v>0</v>
      </c>
      <c r="G15" s="67">
        <v>2849700</v>
      </c>
      <c r="H15" s="67">
        <v>200000</v>
      </c>
      <c r="I15" s="67">
        <v>1100000</v>
      </c>
      <c r="J15" s="67">
        <v>1012000</v>
      </c>
      <c r="K15" s="67">
        <v>960000</v>
      </c>
      <c r="L15" s="67">
        <v>0</v>
      </c>
      <c r="M15" s="67">
        <v>0</v>
      </c>
      <c r="N15" s="67">
        <v>10141620</v>
      </c>
      <c r="O15" s="67">
        <v>0</v>
      </c>
      <c r="P15" s="67">
        <v>611952</v>
      </c>
      <c r="Q15" s="67">
        <v>0</v>
      </c>
      <c r="R15" s="67">
        <v>910950</v>
      </c>
      <c r="S15" s="67">
        <v>0</v>
      </c>
      <c r="T15" s="67">
        <v>0</v>
      </c>
      <c r="U15" s="67">
        <v>0</v>
      </c>
      <c r="V15" s="67">
        <v>650000</v>
      </c>
      <c r="W15" s="67">
        <v>2602714</v>
      </c>
      <c r="X15" s="67">
        <v>390407</v>
      </c>
      <c r="Y15" s="67">
        <v>13200</v>
      </c>
      <c r="Z15" s="67">
        <v>15314322</v>
      </c>
      <c r="AA15" s="67">
        <v>16875272</v>
      </c>
      <c r="AB15" s="67">
        <v>1560950</v>
      </c>
      <c r="AC15" s="67" t="s">
        <v>104</v>
      </c>
      <c r="AD15" s="67" t="s">
        <v>132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52800000</v>
      </c>
      <c r="AK15" s="67">
        <v>7200000</v>
      </c>
      <c r="AL15" s="67">
        <v>60000000</v>
      </c>
      <c r="AM15" s="67">
        <v>60000000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</row>
    <row r="16" spans="1:104" ht="15">
      <c r="A16" s="67" t="s">
        <v>133</v>
      </c>
      <c r="B16" s="67" t="s">
        <v>75</v>
      </c>
      <c r="C16" s="67" t="s">
        <v>61</v>
      </c>
      <c r="D16" s="67">
        <v>0</v>
      </c>
      <c r="E16" s="67">
        <v>13200</v>
      </c>
      <c r="F16" s="67">
        <v>0</v>
      </c>
      <c r="G16" s="67">
        <v>0</v>
      </c>
      <c r="H16" s="67">
        <v>200000</v>
      </c>
      <c r="I16" s="67">
        <v>1100000</v>
      </c>
      <c r="J16" s="67">
        <v>1012000</v>
      </c>
      <c r="K16" s="67">
        <v>960000</v>
      </c>
      <c r="L16" s="67">
        <v>0</v>
      </c>
      <c r="M16" s="67">
        <v>0</v>
      </c>
      <c r="N16" s="67">
        <v>10141620</v>
      </c>
      <c r="O16" s="67">
        <v>0</v>
      </c>
      <c r="P16" s="67">
        <v>611952</v>
      </c>
      <c r="Q16" s="67">
        <v>0</v>
      </c>
      <c r="R16" s="67">
        <v>910950</v>
      </c>
      <c r="S16" s="67">
        <v>0</v>
      </c>
      <c r="T16" s="67">
        <v>0</v>
      </c>
      <c r="U16" s="67">
        <v>0</v>
      </c>
      <c r="V16" s="67">
        <v>0</v>
      </c>
      <c r="W16" s="67">
        <v>2602714</v>
      </c>
      <c r="X16" s="67">
        <v>390407</v>
      </c>
      <c r="Y16" s="67">
        <v>13200</v>
      </c>
      <c r="Z16" s="67">
        <v>13114622</v>
      </c>
      <c r="AA16" s="67">
        <v>14025572</v>
      </c>
      <c r="AB16" s="67">
        <v>910950</v>
      </c>
      <c r="AC16" s="67" t="s">
        <v>104</v>
      </c>
      <c r="AD16" s="67" t="s">
        <v>134</v>
      </c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</row>
    <row r="17" spans="1:44">
      <c r="A17" s="67" t="s">
        <v>135</v>
      </c>
      <c r="B17" s="67" t="s">
        <v>76</v>
      </c>
      <c r="C17" s="67" t="s">
        <v>61</v>
      </c>
      <c r="D17" s="67">
        <v>120</v>
      </c>
      <c r="E17" s="67">
        <v>13200</v>
      </c>
      <c r="F17" s="67">
        <v>132252</v>
      </c>
      <c r="G17" s="67">
        <v>1424850</v>
      </c>
      <c r="H17" s="67">
        <v>200000</v>
      </c>
      <c r="I17" s="67">
        <v>1100000</v>
      </c>
      <c r="J17" s="67">
        <v>1012000</v>
      </c>
      <c r="K17" s="67">
        <v>960000</v>
      </c>
      <c r="L17" s="67">
        <v>0</v>
      </c>
      <c r="M17" s="67">
        <v>194529</v>
      </c>
      <c r="N17" s="67">
        <v>8000250</v>
      </c>
      <c r="O17" s="67">
        <v>291990</v>
      </c>
      <c r="P17" s="67">
        <v>581952</v>
      </c>
      <c r="Q17" s="67">
        <v>0</v>
      </c>
      <c r="R17" s="67">
        <v>802268</v>
      </c>
      <c r="S17" s="67">
        <v>0</v>
      </c>
      <c r="T17" s="67">
        <v>0</v>
      </c>
      <c r="U17" s="67">
        <v>1388888</v>
      </c>
      <c r="V17" s="67">
        <v>650000</v>
      </c>
      <c r="W17" s="67">
        <v>2292195</v>
      </c>
      <c r="X17" s="67">
        <v>343829</v>
      </c>
      <c r="Y17" s="67">
        <v>13200</v>
      </c>
      <c r="Z17" s="67">
        <v>11056667</v>
      </c>
      <c r="AA17" s="67">
        <v>13897823</v>
      </c>
      <c r="AB17" s="67">
        <v>2841156</v>
      </c>
      <c r="AC17" s="67" t="s">
        <v>104</v>
      </c>
      <c r="AD17" s="67" t="s">
        <v>136</v>
      </c>
      <c r="AE17" s="67">
        <v>1388888</v>
      </c>
      <c r="AF17" s="67">
        <v>9722216</v>
      </c>
      <c r="AG17" s="67">
        <v>40277784</v>
      </c>
      <c r="AH17" s="67">
        <v>50000000</v>
      </c>
      <c r="AI17" s="67">
        <v>50000000</v>
      </c>
      <c r="AJ17" s="67">
        <v>52800000</v>
      </c>
      <c r="AK17" s="67">
        <v>7200000</v>
      </c>
      <c r="AL17" s="67">
        <v>60000000</v>
      </c>
      <c r="AM17" s="67">
        <v>60000000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</row>
    <row r="18" spans="1:44">
      <c r="A18" s="67" t="s">
        <v>137</v>
      </c>
      <c r="B18" s="67" t="s">
        <v>77</v>
      </c>
      <c r="C18" s="67" t="s">
        <v>61</v>
      </c>
      <c r="D18" s="67">
        <v>0</v>
      </c>
      <c r="E18" s="67">
        <v>13200</v>
      </c>
      <c r="F18" s="67">
        <v>0</v>
      </c>
      <c r="G18" s="67">
        <v>1424850</v>
      </c>
      <c r="H18" s="67">
        <v>200000</v>
      </c>
      <c r="I18" s="67">
        <v>1100000</v>
      </c>
      <c r="J18" s="67">
        <v>1012000</v>
      </c>
      <c r="K18" s="67">
        <v>960000</v>
      </c>
      <c r="L18" s="67">
        <v>0</v>
      </c>
      <c r="M18" s="67">
        <v>724813</v>
      </c>
      <c r="N18" s="67">
        <v>8000250</v>
      </c>
      <c r="O18" s="67">
        <v>0</v>
      </c>
      <c r="P18" s="67">
        <v>581952</v>
      </c>
      <c r="Q18" s="67">
        <v>0</v>
      </c>
      <c r="R18" s="67">
        <v>809691</v>
      </c>
      <c r="S18" s="67">
        <v>0</v>
      </c>
      <c r="T18" s="67">
        <v>0</v>
      </c>
      <c r="U18" s="67">
        <v>1388888</v>
      </c>
      <c r="V18" s="67">
        <v>650000</v>
      </c>
      <c r="W18" s="67">
        <v>2313403</v>
      </c>
      <c r="X18" s="67">
        <v>347010</v>
      </c>
      <c r="Y18" s="67">
        <v>13200</v>
      </c>
      <c r="Z18" s="67">
        <v>11155286</v>
      </c>
      <c r="AA18" s="67">
        <v>14003865</v>
      </c>
      <c r="AB18" s="67">
        <v>2848579</v>
      </c>
      <c r="AC18" s="67" t="s">
        <v>104</v>
      </c>
      <c r="AD18" s="67" t="s">
        <v>138</v>
      </c>
      <c r="AE18" s="67">
        <v>1388888</v>
      </c>
      <c r="AF18" s="67">
        <v>15277800</v>
      </c>
      <c r="AG18" s="67">
        <v>34722200</v>
      </c>
      <c r="AH18" s="67">
        <v>50000000</v>
      </c>
      <c r="AI18" s="67">
        <v>50000000</v>
      </c>
      <c r="AJ18" s="67">
        <v>52800000</v>
      </c>
      <c r="AK18" s="67">
        <v>7200000</v>
      </c>
      <c r="AL18" s="67">
        <v>60000000</v>
      </c>
      <c r="AM18" s="67">
        <v>60000000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</row>
    <row r="19" spans="1:44">
      <c r="A19" s="67" t="s">
        <v>139</v>
      </c>
      <c r="B19" s="67" t="s">
        <v>78</v>
      </c>
      <c r="C19" s="67" t="s">
        <v>61</v>
      </c>
      <c r="D19" s="67">
        <v>2100</v>
      </c>
      <c r="E19" s="67">
        <v>13200</v>
      </c>
      <c r="F19" s="67">
        <v>2492932</v>
      </c>
      <c r="G19" s="67">
        <v>2137275</v>
      </c>
      <c r="H19" s="67">
        <v>200000</v>
      </c>
      <c r="I19" s="67">
        <v>1100000</v>
      </c>
      <c r="J19" s="67">
        <v>1012000</v>
      </c>
      <c r="K19" s="67">
        <v>960000</v>
      </c>
      <c r="L19" s="67">
        <v>0</v>
      </c>
      <c r="M19" s="67">
        <v>0</v>
      </c>
      <c r="N19" s="67">
        <v>9168270</v>
      </c>
      <c r="O19" s="67">
        <v>0</v>
      </c>
      <c r="P19" s="67">
        <v>599952</v>
      </c>
      <c r="Q19" s="67">
        <v>0</v>
      </c>
      <c r="R19" s="67">
        <v>1016481</v>
      </c>
      <c r="S19" s="67">
        <v>0</v>
      </c>
      <c r="T19" s="67">
        <v>0</v>
      </c>
      <c r="U19" s="67">
        <v>0</v>
      </c>
      <c r="V19" s="67">
        <v>650000</v>
      </c>
      <c r="W19" s="67">
        <v>2904231</v>
      </c>
      <c r="X19" s="67">
        <v>435635</v>
      </c>
      <c r="Y19" s="67">
        <v>13200</v>
      </c>
      <c r="Z19" s="67">
        <v>16003948</v>
      </c>
      <c r="AA19" s="67">
        <v>17670429</v>
      </c>
      <c r="AB19" s="67">
        <v>1666481</v>
      </c>
      <c r="AC19" s="67" t="s">
        <v>104</v>
      </c>
      <c r="AD19" s="67" t="s">
        <v>140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52800000</v>
      </c>
      <c r="AK19" s="67">
        <v>7200000</v>
      </c>
      <c r="AL19" s="67">
        <v>60000000</v>
      </c>
      <c r="AM19" s="67">
        <v>60000000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</row>
    <row r="20" spans="1:44" ht="15">
      <c r="A20" s="67" t="s">
        <v>141</v>
      </c>
      <c r="B20" s="67" t="s">
        <v>79</v>
      </c>
      <c r="C20" s="67" t="s">
        <v>61</v>
      </c>
      <c r="D20" s="67">
        <v>0</v>
      </c>
      <c r="E20" s="67">
        <v>13200</v>
      </c>
      <c r="F20" s="67">
        <v>0</v>
      </c>
      <c r="G20" s="67">
        <v>2849700</v>
      </c>
      <c r="H20" s="67">
        <v>200000</v>
      </c>
      <c r="I20" s="67">
        <v>1100000</v>
      </c>
      <c r="J20" s="67">
        <v>1012000</v>
      </c>
      <c r="K20" s="67">
        <v>960000</v>
      </c>
      <c r="L20" s="67">
        <v>0</v>
      </c>
      <c r="M20" s="67">
        <v>0</v>
      </c>
      <c r="N20" s="67">
        <v>9654930</v>
      </c>
      <c r="O20" s="67">
        <v>0</v>
      </c>
      <c r="P20" s="67">
        <v>605952</v>
      </c>
      <c r="Q20" s="67">
        <v>0</v>
      </c>
      <c r="R20" s="67">
        <v>876462</v>
      </c>
      <c r="S20" s="67">
        <v>0</v>
      </c>
      <c r="T20" s="67">
        <v>0</v>
      </c>
      <c r="U20" s="67">
        <v>0</v>
      </c>
      <c r="V20" s="67">
        <v>650000</v>
      </c>
      <c r="W20" s="67">
        <v>2504176</v>
      </c>
      <c r="X20" s="67">
        <v>375626</v>
      </c>
      <c r="Y20" s="67">
        <v>13200</v>
      </c>
      <c r="Z20" s="67">
        <v>14856120</v>
      </c>
      <c r="AA20" s="67">
        <v>16382582</v>
      </c>
      <c r="AB20" s="67">
        <v>1526462</v>
      </c>
      <c r="AC20" s="67" t="s">
        <v>104</v>
      </c>
      <c r="AD20" s="67" t="s">
        <v>142</v>
      </c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</row>
    <row r="21" spans="1:44">
      <c r="A21" s="67" t="s">
        <v>143</v>
      </c>
      <c r="B21" s="67" t="s">
        <v>80</v>
      </c>
      <c r="C21" s="67" t="s">
        <v>61</v>
      </c>
      <c r="D21" s="67">
        <v>0</v>
      </c>
      <c r="E21" s="67">
        <v>13200</v>
      </c>
      <c r="F21" s="67">
        <v>0</v>
      </c>
      <c r="G21" s="67">
        <v>1424850</v>
      </c>
      <c r="H21" s="67">
        <v>200000</v>
      </c>
      <c r="I21" s="67">
        <v>1100000</v>
      </c>
      <c r="J21" s="67">
        <v>1012000</v>
      </c>
      <c r="K21" s="67">
        <v>960000</v>
      </c>
      <c r="L21" s="67">
        <v>0</v>
      </c>
      <c r="M21" s="67">
        <v>0</v>
      </c>
      <c r="N21" s="67">
        <v>9168270</v>
      </c>
      <c r="O21" s="67">
        <v>0</v>
      </c>
      <c r="P21" s="67">
        <v>599952</v>
      </c>
      <c r="Q21" s="67">
        <v>0</v>
      </c>
      <c r="R21" s="67">
        <v>841976</v>
      </c>
      <c r="S21" s="67">
        <v>0</v>
      </c>
      <c r="T21" s="67">
        <v>0</v>
      </c>
      <c r="U21" s="67">
        <v>1388888</v>
      </c>
      <c r="V21" s="67">
        <v>650000</v>
      </c>
      <c r="W21" s="67">
        <v>2405644</v>
      </c>
      <c r="X21" s="67">
        <v>360847</v>
      </c>
      <c r="Y21" s="67">
        <v>13200</v>
      </c>
      <c r="Z21" s="67">
        <v>11584208</v>
      </c>
      <c r="AA21" s="67">
        <v>14465072</v>
      </c>
      <c r="AB21" s="67">
        <v>2880864</v>
      </c>
      <c r="AC21" s="67" t="s">
        <v>104</v>
      </c>
      <c r="AD21" s="67" t="s">
        <v>144</v>
      </c>
      <c r="AE21" s="67">
        <v>1388888</v>
      </c>
      <c r="AF21" s="67">
        <v>34722200</v>
      </c>
      <c r="AG21" s="67">
        <v>15277800</v>
      </c>
      <c r="AH21" s="67">
        <v>50000000</v>
      </c>
      <c r="AI21" s="67">
        <v>50000000</v>
      </c>
      <c r="AJ21" s="67">
        <v>52800000</v>
      </c>
      <c r="AK21" s="67">
        <v>7200000</v>
      </c>
      <c r="AL21" s="67">
        <v>60000000</v>
      </c>
      <c r="AM21" s="67">
        <v>60000000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</row>
    <row r="22" spans="1:44">
      <c r="A22" s="67" t="s">
        <v>145</v>
      </c>
      <c r="B22" s="67" t="s">
        <v>81</v>
      </c>
      <c r="C22" s="67" t="s">
        <v>61</v>
      </c>
      <c r="D22" s="67">
        <v>0</v>
      </c>
      <c r="E22" s="67">
        <v>13200</v>
      </c>
      <c r="F22" s="67">
        <v>0</v>
      </c>
      <c r="G22" s="67">
        <v>712425</v>
      </c>
      <c r="H22" s="67">
        <v>200000</v>
      </c>
      <c r="I22" s="67">
        <v>1100000</v>
      </c>
      <c r="J22" s="67">
        <v>1012000</v>
      </c>
      <c r="K22" s="67">
        <v>960000</v>
      </c>
      <c r="L22" s="67">
        <v>0</v>
      </c>
      <c r="M22" s="67">
        <v>0</v>
      </c>
      <c r="N22" s="67">
        <v>11893590</v>
      </c>
      <c r="O22" s="67">
        <v>0</v>
      </c>
      <c r="P22" s="67">
        <v>635952</v>
      </c>
      <c r="Q22" s="67">
        <v>0</v>
      </c>
      <c r="R22" s="67">
        <v>1035268</v>
      </c>
      <c r="S22" s="67">
        <v>0</v>
      </c>
      <c r="T22" s="67">
        <v>0</v>
      </c>
      <c r="U22" s="67">
        <v>1823888</v>
      </c>
      <c r="V22" s="67">
        <v>650000</v>
      </c>
      <c r="W22" s="67">
        <v>2957908</v>
      </c>
      <c r="X22" s="67">
        <v>443686</v>
      </c>
      <c r="Y22" s="67">
        <v>13200</v>
      </c>
      <c r="Z22" s="67">
        <v>13004811</v>
      </c>
      <c r="AA22" s="67">
        <v>16513967</v>
      </c>
      <c r="AB22" s="67">
        <v>3509156</v>
      </c>
      <c r="AC22" s="67" t="s">
        <v>104</v>
      </c>
      <c r="AD22" s="67" t="s">
        <v>146</v>
      </c>
      <c r="AE22" s="67">
        <v>1388888</v>
      </c>
      <c r="AF22" s="67">
        <v>44444416</v>
      </c>
      <c r="AG22" s="67">
        <v>5555584</v>
      </c>
      <c r="AH22" s="67">
        <v>50000000</v>
      </c>
      <c r="AI22" s="67">
        <v>50000000</v>
      </c>
      <c r="AJ22" s="67">
        <v>52800000</v>
      </c>
      <c r="AK22" s="67">
        <v>7200000</v>
      </c>
      <c r="AL22" s="67">
        <v>60000000</v>
      </c>
      <c r="AM22" s="67">
        <v>60000000</v>
      </c>
      <c r="AN22" s="67">
        <v>435000</v>
      </c>
      <c r="AO22" s="67">
        <v>1305000</v>
      </c>
      <c r="AP22" s="67">
        <v>3915000</v>
      </c>
      <c r="AQ22" s="67">
        <v>5220000</v>
      </c>
      <c r="AR22" s="67">
        <v>5220000</v>
      </c>
    </row>
    <row r="23" spans="1:44" ht="15">
      <c r="A23" s="67" t="s">
        <v>147</v>
      </c>
      <c r="B23" s="67" t="s">
        <v>82</v>
      </c>
      <c r="C23" s="67" t="s">
        <v>61</v>
      </c>
      <c r="D23" s="67">
        <v>0</v>
      </c>
      <c r="E23" s="67">
        <v>13200</v>
      </c>
      <c r="F23" s="67">
        <v>0</v>
      </c>
      <c r="G23" s="67">
        <v>2137275</v>
      </c>
      <c r="H23" s="67">
        <v>200000</v>
      </c>
      <c r="I23" s="67">
        <v>1100000</v>
      </c>
      <c r="J23" s="67">
        <v>1012000</v>
      </c>
      <c r="K23" s="67">
        <v>960000</v>
      </c>
      <c r="L23" s="67">
        <v>0</v>
      </c>
      <c r="M23" s="67">
        <v>0</v>
      </c>
      <c r="N23" s="67">
        <v>9654930</v>
      </c>
      <c r="O23" s="67">
        <v>0</v>
      </c>
      <c r="P23" s="67">
        <v>605952</v>
      </c>
      <c r="Q23" s="67">
        <v>0</v>
      </c>
      <c r="R23" s="67">
        <v>876462</v>
      </c>
      <c r="S23" s="67">
        <v>0</v>
      </c>
      <c r="T23" s="67">
        <v>0</v>
      </c>
      <c r="U23" s="67">
        <v>0</v>
      </c>
      <c r="V23" s="67">
        <v>0</v>
      </c>
      <c r="W23" s="67">
        <v>2504176</v>
      </c>
      <c r="X23" s="67">
        <v>375626</v>
      </c>
      <c r="Y23" s="67">
        <v>13200</v>
      </c>
      <c r="Z23" s="67">
        <v>14793695</v>
      </c>
      <c r="AA23" s="67">
        <v>15670157</v>
      </c>
      <c r="AB23" s="67">
        <v>876462</v>
      </c>
      <c r="AC23" s="67" t="s">
        <v>104</v>
      </c>
      <c r="AD23" s="67" t="s">
        <v>148</v>
      </c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</row>
    <row r="24" spans="1:44">
      <c r="A24" s="67" t="s">
        <v>149</v>
      </c>
      <c r="B24" s="67" t="s">
        <v>83</v>
      </c>
      <c r="C24" s="67" t="s">
        <v>61</v>
      </c>
      <c r="D24" s="67">
        <v>0</v>
      </c>
      <c r="E24" s="67">
        <v>13200</v>
      </c>
      <c r="F24" s="67">
        <v>0</v>
      </c>
      <c r="G24" s="67">
        <v>712425</v>
      </c>
      <c r="H24" s="67">
        <v>200000</v>
      </c>
      <c r="I24" s="67">
        <v>1100000</v>
      </c>
      <c r="J24" s="67">
        <v>1012000</v>
      </c>
      <c r="K24" s="67">
        <v>960000</v>
      </c>
      <c r="L24" s="67">
        <v>0</v>
      </c>
      <c r="M24" s="67">
        <v>0</v>
      </c>
      <c r="N24" s="67">
        <v>8778930</v>
      </c>
      <c r="O24" s="67">
        <v>0</v>
      </c>
      <c r="P24" s="67">
        <v>599952</v>
      </c>
      <c r="Q24" s="67">
        <v>0</v>
      </c>
      <c r="R24" s="67">
        <v>814722</v>
      </c>
      <c r="S24" s="67">
        <v>0</v>
      </c>
      <c r="T24" s="67">
        <v>0</v>
      </c>
      <c r="U24" s="67">
        <v>1388888</v>
      </c>
      <c r="V24" s="67">
        <v>650000</v>
      </c>
      <c r="W24" s="67">
        <v>2327776</v>
      </c>
      <c r="X24" s="67">
        <v>349166</v>
      </c>
      <c r="Y24" s="67">
        <v>13200</v>
      </c>
      <c r="Z24" s="67">
        <v>10509697</v>
      </c>
      <c r="AA24" s="67">
        <v>13363307</v>
      </c>
      <c r="AB24" s="67">
        <v>2853610</v>
      </c>
      <c r="AC24" s="67" t="s">
        <v>104</v>
      </c>
      <c r="AD24" s="67" t="s">
        <v>150</v>
      </c>
      <c r="AE24" s="67">
        <v>1388888</v>
      </c>
      <c r="AF24" s="67">
        <v>16666656</v>
      </c>
      <c r="AG24" s="67">
        <v>33333344</v>
      </c>
      <c r="AH24" s="67">
        <v>50000000</v>
      </c>
      <c r="AI24" s="67">
        <v>50000000</v>
      </c>
      <c r="AJ24" s="67">
        <v>52800000</v>
      </c>
      <c r="AK24" s="67">
        <v>7200000</v>
      </c>
      <c r="AL24" s="67">
        <v>60000000</v>
      </c>
      <c r="AM24" s="67">
        <v>60000000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</row>
    <row r="25" spans="1:44">
      <c r="A25" s="67" t="s">
        <v>151</v>
      </c>
      <c r="B25" s="67" t="s">
        <v>84</v>
      </c>
      <c r="C25" s="67" t="s">
        <v>61</v>
      </c>
      <c r="D25" s="67">
        <v>0</v>
      </c>
      <c r="E25" s="67">
        <v>13200</v>
      </c>
      <c r="F25" s="67">
        <v>0</v>
      </c>
      <c r="G25" s="67">
        <v>712425</v>
      </c>
      <c r="H25" s="67">
        <v>200000</v>
      </c>
      <c r="I25" s="67">
        <v>1100000</v>
      </c>
      <c r="J25" s="67">
        <v>1012000</v>
      </c>
      <c r="K25" s="67">
        <v>960000</v>
      </c>
      <c r="L25" s="67">
        <v>0</v>
      </c>
      <c r="M25" s="67">
        <v>46155</v>
      </c>
      <c r="N25" s="67">
        <v>9168270</v>
      </c>
      <c r="O25" s="67">
        <v>0</v>
      </c>
      <c r="P25" s="67">
        <v>593952</v>
      </c>
      <c r="Q25" s="67">
        <v>0</v>
      </c>
      <c r="R25" s="67">
        <v>844786</v>
      </c>
      <c r="S25" s="67">
        <v>0</v>
      </c>
      <c r="T25" s="67">
        <v>0</v>
      </c>
      <c r="U25" s="67">
        <v>1388888</v>
      </c>
      <c r="V25" s="67">
        <v>650000</v>
      </c>
      <c r="W25" s="67">
        <v>2413675</v>
      </c>
      <c r="X25" s="67">
        <v>362051</v>
      </c>
      <c r="Y25" s="67">
        <v>13200</v>
      </c>
      <c r="Z25" s="67">
        <v>10909128</v>
      </c>
      <c r="AA25" s="67">
        <v>13792802</v>
      </c>
      <c r="AB25" s="67">
        <v>2883674</v>
      </c>
      <c r="AC25" s="67" t="s">
        <v>104</v>
      </c>
      <c r="AD25" s="67" t="s">
        <v>152</v>
      </c>
      <c r="AE25" s="67">
        <v>1388888</v>
      </c>
      <c r="AF25" s="67">
        <v>24999984</v>
      </c>
      <c r="AG25" s="67">
        <v>25000016</v>
      </c>
      <c r="AH25" s="67">
        <v>50000000</v>
      </c>
      <c r="AI25" s="67">
        <v>50000000</v>
      </c>
      <c r="AJ25" s="67">
        <v>52800000</v>
      </c>
      <c r="AK25" s="67">
        <v>7200000</v>
      </c>
      <c r="AL25" s="67">
        <v>60000000</v>
      </c>
      <c r="AM25" s="67">
        <v>60000000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</row>
    <row r="26" spans="1:44">
      <c r="A26" s="67" t="s">
        <v>153</v>
      </c>
      <c r="B26" s="67" t="s">
        <v>85</v>
      </c>
      <c r="C26" s="67" t="s">
        <v>61</v>
      </c>
      <c r="D26" s="67">
        <v>120</v>
      </c>
      <c r="E26" s="67">
        <v>13200</v>
      </c>
      <c r="F26" s="67">
        <v>142366</v>
      </c>
      <c r="G26" s="67">
        <v>1424850</v>
      </c>
      <c r="H26" s="67">
        <v>200000</v>
      </c>
      <c r="I26" s="67">
        <v>1100000</v>
      </c>
      <c r="J26" s="67">
        <v>1012000</v>
      </c>
      <c r="K26" s="67">
        <v>960000</v>
      </c>
      <c r="L26" s="67">
        <v>0</v>
      </c>
      <c r="M26" s="67">
        <v>0</v>
      </c>
      <c r="N26" s="67">
        <v>8778930</v>
      </c>
      <c r="O26" s="67">
        <v>389340</v>
      </c>
      <c r="P26" s="67">
        <v>593952</v>
      </c>
      <c r="Q26" s="67">
        <v>0</v>
      </c>
      <c r="R26" s="67">
        <v>851521</v>
      </c>
      <c r="S26" s="67">
        <v>0</v>
      </c>
      <c r="T26" s="67">
        <v>0</v>
      </c>
      <c r="U26" s="67">
        <v>1388888</v>
      </c>
      <c r="V26" s="67">
        <v>650000</v>
      </c>
      <c r="W26" s="67">
        <v>2432918</v>
      </c>
      <c r="X26" s="67">
        <v>364938</v>
      </c>
      <c r="Y26" s="67">
        <v>13200</v>
      </c>
      <c r="Z26" s="67">
        <v>11711029</v>
      </c>
      <c r="AA26" s="67">
        <v>14601438</v>
      </c>
      <c r="AB26" s="67">
        <v>2890409</v>
      </c>
      <c r="AC26" s="67" t="s">
        <v>104</v>
      </c>
      <c r="AD26" s="67" t="s">
        <v>154</v>
      </c>
      <c r="AE26" s="67">
        <v>1388888</v>
      </c>
      <c r="AF26" s="67">
        <v>16666656</v>
      </c>
      <c r="AG26" s="67">
        <v>33333344</v>
      </c>
      <c r="AH26" s="67">
        <v>50000000</v>
      </c>
      <c r="AI26" s="67">
        <v>50000000</v>
      </c>
      <c r="AJ26" s="67">
        <v>52800000</v>
      </c>
      <c r="AK26" s="67">
        <v>7200000</v>
      </c>
      <c r="AL26" s="67">
        <v>60000000</v>
      </c>
      <c r="AM26" s="67">
        <v>60000000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</row>
    <row r="27" spans="1:44">
      <c r="A27" s="67" t="s">
        <v>155</v>
      </c>
      <c r="B27" s="67" t="s">
        <v>86</v>
      </c>
      <c r="C27" s="67" t="s">
        <v>61</v>
      </c>
      <c r="D27" s="67">
        <v>240</v>
      </c>
      <c r="E27" s="67">
        <v>13200</v>
      </c>
      <c r="F27" s="67">
        <v>313646</v>
      </c>
      <c r="G27" s="67">
        <v>2849700</v>
      </c>
      <c r="H27" s="67">
        <v>200000</v>
      </c>
      <c r="I27" s="67">
        <v>1100000</v>
      </c>
      <c r="J27" s="67">
        <v>1012000</v>
      </c>
      <c r="K27" s="67">
        <v>960000</v>
      </c>
      <c r="L27" s="67">
        <v>0</v>
      </c>
      <c r="M27" s="67">
        <v>0</v>
      </c>
      <c r="N27" s="67">
        <v>10141620</v>
      </c>
      <c r="O27" s="67">
        <v>0</v>
      </c>
      <c r="P27" s="67">
        <v>611952</v>
      </c>
      <c r="Q27" s="67">
        <v>0</v>
      </c>
      <c r="R27" s="67">
        <v>932905</v>
      </c>
      <c r="S27" s="67">
        <v>0</v>
      </c>
      <c r="T27" s="67">
        <v>0</v>
      </c>
      <c r="U27" s="67">
        <v>1388888</v>
      </c>
      <c r="V27" s="67">
        <v>650000</v>
      </c>
      <c r="W27" s="67">
        <v>2665444</v>
      </c>
      <c r="X27" s="67">
        <v>399817</v>
      </c>
      <c r="Y27" s="67">
        <v>13200</v>
      </c>
      <c r="Z27" s="67">
        <v>14217125</v>
      </c>
      <c r="AA27" s="67">
        <v>17188918</v>
      </c>
      <c r="AB27" s="67">
        <v>2971793</v>
      </c>
      <c r="AC27" s="67" t="s">
        <v>104</v>
      </c>
      <c r="AD27" s="67" t="s">
        <v>156</v>
      </c>
      <c r="AE27" s="67">
        <v>1388888</v>
      </c>
      <c r="AF27" s="67">
        <v>45833304</v>
      </c>
      <c r="AG27" s="67">
        <v>4166696</v>
      </c>
      <c r="AH27" s="67">
        <v>50000000</v>
      </c>
      <c r="AI27" s="67">
        <v>50000000</v>
      </c>
      <c r="AJ27" s="67">
        <v>52800000</v>
      </c>
      <c r="AK27" s="67">
        <v>7200000</v>
      </c>
      <c r="AL27" s="67">
        <v>60000000</v>
      </c>
      <c r="AM27" s="67">
        <v>60000000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</row>
    <row r="28" spans="1:44">
      <c r="A28" s="67" t="s">
        <v>157</v>
      </c>
      <c r="B28" s="67" t="s">
        <v>87</v>
      </c>
      <c r="C28" s="67" t="s">
        <v>61</v>
      </c>
      <c r="D28" s="67">
        <v>0</v>
      </c>
      <c r="E28" s="67">
        <v>13200</v>
      </c>
      <c r="F28" s="67">
        <v>0</v>
      </c>
      <c r="G28" s="67">
        <v>1424850</v>
      </c>
      <c r="H28" s="67">
        <v>200000</v>
      </c>
      <c r="I28" s="67">
        <v>1100000</v>
      </c>
      <c r="J28" s="67">
        <v>1012000</v>
      </c>
      <c r="K28" s="67">
        <v>960000</v>
      </c>
      <c r="L28" s="67">
        <v>0</v>
      </c>
      <c r="M28" s="67">
        <v>0</v>
      </c>
      <c r="N28" s="67">
        <v>8778930</v>
      </c>
      <c r="O28" s="67">
        <v>0</v>
      </c>
      <c r="P28" s="67">
        <v>599952</v>
      </c>
      <c r="Q28" s="67">
        <v>0</v>
      </c>
      <c r="R28" s="67">
        <v>814722</v>
      </c>
      <c r="S28" s="67">
        <v>0</v>
      </c>
      <c r="T28" s="67">
        <v>0</v>
      </c>
      <c r="U28" s="67">
        <v>435000</v>
      </c>
      <c r="V28" s="67">
        <v>650000</v>
      </c>
      <c r="W28" s="67">
        <v>2327776</v>
      </c>
      <c r="X28" s="67">
        <v>349166</v>
      </c>
      <c r="Y28" s="67">
        <v>13200</v>
      </c>
      <c r="Z28" s="67">
        <v>12176010</v>
      </c>
      <c r="AA28" s="67">
        <v>14075732</v>
      </c>
      <c r="AB28" s="67">
        <v>1899722</v>
      </c>
      <c r="AC28" s="67" t="s">
        <v>104</v>
      </c>
      <c r="AD28" s="67" t="s">
        <v>158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435000</v>
      </c>
      <c r="AO28" s="67">
        <v>1305000</v>
      </c>
      <c r="AP28" s="67">
        <v>3915000</v>
      </c>
      <c r="AQ28" s="67">
        <v>5220000</v>
      </c>
      <c r="AR28" s="67">
        <v>5220000</v>
      </c>
    </row>
    <row r="29" spans="1:44">
      <c r="A29" s="67" t="s">
        <v>159</v>
      </c>
      <c r="B29" s="67" t="s">
        <v>88</v>
      </c>
      <c r="C29" s="67" t="s">
        <v>61</v>
      </c>
      <c r="D29" s="67">
        <v>0</v>
      </c>
      <c r="E29" s="67">
        <v>13200</v>
      </c>
      <c r="F29" s="67">
        <v>0</v>
      </c>
      <c r="G29" s="67">
        <v>1424850</v>
      </c>
      <c r="H29" s="67">
        <v>200000</v>
      </c>
      <c r="I29" s="67">
        <v>1100000</v>
      </c>
      <c r="J29" s="67">
        <v>1012000</v>
      </c>
      <c r="K29" s="67">
        <v>960000</v>
      </c>
      <c r="L29" s="67">
        <v>0</v>
      </c>
      <c r="M29" s="67">
        <v>0</v>
      </c>
      <c r="N29" s="67">
        <v>9168270</v>
      </c>
      <c r="O29" s="67">
        <v>0</v>
      </c>
      <c r="P29" s="67">
        <v>585315</v>
      </c>
      <c r="Q29" s="67">
        <v>0</v>
      </c>
      <c r="R29" s="67">
        <v>840951</v>
      </c>
      <c r="S29" s="67">
        <v>0</v>
      </c>
      <c r="T29" s="67">
        <v>0</v>
      </c>
      <c r="U29" s="67">
        <v>833333</v>
      </c>
      <c r="V29" s="67">
        <v>650000</v>
      </c>
      <c r="W29" s="67">
        <v>2402717</v>
      </c>
      <c r="X29" s="67">
        <v>360408</v>
      </c>
      <c r="Y29" s="67">
        <v>13200</v>
      </c>
      <c r="Z29" s="67">
        <v>12126151</v>
      </c>
      <c r="AA29" s="67">
        <v>14450435</v>
      </c>
      <c r="AB29" s="67">
        <v>2324284</v>
      </c>
      <c r="AC29" s="67" t="s">
        <v>104</v>
      </c>
      <c r="AD29" s="67" t="s">
        <v>160</v>
      </c>
      <c r="AE29" s="67">
        <v>833333</v>
      </c>
      <c r="AF29" s="67">
        <v>25833323</v>
      </c>
      <c r="AG29" s="67">
        <v>4166677</v>
      </c>
      <c r="AH29" s="67">
        <v>30000000</v>
      </c>
      <c r="AI29" s="67">
        <v>30000000</v>
      </c>
      <c r="AJ29" s="67">
        <v>52800000</v>
      </c>
      <c r="AK29" s="67">
        <v>7200000</v>
      </c>
      <c r="AL29" s="67">
        <v>60000000</v>
      </c>
      <c r="AM29" s="67">
        <v>60000000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</row>
    <row r="30" spans="1:44">
      <c r="A30" s="67" t="s">
        <v>161</v>
      </c>
      <c r="B30" s="67" t="s">
        <v>89</v>
      </c>
      <c r="C30" s="67" t="s">
        <v>61</v>
      </c>
      <c r="D30" s="67">
        <v>0</v>
      </c>
      <c r="E30" s="67">
        <v>13200</v>
      </c>
      <c r="F30" s="67">
        <v>0</v>
      </c>
      <c r="G30" s="67">
        <v>1424850</v>
      </c>
      <c r="H30" s="67">
        <v>200000</v>
      </c>
      <c r="I30" s="67">
        <v>1100000</v>
      </c>
      <c r="J30" s="67">
        <v>1012000</v>
      </c>
      <c r="K30" s="67">
        <v>960000</v>
      </c>
      <c r="L30" s="67">
        <v>0</v>
      </c>
      <c r="M30" s="67">
        <v>0</v>
      </c>
      <c r="N30" s="67">
        <v>10725600</v>
      </c>
      <c r="O30" s="67">
        <v>0</v>
      </c>
      <c r="P30" s="67">
        <v>617952</v>
      </c>
      <c r="Q30" s="67">
        <v>0</v>
      </c>
      <c r="R30" s="67">
        <v>952249</v>
      </c>
      <c r="S30" s="67">
        <v>0</v>
      </c>
      <c r="T30" s="67">
        <v>0</v>
      </c>
      <c r="U30" s="67">
        <v>2693888</v>
      </c>
      <c r="V30" s="67">
        <v>650000</v>
      </c>
      <c r="W30" s="67">
        <v>2720710</v>
      </c>
      <c r="X30" s="67">
        <v>408107</v>
      </c>
      <c r="Y30" s="67">
        <v>13200</v>
      </c>
      <c r="Z30" s="67">
        <v>11744265</v>
      </c>
      <c r="AA30" s="67">
        <v>16040402</v>
      </c>
      <c r="AB30" s="67">
        <v>4296137</v>
      </c>
      <c r="AC30" s="67" t="s">
        <v>104</v>
      </c>
      <c r="AD30" s="67" t="s">
        <v>162</v>
      </c>
      <c r="AE30" s="67">
        <v>1388888</v>
      </c>
      <c r="AF30" s="67">
        <v>9722216</v>
      </c>
      <c r="AG30" s="67">
        <v>40277784</v>
      </c>
      <c r="AH30" s="67">
        <v>50000000</v>
      </c>
      <c r="AI30" s="67">
        <v>50000000</v>
      </c>
      <c r="AJ30" s="67">
        <v>52800000</v>
      </c>
      <c r="AK30" s="67">
        <v>7200000</v>
      </c>
      <c r="AL30" s="67">
        <v>60000000</v>
      </c>
      <c r="AM30" s="67">
        <v>60000000</v>
      </c>
      <c r="AN30" s="67">
        <v>1305000</v>
      </c>
      <c r="AO30" s="67">
        <v>3915000</v>
      </c>
      <c r="AP30" s="67">
        <v>11745000</v>
      </c>
      <c r="AQ30" s="67">
        <v>15660000</v>
      </c>
      <c r="AR30" s="67">
        <v>15660000</v>
      </c>
    </row>
    <row r="31" spans="1:44">
      <c r="A31" s="67" t="s">
        <v>163</v>
      </c>
      <c r="B31" s="67" t="s">
        <v>90</v>
      </c>
      <c r="C31" s="67" t="s">
        <v>61</v>
      </c>
      <c r="D31" s="67">
        <v>0</v>
      </c>
      <c r="E31" s="67">
        <v>13200</v>
      </c>
      <c r="F31" s="67">
        <v>0</v>
      </c>
      <c r="G31" s="67">
        <v>1424850</v>
      </c>
      <c r="H31" s="67">
        <v>200000</v>
      </c>
      <c r="I31" s="67">
        <v>1100000</v>
      </c>
      <c r="J31" s="67">
        <v>1012000</v>
      </c>
      <c r="K31" s="67">
        <v>960000</v>
      </c>
      <c r="L31" s="67">
        <v>0</v>
      </c>
      <c r="M31" s="67">
        <v>0</v>
      </c>
      <c r="N31" s="67">
        <v>10725600</v>
      </c>
      <c r="O31" s="67">
        <v>0</v>
      </c>
      <c r="P31" s="67">
        <v>617952</v>
      </c>
      <c r="Q31" s="67">
        <v>0</v>
      </c>
      <c r="R31" s="67">
        <v>952249</v>
      </c>
      <c r="S31" s="67">
        <v>0</v>
      </c>
      <c r="T31" s="67">
        <v>0</v>
      </c>
      <c r="U31" s="67">
        <v>2693888</v>
      </c>
      <c r="V31" s="67">
        <v>650000</v>
      </c>
      <c r="W31" s="67">
        <v>2720710</v>
      </c>
      <c r="X31" s="67">
        <v>408107</v>
      </c>
      <c r="Y31" s="67">
        <v>13200</v>
      </c>
      <c r="Z31" s="67">
        <v>11744265</v>
      </c>
      <c r="AA31" s="67">
        <v>16040402</v>
      </c>
      <c r="AB31" s="67">
        <v>4296137</v>
      </c>
      <c r="AC31" s="67" t="s">
        <v>104</v>
      </c>
      <c r="AD31" s="67" t="s">
        <v>164</v>
      </c>
      <c r="AE31" s="67">
        <v>1388888</v>
      </c>
      <c r="AF31" s="67">
        <v>44444416</v>
      </c>
      <c r="AG31" s="67">
        <v>5555584</v>
      </c>
      <c r="AH31" s="67">
        <v>50000000</v>
      </c>
      <c r="AI31" s="67">
        <v>50000000</v>
      </c>
      <c r="AJ31" s="67">
        <v>52800000</v>
      </c>
      <c r="AK31" s="67">
        <v>7200000</v>
      </c>
      <c r="AL31" s="67">
        <v>60000000</v>
      </c>
      <c r="AM31" s="67">
        <v>60000000</v>
      </c>
      <c r="AN31" s="67">
        <v>1305000</v>
      </c>
      <c r="AO31" s="67">
        <v>5220000</v>
      </c>
      <c r="AP31" s="67">
        <v>5220000</v>
      </c>
      <c r="AQ31" s="67">
        <v>10440000</v>
      </c>
      <c r="AR31" s="67">
        <v>10440000</v>
      </c>
    </row>
    <row r="32" spans="1:44">
      <c r="A32" s="67" t="s">
        <v>165</v>
      </c>
      <c r="B32" s="67" t="s">
        <v>91</v>
      </c>
      <c r="C32" s="67" t="s">
        <v>61</v>
      </c>
      <c r="D32" s="67">
        <v>120</v>
      </c>
      <c r="E32" s="67">
        <v>13200</v>
      </c>
      <c r="F32" s="67">
        <v>136928</v>
      </c>
      <c r="G32" s="67">
        <v>712425</v>
      </c>
      <c r="H32" s="67">
        <v>200000</v>
      </c>
      <c r="I32" s="67">
        <v>1100000</v>
      </c>
      <c r="J32" s="67">
        <v>1012000</v>
      </c>
      <c r="K32" s="67">
        <v>960000</v>
      </c>
      <c r="L32" s="67">
        <v>0</v>
      </c>
      <c r="M32" s="67">
        <v>16448</v>
      </c>
      <c r="N32" s="67">
        <v>8778930</v>
      </c>
      <c r="O32" s="67">
        <v>0</v>
      </c>
      <c r="P32" s="67">
        <v>593952</v>
      </c>
      <c r="Q32" s="67">
        <v>0</v>
      </c>
      <c r="R32" s="67">
        <v>825038</v>
      </c>
      <c r="S32" s="67">
        <v>0</v>
      </c>
      <c r="T32" s="67">
        <v>0</v>
      </c>
      <c r="U32" s="67">
        <v>1388888</v>
      </c>
      <c r="V32" s="67">
        <v>650000</v>
      </c>
      <c r="W32" s="67">
        <v>2357252</v>
      </c>
      <c r="X32" s="67">
        <v>353588</v>
      </c>
      <c r="Y32" s="67">
        <v>13200</v>
      </c>
      <c r="Z32" s="67">
        <v>10646757</v>
      </c>
      <c r="AA32" s="67">
        <v>13510683</v>
      </c>
      <c r="AB32" s="67">
        <v>2863926</v>
      </c>
      <c r="AC32" s="67" t="s">
        <v>104</v>
      </c>
      <c r="AD32" s="67" t="s">
        <v>166</v>
      </c>
      <c r="AE32" s="67">
        <v>1388888</v>
      </c>
      <c r="AF32" s="67">
        <v>24999984</v>
      </c>
      <c r="AG32" s="67">
        <v>25000016</v>
      </c>
      <c r="AH32" s="67">
        <v>50000000</v>
      </c>
      <c r="AI32" s="67">
        <v>50000000</v>
      </c>
      <c r="AJ32" s="67">
        <v>52800000</v>
      </c>
      <c r="AK32" s="67">
        <v>7200000</v>
      </c>
      <c r="AL32" s="67">
        <v>60000000</v>
      </c>
      <c r="AM32" s="67">
        <v>60000000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</row>
    <row r="33" spans="4:104">
      <c r="D33" s="69">
        <f>SUM(D2:D32)</f>
        <v>4320</v>
      </c>
      <c r="E33" s="69">
        <f t="shared" ref="E33:AR33" si="0">SUM(E2:E32)</f>
        <v>409200</v>
      </c>
      <c r="F33" s="69">
        <f t="shared" si="0"/>
        <v>5420846</v>
      </c>
      <c r="G33" s="69">
        <f t="shared" si="0"/>
        <v>42033075</v>
      </c>
      <c r="H33" s="69">
        <f t="shared" si="0"/>
        <v>6200000</v>
      </c>
      <c r="I33" s="69">
        <f t="shared" si="0"/>
        <v>34100000</v>
      </c>
      <c r="J33" s="69">
        <f t="shared" si="0"/>
        <v>31372000</v>
      </c>
      <c r="K33" s="69">
        <f t="shared" si="0"/>
        <v>29760000</v>
      </c>
      <c r="L33" s="69">
        <f t="shared" si="0"/>
        <v>0</v>
      </c>
      <c r="M33" s="69">
        <f t="shared" si="0"/>
        <v>1807306</v>
      </c>
      <c r="N33" s="69">
        <f t="shared" si="0"/>
        <v>297356250</v>
      </c>
      <c r="O33" s="69">
        <f t="shared" si="0"/>
        <v>1362660</v>
      </c>
      <c r="P33" s="69">
        <f t="shared" si="0"/>
        <v>18739875</v>
      </c>
      <c r="Q33" s="69">
        <f t="shared" si="0"/>
        <v>1051200</v>
      </c>
      <c r="R33" s="69">
        <f t="shared" si="0"/>
        <v>27705874</v>
      </c>
      <c r="S33" s="69">
        <f t="shared" si="0"/>
        <v>0</v>
      </c>
      <c r="T33" s="69">
        <f t="shared" si="0"/>
        <v>0</v>
      </c>
      <c r="U33" s="69">
        <f t="shared" si="0"/>
        <v>33766649</v>
      </c>
      <c r="V33" s="69">
        <f t="shared" si="0"/>
        <v>18200000</v>
      </c>
      <c r="W33" s="69">
        <f t="shared" si="0"/>
        <v>79159622</v>
      </c>
      <c r="X33" s="69">
        <f t="shared" si="0"/>
        <v>11873946</v>
      </c>
      <c r="Y33" s="69">
        <f t="shared" si="0"/>
        <v>409200</v>
      </c>
      <c r="Z33" s="69">
        <f t="shared" si="0"/>
        <v>389530689</v>
      </c>
      <c r="AA33" s="69">
        <f t="shared" si="0"/>
        <v>469203212</v>
      </c>
      <c r="AB33" s="69">
        <f t="shared" si="0"/>
        <v>79672523</v>
      </c>
      <c r="AC33" s="69">
        <f t="shared" si="0"/>
        <v>0</v>
      </c>
      <c r="AD33" s="69">
        <f t="shared" si="0"/>
        <v>0</v>
      </c>
      <c r="AE33" s="69">
        <f t="shared" si="0"/>
        <v>29416649</v>
      </c>
      <c r="AF33" s="69">
        <f t="shared" si="0"/>
        <v>622305207</v>
      </c>
      <c r="AG33" s="69">
        <f t="shared" si="0"/>
        <v>436694793</v>
      </c>
      <c r="AH33" s="69">
        <f t="shared" si="0"/>
        <v>1059000000</v>
      </c>
      <c r="AI33" s="69">
        <f t="shared" si="0"/>
        <v>1059000000</v>
      </c>
      <c r="AJ33" s="69">
        <f t="shared" si="0"/>
        <v>1332000000</v>
      </c>
      <c r="AK33" s="69">
        <f t="shared" si="0"/>
        <v>168000000</v>
      </c>
      <c r="AL33" s="69">
        <f t="shared" si="0"/>
        <v>1500000000</v>
      </c>
      <c r="AM33" s="69">
        <f t="shared" si="0"/>
        <v>1500000000</v>
      </c>
      <c r="AN33" s="69">
        <f t="shared" si="0"/>
        <v>4350000</v>
      </c>
      <c r="AO33" s="69">
        <f t="shared" si="0"/>
        <v>14355000</v>
      </c>
      <c r="AP33" s="69">
        <f t="shared" si="0"/>
        <v>32625000</v>
      </c>
      <c r="AQ33" s="69">
        <f t="shared" si="0"/>
        <v>46980000</v>
      </c>
      <c r="AR33" s="69">
        <f t="shared" si="0"/>
        <v>46980000</v>
      </c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</row>
    <row r="36" spans="4:104" s="2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rightToLeft="1" topLeftCell="D20" workbookViewId="0">
      <selection activeCell="E36" sqref="E36"/>
    </sheetView>
  </sheetViews>
  <sheetFormatPr defaultRowHeight="24.75"/>
  <cols>
    <col min="1" max="1" width="15.85546875" style="46" bestFit="1" customWidth="1"/>
    <col min="2" max="2" width="9.28515625" style="46" bestFit="1" customWidth="1"/>
    <col min="3" max="3" width="15.42578125" style="46" bestFit="1" customWidth="1"/>
    <col min="4" max="4" width="11.85546875" style="46" bestFit="1" customWidth="1"/>
    <col min="5" max="5" width="23.140625" style="47" bestFit="1" customWidth="1"/>
    <col min="6" max="6" width="21.85546875" style="47" bestFit="1" customWidth="1"/>
    <col min="7" max="7" width="6" style="46" bestFit="1" customWidth="1"/>
    <col min="8" max="8" width="19.5703125" style="46" bestFit="1" customWidth="1"/>
    <col min="9" max="9" width="18" style="46" bestFit="1" customWidth="1"/>
    <col min="10" max="10" width="12.28515625" style="46" bestFit="1" customWidth="1"/>
    <col min="11" max="11" width="9" style="46" bestFit="1" customWidth="1"/>
    <col min="12" max="12" width="20.7109375" style="46" bestFit="1" customWidth="1"/>
    <col min="13" max="13" width="13.5703125" style="46" bestFit="1" customWidth="1"/>
    <col min="14" max="14" width="11.5703125" style="46" bestFit="1" customWidth="1"/>
    <col min="15" max="15" width="15.42578125" style="46" bestFit="1" customWidth="1"/>
    <col min="16" max="16" width="9.42578125" style="46" bestFit="1" customWidth="1"/>
    <col min="17" max="16384" width="9.140625" style="46"/>
  </cols>
  <sheetData>
    <row r="3" spans="1:6" s="73" customFormat="1" ht="19.5">
      <c r="A3" s="71" t="s">
        <v>2</v>
      </c>
      <c r="B3" s="71" t="s">
        <v>0</v>
      </c>
      <c r="C3" s="71" t="s">
        <v>1</v>
      </c>
      <c r="D3" s="71" t="s">
        <v>169</v>
      </c>
      <c r="E3" s="72" t="s">
        <v>170</v>
      </c>
    </row>
    <row r="4" spans="1:6" s="73" customFormat="1" ht="19.5">
      <c r="A4" s="73" t="s">
        <v>61</v>
      </c>
      <c r="B4" s="73" t="s">
        <v>103</v>
      </c>
      <c r="C4" s="73" t="s">
        <v>62</v>
      </c>
      <c r="D4" s="73">
        <v>30</v>
      </c>
      <c r="E4" s="74">
        <v>3000000</v>
      </c>
      <c r="F4" s="73" t="s">
        <v>171</v>
      </c>
    </row>
    <row r="5" spans="1:6" s="73" customFormat="1" ht="19.5">
      <c r="A5" s="73" t="s">
        <v>61</v>
      </c>
      <c r="B5" s="73" t="s">
        <v>106</v>
      </c>
      <c r="C5" s="73" t="s">
        <v>107</v>
      </c>
      <c r="D5" s="73">
        <v>30</v>
      </c>
      <c r="E5" s="74">
        <v>3000000</v>
      </c>
      <c r="F5" s="73" t="s">
        <v>171</v>
      </c>
    </row>
    <row r="6" spans="1:6" s="73" customFormat="1" ht="19.5">
      <c r="A6" s="73" t="s">
        <v>61</v>
      </c>
      <c r="B6" s="73" t="s">
        <v>109</v>
      </c>
      <c r="C6" s="73" t="s">
        <v>63</v>
      </c>
      <c r="D6" s="73">
        <v>30</v>
      </c>
      <c r="E6" s="74">
        <v>3000000</v>
      </c>
      <c r="F6" s="73" t="s">
        <v>171</v>
      </c>
    </row>
    <row r="7" spans="1:6" s="73" customFormat="1" ht="19.5">
      <c r="A7" s="73" t="s">
        <v>61</v>
      </c>
      <c r="B7" s="73" t="s">
        <v>111</v>
      </c>
      <c r="C7" s="73" t="s">
        <v>64</v>
      </c>
      <c r="D7" s="73">
        <v>30</v>
      </c>
      <c r="E7" s="74">
        <v>3000000</v>
      </c>
      <c r="F7" s="73" t="s">
        <v>171</v>
      </c>
    </row>
    <row r="8" spans="1:6" s="73" customFormat="1" ht="19.5">
      <c r="A8" s="73" t="s">
        <v>61</v>
      </c>
      <c r="B8" s="73" t="s">
        <v>113</v>
      </c>
      <c r="C8" s="73" t="s">
        <v>65</v>
      </c>
      <c r="D8" s="73">
        <v>30</v>
      </c>
      <c r="E8" s="74">
        <v>3000000</v>
      </c>
      <c r="F8" s="73" t="s">
        <v>171</v>
      </c>
    </row>
    <row r="9" spans="1:6" s="73" customFormat="1" ht="19.5">
      <c r="A9" s="73" t="s">
        <v>61</v>
      </c>
      <c r="B9" s="73" t="s">
        <v>115</v>
      </c>
      <c r="C9" s="73" t="s">
        <v>66</v>
      </c>
      <c r="D9" s="73">
        <v>30</v>
      </c>
      <c r="E9" s="74">
        <v>3000000</v>
      </c>
      <c r="F9" s="73" t="s">
        <v>171</v>
      </c>
    </row>
    <row r="10" spans="1:6" s="73" customFormat="1" ht="19.5">
      <c r="A10" s="73" t="s">
        <v>61</v>
      </c>
      <c r="B10" s="73" t="s">
        <v>117</v>
      </c>
      <c r="C10" s="73" t="s">
        <v>67</v>
      </c>
      <c r="D10" s="73">
        <v>30</v>
      </c>
      <c r="E10" s="74">
        <v>3000000</v>
      </c>
      <c r="F10" s="73" t="s">
        <v>171</v>
      </c>
    </row>
    <row r="11" spans="1:6" s="73" customFormat="1" ht="19.5">
      <c r="A11" s="73" t="s">
        <v>61</v>
      </c>
      <c r="B11" s="73" t="s">
        <v>119</v>
      </c>
      <c r="C11" s="73" t="s">
        <v>68</v>
      </c>
      <c r="D11" s="73">
        <v>30</v>
      </c>
      <c r="E11" s="74">
        <v>3000000</v>
      </c>
      <c r="F11" s="73" t="s">
        <v>171</v>
      </c>
    </row>
    <row r="12" spans="1:6" s="73" customFormat="1" ht="19.5">
      <c r="A12" s="73" t="s">
        <v>61</v>
      </c>
      <c r="B12" s="73" t="s">
        <v>121</v>
      </c>
      <c r="C12" s="73" t="s">
        <v>69</v>
      </c>
      <c r="D12" s="73">
        <v>30</v>
      </c>
      <c r="E12" s="74">
        <v>3000000</v>
      </c>
      <c r="F12" s="73" t="s">
        <v>171</v>
      </c>
    </row>
    <row r="13" spans="1:6" s="73" customFormat="1" ht="19.5">
      <c r="A13" s="73" t="s">
        <v>61</v>
      </c>
      <c r="B13" s="73" t="s">
        <v>123</v>
      </c>
      <c r="C13" s="73" t="s">
        <v>70</v>
      </c>
      <c r="D13" s="73">
        <v>30</v>
      </c>
      <c r="E13" s="74">
        <v>3000000</v>
      </c>
      <c r="F13" s="73" t="s">
        <v>171</v>
      </c>
    </row>
    <row r="14" spans="1:6" s="73" customFormat="1" ht="19.5">
      <c r="A14" s="73" t="s">
        <v>61</v>
      </c>
      <c r="B14" s="73" t="s">
        <v>125</v>
      </c>
      <c r="C14" s="73" t="s">
        <v>71</v>
      </c>
      <c r="D14" s="73">
        <v>30</v>
      </c>
      <c r="E14" s="74">
        <v>3000000</v>
      </c>
      <c r="F14" s="73" t="s">
        <v>171</v>
      </c>
    </row>
    <row r="15" spans="1:6" s="73" customFormat="1" ht="19.5">
      <c r="A15" s="73" t="s">
        <v>61</v>
      </c>
      <c r="B15" s="73" t="s">
        <v>127</v>
      </c>
      <c r="C15" s="73" t="s">
        <v>72</v>
      </c>
      <c r="D15" s="73">
        <v>30</v>
      </c>
      <c r="E15" s="74">
        <v>3000000</v>
      </c>
      <c r="F15" s="73" t="s">
        <v>171</v>
      </c>
    </row>
    <row r="16" spans="1:6" s="73" customFormat="1" ht="19.5">
      <c r="A16" s="73" t="s">
        <v>61</v>
      </c>
      <c r="B16" s="73" t="s">
        <v>129</v>
      </c>
      <c r="C16" s="73" t="s">
        <v>73</v>
      </c>
      <c r="D16" s="73">
        <v>30</v>
      </c>
      <c r="E16" s="74">
        <v>3000000</v>
      </c>
      <c r="F16" s="73" t="s">
        <v>171</v>
      </c>
    </row>
    <row r="17" spans="1:6" s="73" customFormat="1" ht="19.5">
      <c r="A17" s="73" t="s">
        <v>61</v>
      </c>
      <c r="B17" s="73" t="s">
        <v>131</v>
      </c>
      <c r="C17" s="73" t="s">
        <v>74</v>
      </c>
      <c r="D17" s="73">
        <v>30</v>
      </c>
      <c r="E17" s="74">
        <v>3000000</v>
      </c>
      <c r="F17" s="73" t="s">
        <v>171</v>
      </c>
    </row>
    <row r="18" spans="1:6" s="73" customFormat="1" ht="19.5">
      <c r="A18" s="73" t="s">
        <v>61</v>
      </c>
      <c r="B18" s="73" t="s">
        <v>133</v>
      </c>
      <c r="C18" s="73" t="s">
        <v>75</v>
      </c>
      <c r="D18" s="73">
        <v>30</v>
      </c>
      <c r="E18" s="74">
        <v>3000000</v>
      </c>
      <c r="F18" s="73" t="s">
        <v>171</v>
      </c>
    </row>
    <row r="19" spans="1:6" s="73" customFormat="1" ht="19.5">
      <c r="A19" s="73" t="s">
        <v>61</v>
      </c>
      <c r="B19" s="73" t="s">
        <v>135</v>
      </c>
      <c r="C19" s="73" t="s">
        <v>76</v>
      </c>
      <c r="D19" s="73">
        <v>30</v>
      </c>
      <c r="E19" s="74">
        <v>3000000</v>
      </c>
      <c r="F19" s="73" t="s">
        <v>171</v>
      </c>
    </row>
    <row r="20" spans="1:6" s="73" customFormat="1" ht="19.5">
      <c r="A20" s="73" t="s">
        <v>61</v>
      </c>
      <c r="B20" s="73" t="s">
        <v>137</v>
      </c>
      <c r="C20" s="73" t="s">
        <v>77</v>
      </c>
      <c r="D20" s="73">
        <v>30</v>
      </c>
      <c r="E20" s="74">
        <v>3000000</v>
      </c>
      <c r="F20" s="73" t="s">
        <v>171</v>
      </c>
    </row>
    <row r="21" spans="1:6" s="73" customFormat="1" ht="19.5">
      <c r="A21" s="73" t="s">
        <v>61</v>
      </c>
      <c r="B21" s="73" t="s">
        <v>139</v>
      </c>
      <c r="C21" s="73" t="s">
        <v>78</v>
      </c>
      <c r="D21" s="73">
        <v>30</v>
      </c>
      <c r="E21" s="74">
        <v>3000000</v>
      </c>
      <c r="F21" s="73" t="s">
        <v>171</v>
      </c>
    </row>
    <row r="22" spans="1:6" s="73" customFormat="1" ht="19.5">
      <c r="A22" s="73" t="s">
        <v>61</v>
      </c>
      <c r="B22" s="73" t="s">
        <v>141</v>
      </c>
      <c r="C22" s="73" t="s">
        <v>79</v>
      </c>
      <c r="D22" s="73">
        <v>30</v>
      </c>
      <c r="E22" s="74">
        <v>3000000</v>
      </c>
      <c r="F22" s="73" t="s">
        <v>171</v>
      </c>
    </row>
    <row r="23" spans="1:6" s="73" customFormat="1" ht="19.5">
      <c r="A23" s="73" t="s">
        <v>61</v>
      </c>
      <c r="B23" s="73" t="s">
        <v>143</v>
      </c>
      <c r="C23" s="73" t="s">
        <v>80</v>
      </c>
      <c r="D23" s="73">
        <v>30</v>
      </c>
      <c r="E23" s="74">
        <v>3000000</v>
      </c>
      <c r="F23" s="73" t="s">
        <v>171</v>
      </c>
    </row>
    <row r="24" spans="1:6" s="73" customFormat="1" ht="19.5">
      <c r="A24" s="73" t="s">
        <v>61</v>
      </c>
      <c r="B24" s="73" t="s">
        <v>145</v>
      </c>
      <c r="C24" s="73" t="s">
        <v>81</v>
      </c>
      <c r="D24" s="73">
        <v>30</v>
      </c>
      <c r="E24" s="74">
        <v>3000000</v>
      </c>
      <c r="F24" s="73" t="s">
        <v>171</v>
      </c>
    </row>
    <row r="25" spans="1:6" s="73" customFormat="1" ht="19.5">
      <c r="A25" s="73" t="s">
        <v>61</v>
      </c>
      <c r="B25" s="73" t="s">
        <v>147</v>
      </c>
      <c r="C25" s="73" t="s">
        <v>82</v>
      </c>
      <c r="D25" s="73">
        <v>30</v>
      </c>
      <c r="E25" s="74">
        <v>3000000</v>
      </c>
      <c r="F25" s="73" t="s">
        <v>171</v>
      </c>
    </row>
    <row r="26" spans="1:6" s="73" customFormat="1" ht="19.5">
      <c r="A26" s="73" t="s">
        <v>61</v>
      </c>
      <c r="B26" s="73" t="s">
        <v>149</v>
      </c>
      <c r="C26" s="73" t="s">
        <v>83</v>
      </c>
      <c r="D26" s="73">
        <v>30</v>
      </c>
      <c r="E26" s="74">
        <v>3000000</v>
      </c>
      <c r="F26" s="73" t="s">
        <v>171</v>
      </c>
    </row>
    <row r="27" spans="1:6" s="73" customFormat="1" ht="19.5">
      <c r="A27" s="73" t="s">
        <v>61</v>
      </c>
      <c r="B27" s="73" t="s">
        <v>151</v>
      </c>
      <c r="C27" s="73" t="s">
        <v>84</v>
      </c>
      <c r="D27" s="73">
        <v>30</v>
      </c>
      <c r="E27" s="74">
        <v>3000000</v>
      </c>
      <c r="F27" s="73" t="s">
        <v>171</v>
      </c>
    </row>
    <row r="28" spans="1:6" s="73" customFormat="1" ht="19.5">
      <c r="A28" s="73" t="s">
        <v>61</v>
      </c>
      <c r="B28" s="73" t="s">
        <v>153</v>
      </c>
      <c r="C28" s="73" t="s">
        <v>85</v>
      </c>
      <c r="D28" s="73">
        <v>30</v>
      </c>
      <c r="E28" s="74">
        <v>3000000</v>
      </c>
      <c r="F28" s="73" t="s">
        <v>171</v>
      </c>
    </row>
    <row r="29" spans="1:6" s="73" customFormat="1" ht="19.5">
      <c r="A29" s="73" t="s">
        <v>61</v>
      </c>
      <c r="B29" s="73" t="s">
        <v>155</v>
      </c>
      <c r="C29" s="73" t="s">
        <v>86</v>
      </c>
      <c r="D29" s="73">
        <v>30</v>
      </c>
      <c r="E29" s="74">
        <v>3000000</v>
      </c>
      <c r="F29" s="73" t="s">
        <v>171</v>
      </c>
    </row>
    <row r="30" spans="1:6" s="73" customFormat="1" ht="19.5">
      <c r="A30" s="73" t="s">
        <v>61</v>
      </c>
      <c r="B30" s="73" t="s">
        <v>157</v>
      </c>
      <c r="C30" s="73" t="s">
        <v>87</v>
      </c>
      <c r="D30" s="73">
        <v>30</v>
      </c>
      <c r="E30" s="74">
        <v>3000000</v>
      </c>
      <c r="F30" s="73" t="s">
        <v>171</v>
      </c>
    </row>
    <row r="31" spans="1:6" s="73" customFormat="1" ht="19.5">
      <c r="A31" s="73" t="s">
        <v>61</v>
      </c>
      <c r="B31" s="73" t="s">
        <v>159</v>
      </c>
      <c r="C31" s="73" t="s">
        <v>88</v>
      </c>
      <c r="D31" s="73">
        <v>30</v>
      </c>
      <c r="E31" s="74">
        <v>3000000</v>
      </c>
      <c r="F31" s="73" t="s">
        <v>171</v>
      </c>
    </row>
    <row r="32" spans="1:6" s="73" customFormat="1" ht="19.5">
      <c r="A32" s="73" t="s">
        <v>61</v>
      </c>
      <c r="B32" s="73" t="s">
        <v>161</v>
      </c>
      <c r="C32" s="73" t="s">
        <v>89</v>
      </c>
      <c r="D32" s="73">
        <v>30</v>
      </c>
      <c r="E32" s="74">
        <v>3000000</v>
      </c>
      <c r="F32" s="73" t="s">
        <v>171</v>
      </c>
    </row>
    <row r="33" spans="1:6" s="73" customFormat="1" ht="19.5">
      <c r="A33" s="73" t="s">
        <v>61</v>
      </c>
      <c r="B33" s="73" t="s">
        <v>163</v>
      </c>
      <c r="C33" s="73" t="s">
        <v>90</v>
      </c>
      <c r="D33" s="73">
        <v>30</v>
      </c>
      <c r="E33" s="74">
        <v>3000000</v>
      </c>
      <c r="F33" s="73" t="s">
        <v>171</v>
      </c>
    </row>
    <row r="34" spans="1:6" s="73" customFormat="1" ht="19.5">
      <c r="A34" s="73" t="s">
        <v>61</v>
      </c>
      <c r="B34" s="73" t="s">
        <v>165</v>
      </c>
      <c r="C34" s="73" t="s">
        <v>91</v>
      </c>
      <c r="D34" s="73">
        <v>30</v>
      </c>
      <c r="E34" s="74">
        <v>3000000</v>
      </c>
      <c r="F34" s="73" t="s">
        <v>171</v>
      </c>
    </row>
    <row r="35" spans="1:6" s="73" customFormat="1" ht="19.5">
      <c r="E35" s="77">
        <f>SUM(E4:E34)</f>
        <v>93000000</v>
      </c>
    </row>
  </sheetData>
  <conditionalFormatting sqref="J3:J35 B3:B35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5"/>
  <sheetViews>
    <sheetView rightToLeft="1" topLeftCell="B32" workbookViewId="0">
      <selection activeCell="G34" sqref="G4:G34"/>
    </sheetView>
  </sheetViews>
  <sheetFormatPr defaultRowHeight="15"/>
  <cols>
    <col min="1" max="1" width="15.85546875" bestFit="1" customWidth="1"/>
    <col min="2" max="2" width="9.28515625" bestFit="1" customWidth="1"/>
    <col min="3" max="3" width="15.42578125" bestFit="1" customWidth="1"/>
    <col min="4" max="4" width="11.28515625" bestFit="1" customWidth="1"/>
    <col min="5" max="5" width="13.28515625" bestFit="1" customWidth="1"/>
    <col min="6" max="6" width="18.140625" bestFit="1" customWidth="1"/>
    <col min="7" max="7" width="11.140625" bestFit="1" customWidth="1"/>
    <col min="8" max="8" width="5.140625" bestFit="1" customWidth="1"/>
    <col min="9" max="9" width="14.85546875" bestFit="1" customWidth="1"/>
    <col min="10" max="10" width="14.42578125" bestFit="1" customWidth="1"/>
    <col min="11" max="11" width="9.7109375" bestFit="1" customWidth="1"/>
    <col min="12" max="12" width="7.28515625" bestFit="1" customWidth="1"/>
    <col min="13" max="13" width="15.85546875" bestFit="1" customWidth="1"/>
    <col min="14" max="14" width="10.5703125" bestFit="1" customWidth="1"/>
    <col min="15" max="15" width="9" bestFit="1" customWidth="1"/>
    <col min="16" max="16" width="12" bestFit="1" customWidth="1"/>
  </cols>
  <sheetData>
    <row r="3" spans="1:7" s="73" customFormat="1" ht="19.5">
      <c r="A3" s="71" t="s">
        <v>2</v>
      </c>
      <c r="B3" s="71" t="s">
        <v>0</v>
      </c>
      <c r="C3" s="71" t="s">
        <v>1</v>
      </c>
      <c r="D3" s="71" t="s">
        <v>4</v>
      </c>
      <c r="E3" s="72" t="s">
        <v>172</v>
      </c>
      <c r="F3" s="72" t="s">
        <v>173</v>
      </c>
      <c r="G3" s="72" t="s">
        <v>60</v>
      </c>
    </row>
    <row r="4" spans="1:7" s="73" customFormat="1" ht="19.5">
      <c r="A4" s="73" t="s">
        <v>61</v>
      </c>
      <c r="B4" s="73" t="s">
        <v>103</v>
      </c>
      <c r="C4" s="73" t="s">
        <v>62</v>
      </c>
      <c r="D4" s="73">
        <v>30</v>
      </c>
      <c r="E4" s="74"/>
      <c r="F4" s="74">
        <v>260000</v>
      </c>
      <c r="G4" s="75">
        <v>260000</v>
      </c>
    </row>
    <row r="5" spans="1:7" s="73" customFormat="1" ht="19.5">
      <c r="A5" s="73" t="s">
        <v>61</v>
      </c>
      <c r="B5" s="73" t="s">
        <v>106</v>
      </c>
      <c r="C5" s="73" t="s">
        <v>107</v>
      </c>
      <c r="D5" s="73">
        <v>30</v>
      </c>
      <c r="E5" s="74"/>
      <c r="F5" s="74">
        <v>260000</v>
      </c>
      <c r="G5" s="75">
        <v>260000</v>
      </c>
    </row>
    <row r="6" spans="1:7" s="73" customFormat="1" ht="19.5">
      <c r="A6" s="73" t="s">
        <v>61</v>
      </c>
      <c r="B6" s="73" t="s">
        <v>109</v>
      </c>
      <c r="C6" s="73" t="s">
        <v>63</v>
      </c>
      <c r="D6" s="73">
        <v>30</v>
      </c>
      <c r="E6" s="74"/>
      <c r="F6" s="74">
        <v>260000</v>
      </c>
      <c r="G6" s="75">
        <v>260000</v>
      </c>
    </row>
    <row r="7" spans="1:7" s="73" customFormat="1" ht="19.5">
      <c r="A7" s="73" t="s">
        <v>61</v>
      </c>
      <c r="B7" s="73" t="s">
        <v>111</v>
      </c>
      <c r="C7" s="73" t="s">
        <v>64</v>
      </c>
      <c r="D7" s="73">
        <v>30</v>
      </c>
      <c r="E7" s="74"/>
      <c r="F7" s="74">
        <v>260000</v>
      </c>
      <c r="G7" s="75">
        <v>260000</v>
      </c>
    </row>
    <row r="8" spans="1:7" s="73" customFormat="1" ht="19.5">
      <c r="A8" s="73" t="s">
        <v>61</v>
      </c>
      <c r="B8" s="73" t="s">
        <v>113</v>
      </c>
      <c r="C8" s="73" t="s">
        <v>65</v>
      </c>
      <c r="D8" s="73">
        <v>30</v>
      </c>
      <c r="E8" s="74"/>
      <c r="F8" s="74">
        <v>260000</v>
      </c>
      <c r="G8" s="75">
        <v>260000</v>
      </c>
    </row>
    <row r="9" spans="1:7" s="73" customFormat="1" ht="19.5">
      <c r="A9" s="73" t="s">
        <v>61</v>
      </c>
      <c r="B9" s="73" t="s">
        <v>115</v>
      </c>
      <c r="C9" s="73" t="s">
        <v>66</v>
      </c>
      <c r="D9" s="73">
        <v>30</v>
      </c>
      <c r="E9" s="74"/>
      <c r="F9" s="74">
        <v>260000</v>
      </c>
      <c r="G9" s="75">
        <v>260000</v>
      </c>
    </row>
    <row r="10" spans="1:7" s="73" customFormat="1" ht="19.5">
      <c r="A10" s="73" t="s">
        <v>61</v>
      </c>
      <c r="B10" s="73" t="s">
        <v>117</v>
      </c>
      <c r="C10" s="73" t="s">
        <v>67</v>
      </c>
      <c r="D10" s="73">
        <v>30</v>
      </c>
      <c r="E10" s="74"/>
      <c r="F10" s="74">
        <v>260000</v>
      </c>
      <c r="G10" s="75">
        <v>260000</v>
      </c>
    </row>
    <row r="11" spans="1:7" s="73" customFormat="1" ht="19.5">
      <c r="A11" s="73" t="s">
        <v>61</v>
      </c>
      <c r="B11" s="73" t="s">
        <v>119</v>
      </c>
      <c r="C11" s="73" t="s">
        <v>68</v>
      </c>
      <c r="D11" s="73">
        <v>30</v>
      </c>
      <c r="E11" s="74"/>
      <c r="F11" s="74">
        <v>260000</v>
      </c>
      <c r="G11" s="75">
        <v>260000</v>
      </c>
    </row>
    <row r="12" spans="1:7" s="73" customFormat="1" ht="19.5">
      <c r="A12" s="73" t="s">
        <v>61</v>
      </c>
      <c r="B12" s="73" t="s">
        <v>121</v>
      </c>
      <c r="C12" s="73" t="s">
        <v>69</v>
      </c>
      <c r="D12" s="73">
        <v>30</v>
      </c>
      <c r="E12" s="74"/>
      <c r="F12" s="74">
        <v>260000</v>
      </c>
      <c r="G12" s="75">
        <v>260000</v>
      </c>
    </row>
    <row r="13" spans="1:7" s="73" customFormat="1" ht="19.5">
      <c r="A13" s="73" t="s">
        <v>61</v>
      </c>
      <c r="B13" s="73" t="s">
        <v>123</v>
      </c>
      <c r="C13" s="73" t="s">
        <v>70</v>
      </c>
      <c r="D13" s="73">
        <v>30</v>
      </c>
      <c r="E13" s="74"/>
      <c r="F13" s="74">
        <v>260000</v>
      </c>
      <c r="G13" s="75">
        <v>260000</v>
      </c>
    </row>
    <row r="14" spans="1:7" s="73" customFormat="1" ht="19.5">
      <c r="A14" s="73" t="s">
        <v>61</v>
      </c>
      <c r="B14" s="73" t="s">
        <v>125</v>
      </c>
      <c r="C14" s="73" t="s">
        <v>71</v>
      </c>
      <c r="D14" s="73">
        <v>30</v>
      </c>
      <c r="E14" s="74"/>
      <c r="F14" s="74">
        <v>260000</v>
      </c>
      <c r="G14" s="75">
        <v>260000</v>
      </c>
    </row>
    <row r="15" spans="1:7" s="73" customFormat="1" ht="19.5">
      <c r="A15" s="73" t="s">
        <v>61</v>
      </c>
      <c r="B15" s="73" t="s">
        <v>127</v>
      </c>
      <c r="C15" s="73" t="s">
        <v>72</v>
      </c>
      <c r="D15" s="73">
        <v>30</v>
      </c>
      <c r="E15" s="74"/>
      <c r="F15" s="74">
        <v>260000</v>
      </c>
      <c r="G15" s="75">
        <v>260000</v>
      </c>
    </row>
    <row r="16" spans="1:7" s="73" customFormat="1" ht="19.5">
      <c r="A16" s="73" t="s">
        <v>61</v>
      </c>
      <c r="B16" s="73" t="s">
        <v>129</v>
      </c>
      <c r="C16" s="73" t="s">
        <v>73</v>
      </c>
      <c r="D16" s="73">
        <v>30</v>
      </c>
      <c r="E16" s="74"/>
      <c r="F16" s="74">
        <v>260000</v>
      </c>
      <c r="G16" s="75">
        <v>260000</v>
      </c>
    </row>
    <row r="17" spans="1:7" s="73" customFormat="1" ht="19.5">
      <c r="A17" s="73" t="s">
        <v>61</v>
      </c>
      <c r="B17" s="73" t="s">
        <v>131</v>
      </c>
      <c r="C17" s="73" t="s">
        <v>74</v>
      </c>
      <c r="D17" s="73">
        <v>30</v>
      </c>
      <c r="E17" s="74"/>
      <c r="F17" s="74">
        <v>260000</v>
      </c>
      <c r="G17" s="75">
        <v>260000</v>
      </c>
    </row>
    <row r="18" spans="1:7" s="73" customFormat="1" ht="19.5">
      <c r="A18" s="73" t="s">
        <v>61</v>
      </c>
      <c r="B18" s="73" t="s">
        <v>133</v>
      </c>
      <c r="C18" s="73" t="s">
        <v>75</v>
      </c>
      <c r="D18" s="73">
        <v>30</v>
      </c>
      <c r="E18" s="74"/>
      <c r="F18" s="74">
        <v>260000</v>
      </c>
      <c r="G18" s="75">
        <v>260000</v>
      </c>
    </row>
    <row r="19" spans="1:7" s="73" customFormat="1" ht="19.5">
      <c r="A19" s="73" t="s">
        <v>61</v>
      </c>
      <c r="B19" s="73" t="s">
        <v>135</v>
      </c>
      <c r="C19" s="73" t="s">
        <v>76</v>
      </c>
      <c r="D19" s="73">
        <v>30</v>
      </c>
      <c r="E19" s="74"/>
      <c r="F19" s="74">
        <v>260000</v>
      </c>
      <c r="G19" s="75">
        <v>260000</v>
      </c>
    </row>
    <row r="20" spans="1:7" s="73" customFormat="1" ht="19.5">
      <c r="A20" s="73" t="s">
        <v>61</v>
      </c>
      <c r="B20" s="73" t="s">
        <v>137</v>
      </c>
      <c r="C20" s="73" t="s">
        <v>77</v>
      </c>
      <c r="D20" s="73">
        <v>30</v>
      </c>
      <c r="E20" s="74"/>
      <c r="F20" s="74">
        <v>260000</v>
      </c>
      <c r="G20" s="75">
        <v>260000</v>
      </c>
    </row>
    <row r="21" spans="1:7" s="73" customFormat="1" ht="19.5">
      <c r="A21" s="73" t="s">
        <v>61</v>
      </c>
      <c r="B21" s="73" t="s">
        <v>139</v>
      </c>
      <c r="C21" s="73" t="s">
        <v>78</v>
      </c>
      <c r="D21" s="73">
        <v>30</v>
      </c>
      <c r="E21" s="74"/>
      <c r="F21" s="74">
        <v>260000</v>
      </c>
      <c r="G21" s="75">
        <v>260000</v>
      </c>
    </row>
    <row r="22" spans="1:7" s="73" customFormat="1" ht="19.5">
      <c r="A22" s="73" t="s">
        <v>61</v>
      </c>
      <c r="B22" s="73" t="s">
        <v>141</v>
      </c>
      <c r="C22" s="73" t="s">
        <v>79</v>
      </c>
      <c r="D22" s="73">
        <v>30</v>
      </c>
      <c r="E22" s="74"/>
      <c r="F22" s="74">
        <v>260000</v>
      </c>
      <c r="G22" s="75">
        <v>260000</v>
      </c>
    </row>
    <row r="23" spans="1:7" s="73" customFormat="1" ht="19.5">
      <c r="A23" s="73" t="s">
        <v>61</v>
      </c>
      <c r="B23" s="73" t="s">
        <v>143</v>
      </c>
      <c r="C23" s="73" t="s">
        <v>80</v>
      </c>
      <c r="D23" s="73">
        <v>30</v>
      </c>
      <c r="E23" s="74"/>
      <c r="F23" s="74">
        <v>260000</v>
      </c>
      <c r="G23" s="75">
        <v>260000</v>
      </c>
    </row>
    <row r="24" spans="1:7" s="73" customFormat="1" ht="19.5">
      <c r="A24" s="73" t="s">
        <v>61</v>
      </c>
      <c r="B24" s="73" t="s">
        <v>145</v>
      </c>
      <c r="C24" s="73" t="s">
        <v>81</v>
      </c>
      <c r="D24" s="73">
        <v>30</v>
      </c>
      <c r="E24" s="74"/>
      <c r="F24" s="74">
        <v>260000</v>
      </c>
      <c r="G24" s="75">
        <v>260000</v>
      </c>
    </row>
    <row r="25" spans="1:7" s="73" customFormat="1" ht="19.5">
      <c r="A25" s="73" t="s">
        <v>61</v>
      </c>
      <c r="B25" s="73" t="s">
        <v>147</v>
      </c>
      <c r="C25" s="73" t="s">
        <v>82</v>
      </c>
      <c r="D25" s="73">
        <v>30</v>
      </c>
      <c r="E25" s="74"/>
      <c r="F25" s="74">
        <v>260000</v>
      </c>
      <c r="G25" s="75">
        <v>260000</v>
      </c>
    </row>
    <row r="26" spans="1:7" s="73" customFormat="1" ht="19.5">
      <c r="A26" s="73" t="s">
        <v>61</v>
      </c>
      <c r="B26" s="73" t="s">
        <v>149</v>
      </c>
      <c r="C26" s="73" t="s">
        <v>83</v>
      </c>
      <c r="D26" s="73">
        <v>30</v>
      </c>
      <c r="E26" s="74"/>
      <c r="F26" s="74">
        <v>260000</v>
      </c>
      <c r="G26" s="75">
        <v>260000</v>
      </c>
    </row>
    <row r="27" spans="1:7" s="73" customFormat="1" ht="19.5">
      <c r="A27" s="73" t="s">
        <v>61</v>
      </c>
      <c r="B27" s="73" t="s">
        <v>151</v>
      </c>
      <c r="C27" s="73" t="s">
        <v>84</v>
      </c>
      <c r="D27" s="73">
        <v>30</v>
      </c>
      <c r="E27" s="74"/>
      <c r="F27" s="74">
        <v>260000</v>
      </c>
      <c r="G27" s="75">
        <v>260000</v>
      </c>
    </row>
    <row r="28" spans="1:7" s="73" customFormat="1" ht="19.5">
      <c r="A28" s="73" t="s">
        <v>61</v>
      </c>
      <c r="B28" s="73" t="s">
        <v>153</v>
      </c>
      <c r="C28" s="73" t="s">
        <v>85</v>
      </c>
      <c r="D28" s="73">
        <v>30</v>
      </c>
      <c r="E28" s="74"/>
      <c r="F28" s="74">
        <v>260000</v>
      </c>
      <c r="G28" s="75">
        <v>260000</v>
      </c>
    </row>
    <row r="29" spans="1:7" s="73" customFormat="1" ht="19.5">
      <c r="A29" s="73" t="s">
        <v>61</v>
      </c>
      <c r="B29" s="73" t="s">
        <v>155</v>
      </c>
      <c r="C29" s="73" t="s">
        <v>86</v>
      </c>
      <c r="D29" s="73">
        <v>30</v>
      </c>
      <c r="E29" s="74"/>
      <c r="F29" s="74">
        <v>260000</v>
      </c>
      <c r="G29" s="75">
        <v>260000</v>
      </c>
    </row>
    <row r="30" spans="1:7" s="73" customFormat="1" ht="19.5">
      <c r="A30" s="73" t="s">
        <v>61</v>
      </c>
      <c r="B30" s="73" t="s">
        <v>157</v>
      </c>
      <c r="C30" s="73" t="s">
        <v>87</v>
      </c>
      <c r="D30" s="73">
        <v>30</v>
      </c>
      <c r="E30" s="74"/>
      <c r="F30" s="74">
        <v>260000</v>
      </c>
      <c r="G30" s="75">
        <v>260000</v>
      </c>
    </row>
    <row r="31" spans="1:7" s="73" customFormat="1" ht="19.5">
      <c r="A31" s="73" t="s">
        <v>61</v>
      </c>
      <c r="B31" s="73" t="s">
        <v>159</v>
      </c>
      <c r="C31" s="73" t="s">
        <v>88</v>
      </c>
      <c r="D31" s="73">
        <v>30</v>
      </c>
      <c r="E31" s="74"/>
      <c r="F31" s="74">
        <v>260000</v>
      </c>
      <c r="G31" s="75">
        <v>260000</v>
      </c>
    </row>
    <row r="32" spans="1:7" s="73" customFormat="1" ht="19.5">
      <c r="A32" s="73" t="s">
        <v>61</v>
      </c>
      <c r="B32" s="73" t="s">
        <v>161</v>
      </c>
      <c r="C32" s="73" t="s">
        <v>89</v>
      </c>
      <c r="D32" s="73">
        <v>30</v>
      </c>
      <c r="E32" s="74"/>
      <c r="F32" s="74">
        <v>260000</v>
      </c>
      <c r="G32" s="75">
        <v>260000</v>
      </c>
    </row>
    <row r="33" spans="1:7" s="73" customFormat="1" ht="19.5">
      <c r="A33" s="73" t="s">
        <v>61</v>
      </c>
      <c r="B33" s="73" t="s">
        <v>163</v>
      </c>
      <c r="C33" s="73" t="s">
        <v>90</v>
      </c>
      <c r="D33" s="73">
        <v>30</v>
      </c>
      <c r="E33" s="74"/>
      <c r="F33" s="74">
        <v>260000</v>
      </c>
      <c r="G33" s="75">
        <v>260000</v>
      </c>
    </row>
    <row r="34" spans="1:7" s="73" customFormat="1" ht="19.5">
      <c r="A34" s="73" t="s">
        <v>61</v>
      </c>
      <c r="B34" s="73" t="s">
        <v>165</v>
      </c>
      <c r="C34" s="73" t="s">
        <v>91</v>
      </c>
      <c r="D34" s="73">
        <v>30</v>
      </c>
      <c r="E34" s="74"/>
      <c r="F34" s="74">
        <v>260000</v>
      </c>
      <c r="G34" s="75">
        <v>260000</v>
      </c>
    </row>
    <row r="35" spans="1:7" s="73" customFormat="1" ht="19.5">
      <c r="E35" s="74"/>
      <c r="F35" s="74"/>
      <c r="G35" s="76">
        <f>SUM(G4:G34)</f>
        <v>8060000</v>
      </c>
    </row>
  </sheetData>
  <conditionalFormatting sqref="K3:K35 B3:B3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rightToLeft="1" topLeftCell="K22" workbookViewId="0">
      <selection activeCell="P11" sqref="P11"/>
    </sheetView>
  </sheetViews>
  <sheetFormatPr defaultColWidth="9.28515625" defaultRowHeight="15"/>
  <cols>
    <col min="1" max="1" width="12.5703125" bestFit="1" customWidth="1"/>
    <col min="2" max="2" width="19.5703125" bestFit="1" customWidth="1"/>
    <col min="3" max="3" width="21" bestFit="1" customWidth="1"/>
    <col min="4" max="4" width="25.5703125" style="52" bestFit="1" customWidth="1"/>
    <col min="5" max="5" width="23.85546875" style="52" bestFit="1" customWidth="1"/>
    <col min="6" max="6" width="26.5703125" style="52" bestFit="1" customWidth="1"/>
    <col min="7" max="7" width="24.5703125" style="52" bestFit="1" customWidth="1"/>
    <col min="8" max="8" width="23.28515625" style="52" bestFit="1" customWidth="1"/>
    <col min="9" max="9" width="29" style="52" bestFit="1" customWidth="1"/>
    <col min="10" max="10" width="24.5703125" style="52" bestFit="1" customWidth="1"/>
    <col min="11" max="11" width="25.7109375" style="52" bestFit="1" customWidth="1"/>
    <col min="12" max="12" width="26.28515625" style="52" bestFit="1" customWidth="1"/>
    <col min="13" max="13" width="28.28515625" style="52" bestFit="1" customWidth="1"/>
    <col min="14" max="14" width="17.5703125" style="52" bestFit="1" customWidth="1"/>
    <col min="15" max="16" width="16" style="52" bestFit="1" customWidth="1"/>
  </cols>
  <sheetData>
    <row r="2" spans="1:20" s="67" customFormat="1" ht="14.25">
      <c r="A2" s="68" t="s">
        <v>0</v>
      </c>
      <c r="B2" s="68" t="s">
        <v>1</v>
      </c>
      <c r="C2" s="68" t="s">
        <v>2</v>
      </c>
      <c r="D2" s="51" t="s">
        <v>50</v>
      </c>
      <c r="E2" s="51" t="s">
        <v>51</v>
      </c>
      <c r="F2" s="51" t="s">
        <v>52</v>
      </c>
      <c r="G2" s="51" t="s">
        <v>53</v>
      </c>
      <c r="H2" s="51" t="s">
        <v>54</v>
      </c>
      <c r="I2" s="51" t="s">
        <v>167</v>
      </c>
      <c r="J2" s="51" t="s">
        <v>55</v>
      </c>
      <c r="K2" s="51" t="s">
        <v>56</v>
      </c>
      <c r="L2" s="51" t="s">
        <v>57</v>
      </c>
      <c r="M2" s="51" t="s">
        <v>58</v>
      </c>
      <c r="N2" s="51" t="s">
        <v>168</v>
      </c>
      <c r="O2" s="51" t="s">
        <v>40</v>
      </c>
      <c r="P2" s="51" t="s">
        <v>59</v>
      </c>
      <c r="Q2" s="68"/>
      <c r="R2" s="68"/>
      <c r="S2" s="68"/>
      <c r="T2" s="68"/>
    </row>
    <row r="3" spans="1:20" s="67" customFormat="1" ht="14.25">
      <c r="A3" s="67" t="str">
        <f>"9157041"</f>
        <v>9157041</v>
      </c>
      <c r="B3" s="67" t="str">
        <f>"عيد آسماني"</f>
        <v>عيد آسماني</v>
      </c>
      <c r="C3" s="67" t="str">
        <f t="shared" ref="C3:C33" si="0">"توليد توسعه - دارخوين"</f>
        <v>توليد توسعه - دارخوين</v>
      </c>
      <c r="D3" s="45">
        <v>1100000</v>
      </c>
      <c r="E3" s="45">
        <v>0</v>
      </c>
      <c r="F3" s="45">
        <v>200000</v>
      </c>
      <c r="G3" s="45">
        <v>8389590</v>
      </c>
      <c r="H3" s="45">
        <v>0</v>
      </c>
      <c r="I3" s="45">
        <v>0</v>
      </c>
      <c r="J3" s="45">
        <v>0</v>
      </c>
      <c r="K3" s="45">
        <v>0</v>
      </c>
      <c r="L3" s="45">
        <v>587952</v>
      </c>
      <c r="M3" s="45">
        <v>161995</v>
      </c>
      <c r="N3" s="45">
        <f>SUM(D3:M3)</f>
        <v>10439537</v>
      </c>
      <c r="O3" s="45">
        <f>N3/12</f>
        <v>869961.41666666663</v>
      </c>
      <c r="P3" s="45">
        <f>IF(N3*2&gt;=21372750,21372750,N3*2)/12</f>
        <v>1739922.8333333333</v>
      </c>
    </row>
    <row r="4" spans="1:20" s="67" customFormat="1" ht="14.25">
      <c r="A4" s="67" t="str">
        <f>"9157042"</f>
        <v>9157042</v>
      </c>
      <c r="B4" s="67" t="str">
        <f>"کاظم آل بالدي"</f>
        <v>کاظم آل بالدي</v>
      </c>
      <c r="C4" s="67" t="str">
        <f t="shared" si="0"/>
        <v>توليد توسعه - دارخوين</v>
      </c>
      <c r="D4" s="45">
        <v>1100000</v>
      </c>
      <c r="E4" s="45">
        <v>2849700</v>
      </c>
      <c r="F4" s="45">
        <v>200000</v>
      </c>
      <c r="G4" s="45">
        <v>9654930</v>
      </c>
      <c r="H4" s="45">
        <v>0</v>
      </c>
      <c r="I4" s="45">
        <v>0</v>
      </c>
      <c r="J4" s="45">
        <v>0</v>
      </c>
      <c r="K4" s="45">
        <v>0</v>
      </c>
      <c r="L4" s="45">
        <v>611952</v>
      </c>
      <c r="M4" s="45">
        <v>0</v>
      </c>
      <c r="N4" s="45">
        <f t="shared" ref="N4:N33" si="1">SUM(D4:M4)</f>
        <v>14416582</v>
      </c>
      <c r="O4" s="45">
        <f t="shared" ref="O4:O33" si="2">N4/12</f>
        <v>1201381.8333333333</v>
      </c>
      <c r="P4" s="45">
        <f t="shared" ref="P4:P33" si="3">IF(N4*2&gt;=21372750,21372750,N4*2)/12</f>
        <v>1781062.5</v>
      </c>
    </row>
    <row r="5" spans="1:20" s="67" customFormat="1" ht="14.25">
      <c r="A5" s="67" t="str">
        <f>"9157043"</f>
        <v>9157043</v>
      </c>
      <c r="B5" s="67" t="str">
        <f>"عبداله البوبالد"</f>
        <v>عبداله البوبالد</v>
      </c>
      <c r="C5" s="67" t="str">
        <f t="shared" si="0"/>
        <v>توليد توسعه - دارخوين</v>
      </c>
      <c r="D5" s="45">
        <v>1100000</v>
      </c>
      <c r="E5" s="45">
        <v>712425</v>
      </c>
      <c r="F5" s="45">
        <v>200000</v>
      </c>
      <c r="G5" s="45">
        <v>10725600</v>
      </c>
      <c r="H5" s="45">
        <v>0</v>
      </c>
      <c r="I5" s="45">
        <v>0</v>
      </c>
      <c r="J5" s="45">
        <v>0</v>
      </c>
      <c r="K5" s="45">
        <v>0</v>
      </c>
      <c r="L5" s="45">
        <v>617952</v>
      </c>
      <c r="M5" s="45">
        <v>0</v>
      </c>
      <c r="N5" s="45">
        <f t="shared" si="1"/>
        <v>13355977</v>
      </c>
      <c r="O5" s="45">
        <f t="shared" si="2"/>
        <v>1112998.0833333333</v>
      </c>
      <c r="P5" s="45">
        <f t="shared" si="3"/>
        <v>1781062.5</v>
      </c>
    </row>
    <row r="6" spans="1:20" s="67" customFormat="1" ht="14.25">
      <c r="A6" s="67" t="str">
        <f>"9157044"</f>
        <v>9157044</v>
      </c>
      <c r="B6" s="67" t="str">
        <f>"سعيد ال بوبالدي"</f>
        <v>سعيد ال بوبالدي</v>
      </c>
      <c r="C6" s="67" t="str">
        <f t="shared" si="0"/>
        <v>توليد توسعه - دارخوين</v>
      </c>
      <c r="D6" s="45">
        <v>1100000</v>
      </c>
      <c r="E6" s="45">
        <v>2849700</v>
      </c>
      <c r="F6" s="45">
        <v>200000</v>
      </c>
      <c r="G6" s="45">
        <v>9168270</v>
      </c>
      <c r="H6" s="45">
        <v>0</v>
      </c>
      <c r="I6" s="45">
        <v>0</v>
      </c>
      <c r="J6" s="45">
        <v>0</v>
      </c>
      <c r="K6" s="45">
        <v>0</v>
      </c>
      <c r="L6" s="45">
        <v>599952</v>
      </c>
      <c r="M6" s="45">
        <v>0</v>
      </c>
      <c r="N6" s="45">
        <f t="shared" si="1"/>
        <v>13917922</v>
      </c>
      <c r="O6" s="45">
        <f t="shared" si="2"/>
        <v>1159826.8333333333</v>
      </c>
      <c r="P6" s="45">
        <f t="shared" si="3"/>
        <v>1781062.5</v>
      </c>
    </row>
    <row r="7" spans="1:20" s="67" customFormat="1" ht="14.25">
      <c r="A7" s="67" t="str">
        <f>"9157045"</f>
        <v>9157045</v>
      </c>
      <c r="B7" s="67" t="str">
        <f>"شريف آلبوبالدي"</f>
        <v>شريف آلبوبالدي</v>
      </c>
      <c r="C7" s="67" t="str">
        <f t="shared" si="0"/>
        <v>توليد توسعه - دارخوين</v>
      </c>
      <c r="D7" s="45">
        <v>1100000</v>
      </c>
      <c r="E7" s="45">
        <v>712425</v>
      </c>
      <c r="F7" s="45">
        <v>200000</v>
      </c>
      <c r="G7" s="45">
        <v>9168270</v>
      </c>
      <c r="H7" s="45">
        <v>0</v>
      </c>
      <c r="I7" s="45">
        <v>0</v>
      </c>
      <c r="J7" s="45">
        <v>0</v>
      </c>
      <c r="K7" s="45">
        <v>0</v>
      </c>
      <c r="L7" s="45">
        <v>599952</v>
      </c>
      <c r="M7" s="45">
        <v>0</v>
      </c>
      <c r="N7" s="45">
        <f t="shared" si="1"/>
        <v>11780647</v>
      </c>
      <c r="O7" s="45">
        <f t="shared" si="2"/>
        <v>981720.58333333337</v>
      </c>
      <c r="P7" s="45">
        <f t="shared" si="3"/>
        <v>1781062.5</v>
      </c>
    </row>
    <row r="8" spans="1:20" s="67" customFormat="1" ht="14.25">
      <c r="A8" s="67" t="str">
        <f>"9157046"</f>
        <v>9157046</v>
      </c>
      <c r="B8" s="67" t="str">
        <f>"يعقوب آلبوبالدي"</f>
        <v>يعقوب آلبوبالدي</v>
      </c>
      <c r="C8" s="67" t="str">
        <f t="shared" si="0"/>
        <v>توليد توسعه - دارخوين</v>
      </c>
      <c r="D8" s="45">
        <v>1100000</v>
      </c>
      <c r="E8" s="45">
        <v>2137275</v>
      </c>
      <c r="F8" s="45">
        <v>200000</v>
      </c>
      <c r="G8" s="45">
        <v>11893590</v>
      </c>
      <c r="H8" s="45">
        <v>0</v>
      </c>
      <c r="I8" s="45">
        <v>0</v>
      </c>
      <c r="J8" s="45">
        <v>0</v>
      </c>
      <c r="K8" s="45">
        <v>0</v>
      </c>
      <c r="L8" s="45">
        <v>635952</v>
      </c>
      <c r="M8" s="45">
        <v>0</v>
      </c>
      <c r="N8" s="45">
        <f t="shared" si="1"/>
        <v>15966817</v>
      </c>
      <c r="O8" s="45">
        <f t="shared" si="2"/>
        <v>1330568.0833333333</v>
      </c>
      <c r="P8" s="45">
        <f t="shared" si="3"/>
        <v>1781062.5</v>
      </c>
    </row>
    <row r="9" spans="1:20" s="67" customFormat="1" ht="14.25">
      <c r="A9" s="67" t="str">
        <f>"9157047"</f>
        <v>9157047</v>
      </c>
      <c r="B9" s="67" t="str">
        <f>"محمد البوغبيش"</f>
        <v>محمد البوغبيش</v>
      </c>
      <c r="C9" s="67" t="str">
        <f t="shared" si="0"/>
        <v>توليد توسعه - دارخوين</v>
      </c>
      <c r="D9" s="45">
        <v>1100000</v>
      </c>
      <c r="E9" s="45">
        <v>0</v>
      </c>
      <c r="F9" s="45">
        <v>200000</v>
      </c>
      <c r="G9" s="45">
        <v>11893590</v>
      </c>
      <c r="H9" s="45">
        <v>0</v>
      </c>
      <c r="I9" s="45">
        <v>0</v>
      </c>
      <c r="J9" s="45">
        <v>0</v>
      </c>
      <c r="K9" s="45">
        <v>0</v>
      </c>
      <c r="L9" s="45">
        <v>635952</v>
      </c>
      <c r="M9" s="45">
        <v>0</v>
      </c>
      <c r="N9" s="45">
        <f t="shared" si="1"/>
        <v>13829542</v>
      </c>
      <c r="O9" s="45">
        <f t="shared" si="2"/>
        <v>1152461.8333333333</v>
      </c>
      <c r="P9" s="45">
        <f t="shared" si="3"/>
        <v>1781062.5</v>
      </c>
    </row>
    <row r="10" spans="1:20" s="67" customFormat="1" ht="14.25">
      <c r="A10" s="67" t="str">
        <f>"9157049"</f>
        <v>9157049</v>
      </c>
      <c r="B10" s="67" t="str">
        <f>"عبدالامام بالدي"</f>
        <v>عبدالامام بالدي</v>
      </c>
      <c r="C10" s="67" t="str">
        <f t="shared" si="0"/>
        <v>توليد توسعه - دارخوين</v>
      </c>
      <c r="D10" s="45">
        <v>1100000</v>
      </c>
      <c r="E10" s="45">
        <v>0</v>
      </c>
      <c r="F10" s="45">
        <v>200000</v>
      </c>
      <c r="G10" s="45">
        <v>10725600</v>
      </c>
      <c r="H10" s="45">
        <v>0</v>
      </c>
      <c r="I10" s="45">
        <v>0</v>
      </c>
      <c r="J10" s="45">
        <v>1051200</v>
      </c>
      <c r="K10" s="45">
        <v>0</v>
      </c>
      <c r="L10" s="45">
        <v>617952</v>
      </c>
      <c r="M10" s="45">
        <v>0</v>
      </c>
      <c r="N10" s="45">
        <f t="shared" si="1"/>
        <v>13694752</v>
      </c>
      <c r="O10" s="45">
        <f t="shared" si="2"/>
        <v>1141229.3333333333</v>
      </c>
      <c r="P10" s="45">
        <f t="shared" si="3"/>
        <v>1781062.5</v>
      </c>
    </row>
    <row r="11" spans="1:20" s="67" customFormat="1" ht="14.25">
      <c r="A11" s="67" t="str">
        <f>"9157050"</f>
        <v>9157050</v>
      </c>
      <c r="B11" s="67" t="str">
        <f>"حسين باوي"</f>
        <v>حسين باوي</v>
      </c>
      <c r="C11" s="67" t="str">
        <f t="shared" si="0"/>
        <v>توليد توسعه - دارخوين</v>
      </c>
      <c r="D11" s="45">
        <v>1100000</v>
      </c>
      <c r="E11" s="45">
        <v>2849700</v>
      </c>
      <c r="F11" s="45">
        <v>200000</v>
      </c>
      <c r="G11" s="45">
        <v>10141620</v>
      </c>
      <c r="H11" s="45">
        <v>0</v>
      </c>
      <c r="I11" s="45">
        <v>0</v>
      </c>
      <c r="J11" s="45">
        <v>0</v>
      </c>
      <c r="K11" s="45">
        <v>0</v>
      </c>
      <c r="L11" s="45">
        <v>611952</v>
      </c>
      <c r="M11" s="45">
        <v>0</v>
      </c>
      <c r="N11" s="45">
        <f t="shared" si="1"/>
        <v>14903272</v>
      </c>
      <c r="O11" s="45">
        <f t="shared" si="2"/>
        <v>1241939.3333333333</v>
      </c>
      <c r="P11" s="45">
        <f t="shared" si="3"/>
        <v>1781062.5</v>
      </c>
    </row>
    <row r="12" spans="1:20" s="67" customFormat="1" ht="14.25">
      <c r="A12" s="67" t="str">
        <f>"9157053"</f>
        <v>9157053</v>
      </c>
      <c r="B12" s="67" t="str">
        <f>"عظيم باوي سويره"</f>
        <v>عظيم باوي سويره</v>
      </c>
      <c r="C12" s="67" t="str">
        <f t="shared" si="0"/>
        <v>توليد توسعه - دارخوين</v>
      </c>
      <c r="D12" s="45">
        <v>1100000</v>
      </c>
      <c r="E12" s="45">
        <v>712425</v>
      </c>
      <c r="F12" s="45">
        <v>200000</v>
      </c>
      <c r="G12" s="45">
        <v>8000250</v>
      </c>
      <c r="H12" s="45">
        <v>291990</v>
      </c>
      <c r="I12" s="45">
        <v>0</v>
      </c>
      <c r="J12" s="45">
        <v>0</v>
      </c>
      <c r="K12" s="45">
        <v>0</v>
      </c>
      <c r="L12" s="45">
        <v>581952</v>
      </c>
      <c r="M12" s="45">
        <v>420358</v>
      </c>
      <c r="N12" s="45">
        <f t="shared" si="1"/>
        <v>11306975</v>
      </c>
      <c r="O12" s="45">
        <f t="shared" si="2"/>
        <v>942247.91666666663</v>
      </c>
      <c r="P12" s="45">
        <f t="shared" si="3"/>
        <v>1781062.5</v>
      </c>
    </row>
    <row r="13" spans="1:20" s="67" customFormat="1" ht="14.25">
      <c r="A13" s="67" t="str">
        <f>"9157054"</f>
        <v>9157054</v>
      </c>
      <c r="B13" s="67" t="str">
        <f>"عارف باوي فرد"</f>
        <v>عارف باوي فرد</v>
      </c>
      <c r="C13" s="67" t="str">
        <f t="shared" si="0"/>
        <v>توليد توسعه - دارخوين</v>
      </c>
      <c r="D13" s="45">
        <v>1100000</v>
      </c>
      <c r="E13" s="45">
        <v>0</v>
      </c>
      <c r="F13" s="45">
        <v>200000</v>
      </c>
      <c r="G13" s="45">
        <v>8778930</v>
      </c>
      <c r="H13" s="45">
        <v>389340</v>
      </c>
      <c r="I13" s="45">
        <v>0</v>
      </c>
      <c r="J13" s="45">
        <v>0</v>
      </c>
      <c r="K13" s="45">
        <v>0</v>
      </c>
      <c r="L13" s="45">
        <v>593952</v>
      </c>
      <c r="M13" s="45">
        <v>0</v>
      </c>
      <c r="N13" s="45">
        <f t="shared" si="1"/>
        <v>11062222</v>
      </c>
      <c r="O13" s="45">
        <f t="shared" si="2"/>
        <v>921851.83333333337</v>
      </c>
      <c r="P13" s="45">
        <f t="shared" si="3"/>
        <v>1781062.5</v>
      </c>
    </row>
    <row r="14" spans="1:20" s="67" customFormat="1" ht="14.25">
      <c r="A14" s="67" t="str">
        <f>"9157055"</f>
        <v>9157055</v>
      </c>
      <c r="B14" s="67" t="str">
        <f>"نجم باوي فرد"</f>
        <v>نجم باوي فرد</v>
      </c>
      <c r="C14" s="67" t="str">
        <f t="shared" si="0"/>
        <v>توليد توسعه - دارخوين</v>
      </c>
      <c r="D14" s="45">
        <v>1100000</v>
      </c>
      <c r="E14" s="45">
        <v>712425</v>
      </c>
      <c r="F14" s="45">
        <v>200000</v>
      </c>
      <c r="G14" s="45">
        <v>9168270</v>
      </c>
      <c r="H14" s="45">
        <v>0</v>
      </c>
      <c r="I14" s="45">
        <v>0</v>
      </c>
      <c r="J14" s="45">
        <v>0</v>
      </c>
      <c r="K14" s="45">
        <v>0</v>
      </c>
      <c r="L14" s="45">
        <v>599952</v>
      </c>
      <c r="M14" s="45">
        <v>0</v>
      </c>
      <c r="N14" s="45">
        <f t="shared" si="1"/>
        <v>11780647</v>
      </c>
      <c r="O14" s="45">
        <f t="shared" si="2"/>
        <v>981720.58333333337</v>
      </c>
      <c r="P14" s="45">
        <f t="shared" si="3"/>
        <v>1781062.5</v>
      </c>
    </row>
    <row r="15" spans="1:20" s="67" customFormat="1" ht="14.25">
      <c r="A15" s="67" t="str">
        <f>"9157056"</f>
        <v>9157056</v>
      </c>
      <c r="B15" s="67" t="str">
        <f>"سعيد بدوي"</f>
        <v>سعيد بدوي</v>
      </c>
      <c r="C15" s="67" t="str">
        <f t="shared" si="0"/>
        <v>توليد توسعه - دارخوين</v>
      </c>
      <c r="D15" s="45">
        <v>1100000</v>
      </c>
      <c r="E15" s="45">
        <v>1424850</v>
      </c>
      <c r="F15" s="45">
        <v>200000</v>
      </c>
      <c r="G15" s="45">
        <v>8778930</v>
      </c>
      <c r="H15" s="45">
        <v>0</v>
      </c>
      <c r="I15" s="45">
        <v>0</v>
      </c>
      <c r="J15" s="45">
        <v>0</v>
      </c>
      <c r="K15" s="45">
        <v>0</v>
      </c>
      <c r="L15" s="45">
        <v>593952</v>
      </c>
      <c r="M15" s="45">
        <v>243008</v>
      </c>
      <c r="N15" s="45">
        <f t="shared" si="1"/>
        <v>12340740</v>
      </c>
      <c r="O15" s="45">
        <f t="shared" si="2"/>
        <v>1028395</v>
      </c>
      <c r="P15" s="45">
        <f t="shared" si="3"/>
        <v>1781062.5</v>
      </c>
    </row>
    <row r="16" spans="1:20" s="67" customFormat="1" ht="14.25">
      <c r="A16" s="67" t="str">
        <f>"9157057"</f>
        <v>9157057</v>
      </c>
      <c r="B16" s="67" t="str">
        <f>"عباس بدوي"</f>
        <v>عباس بدوي</v>
      </c>
      <c r="C16" s="67" t="str">
        <f t="shared" si="0"/>
        <v>توليد توسعه - دارخوين</v>
      </c>
      <c r="D16" s="45">
        <v>1100000</v>
      </c>
      <c r="E16" s="45">
        <v>2849700</v>
      </c>
      <c r="F16" s="45">
        <v>200000</v>
      </c>
      <c r="G16" s="45">
        <v>10141620</v>
      </c>
      <c r="H16" s="45">
        <v>0</v>
      </c>
      <c r="I16" s="45">
        <v>0</v>
      </c>
      <c r="J16" s="45">
        <v>0</v>
      </c>
      <c r="K16" s="45">
        <v>0</v>
      </c>
      <c r="L16" s="45">
        <v>611952</v>
      </c>
      <c r="M16" s="45">
        <v>0</v>
      </c>
      <c r="N16" s="45">
        <f t="shared" si="1"/>
        <v>14903272</v>
      </c>
      <c r="O16" s="45">
        <f t="shared" si="2"/>
        <v>1241939.3333333333</v>
      </c>
      <c r="P16" s="45">
        <f t="shared" si="3"/>
        <v>1781062.5</v>
      </c>
    </row>
    <row r="17" spans="1:16" s="67" customFormat="1" ht="14.25">
      <c r="A17" s="67" t="str">
        <f>"9157058"</f>
        <v>9157058</v>
      </c>
      <c r="B17" s="67" t="str">
        <f>"طاهر پورحزبه"</f>
        <v>طاهر پورحزبه</v>
      </c>
      <c r="C17" s="67" t="str">
        <f t="shared" si="0"/>
        <v>توليد توسعه - دارخوين</v>
      </c>
      <c r="D17" s="45">
        <v>1100000</v>
      </c>
      <c r="E17" s="45">
        <v>0</v>
      </c>
      <c r="F17" s="45">
        <v>200000</v>
      </c>
      <c r="G17" s="45">
        <v>10141620</v>
      </c>
      <c r="H17" s="45">
        <v>0</v>
      </c>
      <c r="I17" s="45">
        <v>0</v>
      </c>
      <c r="J17" s="45">
        <v>0</v>
      </c>
      <c r="K17" s="45">
        <v>0</v>
      </c>
      <c r="L17" s="45">
        <v>611952</v>
      </c>
      <c r="M17" s="45">
        <v>0</v>
      </c>
      <c r="N17" s="45">
        <f t="shared" si="1"/>
        <v>12053572</v>
      </c>
      <c r="O17" s="45">
        <f t="shared" si="2"/>
        <v>1004464.3333333334</v>
      </c>
      <c r="P17" s="45">
        <f t="shared" si="3"/>
        <v>1781062.5</v>
      </c>
    </row>
    <row r="18" spans="1:16" s="67" customFormat="1" ht="14.25">
      <c r="A18" s="67" t="str">
        <f>"9157059"</f>
        <v>9157059</v>
      </c>
      <c r="B18" s="67" t="str">
        <f>"رحمه سياحي"</f>
        <v>رحمه سياحي</v>
      </c>
      <c r="C18" s="67" t="str">
        <f t="shared" si="0"/>
        <v>توليد توسعه - دارخوين</v>
      </c>
      <c r="D18" s="45">
        <v>1100000</v>
      </c>
      <c r="E18" s="45">
        <v>1424850</v>
      </c>
      <c r="F18" s="45">
        <v>200000</v>
      </c>
      <c r="G18" s="45">
        <v>8000250</v>
      </c>
      <c r="H18" s="45">
        <v>291990</v>
      </c>
      <c r="I18" s="45">
        <v>0</v>
      </c>
      <c r="J18" s="45">
        <v>0</v>
      </c>
      <c r="K18" s="45">
        <v>0</v>
      </c>
      <c r="L18" s="45">
        <v>581952</v>
      </c>
      <c r="M18" s="45">
        <v>194529</v>
      </c>
      <c r="N18" s="45">
        <f t="shared" si="1"/>
        <v>11793571</v>
      </c>
      <c r="O18" s="45">
        <f t="shared" si="2"/>
        <v>982797.58333333337</v>
      </c>
      <c r="P18" s="45">
        <f t="shared" si="3"/>
        <v>1781062.5</v>
      </c>
    </row>
    <row r="19" spans="1:16" s="67" customFormat="1" ht="14.25">
      <c r="A19" s="67" t="str">
        <f>"9157060"</f>
        <v>9157060</v>
      </c>
      <c r="B19" s="67" t="str">
        <f>"مرد سياحي"</f>
        <v>مرد سياحي</v>
      </c>
      <c r="C19" s="67" t="str">
        <f t="shared" si="0"/>
        <v>توليد توسعه - دارخوين</v>
      </c>
      <c r="D19" s="45">
        <v>1100000</v>
      </c>
      <c r="E19" s="45">
        <v>1424850</v>
      </c>
      <c r="F19" s="45">
        <v>200000</v>
      </c>
      <c r="G19" s="45">
        <v>8000250</v>
      </c>
      <c r="H19" s="45">
        <v>0</v>
      </c>
      <c r="I19" s="45">
        <v>0</v>
      </c>
      <c r="J19" s="45">
        <v>0</v>
      </c>
      <c r="K19" s="45">
        <v>0</v>
      </c>
      <c r="L19" s="45">
        <v>581952</v>
      </c>
      <c r="M19" s="45">
        <v>724813</v>
      </c>
      <c r="N19" s="45">
        <f t="shared" si="1"/>
        <v>12031865</v>
      </c>
      <c r="O19" s="45">
        <f t="shared" si="2"/>
        <v>1002655.4166666666</v>
      </c>
      <c r="P19" s="45">
        <f t="shared" si="3"/>
        <v>1781062.5</v>
      </c>
    </row>
    <row r="20" spans="1:16" s="67" customFormat="1" ht="14.25">
      <c r="A20" s="67" t="str">
        <f>"9157065"</f>
        <v>9157065</v>
      </c>
      <c r="B20" s="67" t="str">
        <f>"رحيم عقباوي"</f>
        <v>رحيم عقباوي</v>
      </c>
      <c r="C20" s="67" t="str">
        <f t="shared" si="0"/>
        <v>توليد توسعه - دارخوين</v>
      </c>
      <c r="D20" s="45">
        <v>1100000</v>
      </c>
      <c r="E20" s="45">
        <v>2137275</v>
      </c>
      <c r="F20" s="45">
        <v>200000</v>
      </c>
      <c r="G20" s="45">
        <v>9168270</v>
      </c>
      <c r="H20" s="45">
        <v>0</v>
      </c>
      <c r="I20" s="45">
        <v>0</v>
      </c>
      <c r="J20" s="45">
        <v>0</v>
      </c>
      <c r="K20" s="45">
        <v>0</v>
      </c>
      <c r="L20" s="45">
        <v>599952</v>
      </c>
      <c r="M20" s="45">
        <v>0</v>
      </c>
      <c r="N20" s="45">
        <f t="shared" si="1"/>
        <v>13205497</v>
      </c>
      <c r="O20" s="45">
        <f t="shared" si="2"/>
        <v>1100458.0833333333</v>
      </c>
      <c r="P20" s="45">
        <f t="shared" si="3"/>
        <v>1781062.5</v>
      </c>
    </row>
    <row r="21" spans="1:16" s="67" customFormat="1" ht="14.25">
      <c r="A21" s="67" t="str">
        <f>"9157066"</f>
        <v>9157066</v>
      </c>
      <c r="B21" s="67" t="str">
        <f>"جمشيد فرحانيان"</f>
        <v>جمشيد فرحانيان</v>
      </c>
      <c r="C21" s="67" t="str">
        <f t="shared" si="0"/>
        <v>توليد توسعه - دارخوين</v>
      </c>
      <c r="D21" s="45">
        <v>1100000</v>
      </c>
      <c r="E21" s="45">
        <v>2849700</v>
      </c>
      <c r="F21" s="45">
        <v>200000</v>
      </c>
      <c r="G21" s="45">
        <v>9654930</v>
      </c>
      <c r="H21" s="45">
        <v>0</v>
      </c>
      <c r="I21" s="45">
        <v>0</v>
      </c>
      <c r="J21" s="45">
        <v>0</v>
      </c>
      <c r="K21" s="45">
        <v>0</v>
      </c>
      <c r="L21" s="45">
        <v>605952</v>
      </c>
      <c r="M21" s="45">
        <v>0</v>
      </c>
      <c r="N21" s="45">
        <f t="shared" si="1"/>
        <v>14410582</v>
      </c>
      <c r="O21" s="45">
        <f t="shared" si="2"/>
        <v>1200881.8333333333</v>
      </c>
      <c r="P21" s="45">
        <f t="shared" si="3"/>
        <v>1781062.5</v>
      </c>
    </row>
    <row r="22" spans="1:16" s="67" customFormat="1" ht="14.25">
      <c r="A22" s="67" t="str">
        <f>"9157068"</f>
        <v>9157068</v>
      </c>
      <c r="B22" s="67" t="str">
        <f>"مجتبي قنواتي زاده"</f>
        <v>مجتبي قنواتي زاده</v>
      </c>
      <c r="C22" s="67" t="str">
        <f t="shared" si="0"/>
        <v>توليد توسعه - دارخوين</v>
      </c>
      <c r="D22" s="45">
        <v>1100000</v>
      </c>
      <c r="E22" s="45">
        <v>1424850</v>
      </c>
      <c r="F22" s="45">
        <v>200000</v>
      </c>
      <c r="G22" s="45">
        <v>9168270</v>
      </c>
      <c r="H22" s="45">
        <v>0</v>
      </c>
      <c r="I22" s="45">
        <v>0</v>
      </c>
      <c r="J22" s="45">
        <v>0</v>
      </c>
      <c r="K22" s="45">
        <v>0</v>
      </c>
      <c r="L22" s="45">
        <v>599952</v>
      </c>
      <c r="M22" s="45">
        <v>0</v>
      </c>
      <c r="N22" s="45">
        <f t="shared" si="1"/>
        <v>12493072</v>
      </c>
      <c r="O22" s="45">
        <f t="shared" si="2"/>
        <v>1041089.3333333334</v>
      </c>
      <c r="P22" s="45">
        <f t="shared" si="3"/>
        <v>1781062.5</v>
      </c>
    </row>
    <row r="23" spans="1:16" s="67" customFormat="1" ht="14.25">
      <c r="A23" s="67" t="str">
        <f>"9157069"</f>
        <v>9157069</v>
      </c>
      <c r="B23" s="67" t="str">
        <f>"رضا محمدحسيني"</f>
        <v>رضا محمدحسيني</v>
      </c>
      <c r="C23" s="67" t="str">
        <f t="shared" si="0"/>
        <v>توليد توسعه - دارخوين</v>
      </c>
      <c r="D23" s="45">
        <v>1100000</v>
      </c>
      <c r="E23" s="45">
        <v>712425</v>
      </c>
      <c r="F23" s="45">
        <v>200000</v>
      </c>
      <c r="G23" s="45">
        <v>11893590</v>
      </c>
      <c r="H23" s="45">
        <v>0</v>
      </c>
      <c r="I23" s="45">
        <v>0</v>
      </c>
      <c r="J23" s="45">
        <v>0</v>
      </c>
      <c r="K23" s="45">
        <v>0</v>
      </c>
      <c r="L23" s="45">
        <v>635952</v>
      </c>
      <c r="M23" s="45">
        <v>0</v>
      </c>
      <c r="N23" s="45">
        <f t="shared" si="1"/>
        <v>14541967</v>
      </c>
      <c r="O23" s="45">
        <f t="shared" si="2"/>
        <v>1211830.5833333333</v>
      </c>
      <c r="P23" s="45">
        <f t="shared" si="3"/>
        <v>1781062.5</v>
      </c>
    </row>
    <row r="24" spans="1:16" s="67" customFormat="1" ht="14.25">
      <c r="A24" s="67" t="str">
        <f>"9157070"</f>
        <v>9157070</v>
      </c>
      <c r="B24" s="67" t="str">
        <f>"فاضل مقدم"</f>
        <v>فاضل مقدم</v>
      </c>
      <c r="C24" s="67" t="str">
        <f t="shared" si="0"/>
        <v>توليد توسعه - دارخوين</v>
      </c>
      <c r="D24" s="45">
        <v>1100000</v>
      </c>
      <c r="E24" s="45">
        <v>2137275</v>
      </c>
      <c r="F24" s="45">
        <v>200000</v>
      </c>
      <c r="G24" s="45">
        <v>9654930</v>
      </c>
      <c r="H24" s="45">
        <v>0</v>
      </c>
      <c r="I24" s="45">
        <v>0</v>
      </c>
      <c r="J24" s="45">
        <v>0</v>
      </c>
      <c r="K24" s="45">
        <v>0</v>
      </c>
      <c r="L24" s="45">
        <v>605952</v>
      </c>
      <c r="M24" s="45">
        <v>0</v>
      </c>
      <c r="N24" s="45">
        <f t="shared" si="1"/>
        <v>13698157</v>
      </c>
      <c r="O24" s="45">
        <f t="shared" si="2"/>
        <v>1141513.0833333333</v>
      </c>
      <c r="P24" s="45">
        <f t="shared" si="3"/>
        <v>1781062.5</v>
      </c>
    </row>
    <row r="25" spans="1:16" s="67" customFormat="1" ht="14.25">
      <c r="A25" s="67" t="str">
        <f>"9157072"</f>
        <v>9157072</v>
      </c>
      <c r="B25" s="67" t="str">
        <f>"محمدامين نادري"</f>
        <v>محمدامين نادري</v>
      </c>
      <c r="C25" s="67" t="str">
        <f t="shared" si="0"/>
        <v>توليد توسعه - دارخوين</v>
      </c>
      <c r="D25" s="45">
        <v>1100000</v>
      </c>
      <c r="E25" s="45">
        <v>712425</v>
      </c>
      <c r="F25" s="45">
        <v>200000</v>
      </c>
      <c r="G25" s="45">
        <v>8778930</v>
      </c>
      <c r="H25" s="45">
        <v>0</v>
      </c>
      <c r="I25" s="45">
        <v>0</v>
      </c>
      <c r="J25" s="45">
        <v>0</v>
      </c>
      <c r="K25" s="45">
        <v>0</v>
      </c>
      <c r="L25" s="45">
        <v>599952</v>
      </c>
      <c r="M25" s="45">
        <v>0</v>
      </c>
      <c r="N25" s="45">
        <f t="shared" si="1"/>
        <v>11391307</v>
      </c>
      <c r="O25" s="45">
        <f t="shared" si="2"/>
        <v>949275.58333333337</v>
      </c>
      <c r="P25" s="45">
        <f t="shared" si="3"/>
        <v>1781062.5</v>
      </c>
    </row>
    <row r="26" spans="1:16" s="67" customFormat="1" ht="14.25">
      <c r="A26" s="67" t="str">
        <f>"9157075"</f>
        <v>9157075</v>
      </c>
      <c r="B26" s="67" t="str">
        <f>"علي پورحزبه"</f>
        <v>علي پورحزبه</v>
      </c>
      <c r="C26" s="67" t="str">
        <f t="shared" si="0"/>
        <v>توليد توسعه - دارخوين</v>
      </c>
      <c r="D26" s="45">
        <v>1100000</v>
      </c>
      <c r="E26" s="45">
        <v>712425</v>
      </c>
      <c r="F26" s="45">
        <v>200000</v>
      </c>
      <c r="G26" s="45">
        <v>9168270</v>
      </c>
      <c r="H26" s="45">
        <v>0</v>
      </c>
      <c r="I26" s="45">
        <v>0</v>
      </c>
      <c r="J26" s="45">
        <v>0</v>
      </c>
      <c r="K26" s="45">
        <v>0</v>
      </c>
      <c r="L26" s="45">
        <v>593952</v>
      </c>
      <c r="M26" s="45">
        <v>46155</v>
      </c>
      <c r="N26" s="45">
        <f t="shared" si="1"/>
        <v>11820802</v>
      </c>
      <c r="O26" s="45">
        <f t="shared" si="2"/>
        <v>985066.83333333337</v>
      </c>
      <c r="P26" s="45">
        <f t="shared" si="3"/>
        <v>1781062.5</v>
      </c>
    </row>
    <row r="27" spans="1:16" s="67" customFormat="1" ht="14.25">
      <c r="A27" s="67" t="str">
        <f>"9157077"</f>
        <v>9157077</v>
      </c>
      <c r="B27" s="67" t="str">
        <f>"جاسم جامدي باوي"</f>
        <v>جاسم جامدي باوي</v>
      </c>
      <c r="C27" s="67" t="str">
        <f t="shared" si="0"/>
        <v>توليد توسعه - دارخوين</v>
      </c>
      <c r="D27" s="45">
        <v>1100000</v>
      </c>
      <c r="E27" s="45">
        <v>1424850</v>
      </c>
      <c r="F27" s="45">
        <v>200000</v>
      </c>
      <c r="G27" s="45">
        <v>8778930</v>
      </c>
      <c r="H27" s="45">
        <v>389340</v>
      </c>
      <c r="I27" s="45">
        <v>0</v>
      </c>
      <c r="J27" s="45">
        <v>0</v>
      </c>
      <c r="K27" s="45">
        <v>0</v>
      </c>
      <c r="L27" s="45">
        <v>593952</v>
      </c>
      <c r="M27" s="45">
        <v>0</v>
      </c>
      <c r="N27" s="45">
        <f t="shared" si="1"/>
        <v>12487072</v>
      </c>
      <c r="O27" s="45">
        <f t="shared" si="2"/>
        <v>1040589.3333333334</v>
      </c>
      <c r="P27" s="45">
        <f t="shared" si="3"/>
        <v>1781062.5</v>
      </c>
    </row>
    <row r="28" spans="1:16" s="67" customFormat="1" ht="14.25">
      <c r="A28" s="67" t="str">
        <f>"9157079"</f>
        <v>9157079</v>
      </c>
      <c r="B28" s="67" t="str">
        <f>"مزعل جليزي"</f>
        <v>مزعل جليزي</v>
      </c>
      <c r="C28" s="67" t="str">
        <f t="shared" si="0"/>
        <v>توليد توسعه - دارخوين</v>
      </c>
      <c r="D28" s="45">
        <v>1100000</v>
      </c>
      <c r="E28" s="45">
        <v>2849700</v>
      </c>
      <c r="F28" s="45">
        <v>200000</v>
      </c>
      <c r="G28" s="45">
        <v>10141620</v>
      </c>
      <c r="H28" s="45">
        <v>0</v>
      </c>
      <c r="I28" s="45">
        <v>0</v>
      </c>
      <c r="J28" s="45">
        <v>0</v>
      </c>
      <c r="K28" s="45">
        <v>0</v>
      </c>
      <c r="L28" s="45">
        <v>611952</v>
      </c>
      <c r="M28" s="45">
        <v>0</v>
      </c>
      <c r="N28" s="45">
        <f t="shared" si="1"/>
        <v>14903272</v>
      </c>
      <c r="O28" s="45">
        <f t="shared" si="2"/>
        <v>1241939.3333333333</v>
      </c>
      <c r="P28" s="45">
        <f t="shared" si="3"/>
        <v>1781062.5</v>
      </c>
    </row>
    <row r="29" spans="1:16" s="67" customFormat="1" ht="14.25">
      <c r="A29" s="67" t="str">
        <f>"9157081"</f>
        <v>9157081</v>
      </c>
      <c r="B29" s="67" t="str">
        <f>"فهد چاملي"</f>
        <v>فهد چاملي</v>
      </c>
      <c r="C29" s="67" t="str">
        <f t="shared" si="0"/>
        <v>توليد توسعه - دارخوين</v>
      </c>
      <c r="D29" s="45">
        <v>1100000</v>
      </c>
      <c r="E29" s="45">
        <v>1424850</v>
      </c>
      <c r="F29" s="45">
        <v>200000</v>
      </c>
      <c r="G29" s="45">
        <v>8778930</v>
      </c>
      <c r="H29" s="45">
        <v>0</v>
      </c>
      <c r="I29" s="45">
        <v>0</v>
      </c>
      <c r="J29" s="45">
        <v>0</v>
      </c>
      <c r="K29" s="45">
        <v>0</v>
      </c>
      <c r="L29" s="45">
        <v>599952</v>
      </c>
      <c r="M29" s="45">
        <v>0</v>
      </c>
      <c r="N29" s="45">
        <f t="shared" si="1"/>
        <v>12103732</v>
      </c>
      <c r="O29" s="45">
        <f t="shared" si="2"/>
        <v>1008644.3333333334</v>
      </c>
      <c r="P29" s="45">
        <f t="shared" si="3"/>
        <v>1781062.5</v>
      </c>
    </row>
    <row r="30" spans="1:16" s="67" customFormat="1" ht="14.25">
      <c r="A30" s="67" t="str">
        <f>"9157084"</f>
        <v>9157084</v>
      </c>
      <c r="B30" s="67" t="str">
        <f>"ايوب حويزاوي"</f>
        <v>ايوب حويزاوي</v>
      </c>
      <c r="C30" s="67" t="str">
        <f t="shared" si="0"/>
        <v>توليد توسعه - دارخوين</v>
      </c>
      <c r="D30" s="45">
        <v>1100000</v>
      </c>
      <c r="E30" s="45">
        <v>1424850</v>
      </c>
      <c r="F30" s="45">
        <v>200000</v>
      </c>
      <c r="G30" s="45">
        <v>9168270</v>
      </c>
      <c r="H30" s="45">
        <v>0</v>
      </c>
      <c r="I30" s="45">
        <v>0</v>
      </c>
      <c r="J30" s="45">
        <v>0</v>
      </c>
      <c r="K30" s="45">
        <v>0</v>
      </c>
      <c r="L30" s="45">
        <v>585315</v>
      </c>
      <c r="M30" s="45">
        <v>0</v>
      </c>
      <c r="N30" s="45">
        <f t="shared" si="1"/>
        <v>12478435</v>
      </c>
      <c r="O30" s="45">
        <f t="shared" si="2"/>
        <v>1039869.5833333334</v>
      </c>
      <c r="P30" s="45">
        <f t="shared" si="3"/>
        <v>1781062.5</v>
      </c>
    </row>
    <row r="31" spans="1:16" s="67" customFormat="1" ht="14.25">
      <c r="A31" s="67" t="str">
        <f>"9157089"</f>
        <v>9157089</v>
      </c>
      <c r="B31" s="67" t="str">
        <f>"منصور خنفري راد"</f>
        <v>منصور خنفري راد</v>
      </c>
      <c r="C31" s="67" t="str">
        <f t="shared" si="0"/>
        <v>توليد توسعه - دارخوين</v>
      </c>
      <c r="D31" s="45">
        <v>1100000</v>
      </c>
      <c r="E31" s="45">
        <v>1424850</v>
      </c>
      <c r="F31" s="45">
        <v>200000</v>
      </c>
      <c r="G31" s="45">
        <v>10725600</v>
      </c>
      <c r="H31" s="45">
        <v>0</v>
      </c>
      <c r="I31" s="45">
        <v>0</v>
      </c>
      <c r="J31" s="45">
        <v>0</v>
      </c>
      <c r="K31" s="45">
        <v>0</v>
      </c>
      <c r="L31" s="45">
        <v>617952</v>
      </c>
      <c r="M31" s="45">
        <v>0</v>
      </c>
      <c r="N31" s="45">
        <f t="shared" si="1"/>
        <v>14068402</v>
      </c>
      <c r="O31" s="45">
        <f t="shared" si="2"/>
        <v>1172366.8333333333</v>
      </c>
      <c r="P31" s="45">
        <f t="shared" si="3"/>
        <v>1781062.5</v>
      </c>
    </row>
    <row r="32" spans="1:16" s="67" customFormat="1" ht="14.25">
      <c r="A32" s="67" t="str">
        <f>"9157090"</f>
        <v>9157090</v>
      </c>
      <c r="B32" s="67" t="str">
        <f>"جميل زرگاني"</f>
        <v>جميل زرگاني</v>
      </c>
      <c r="C32" s="67" t="str">
        <f t="shared" si="0"/>
        <v>توليد توسعه - دارخوين</v>
      </c>
      <c r="D32" s="45">
        <v>1100000</v>
      </c>
      <c r="E32" s="45">
        <v>1424850</v>
      </c>
      <c r="F32" s="45">
        <v>200000</v>
      </c>
      <c r="G32" s="45">
        <v>10725600</v>
      </c>
      <c r="H32" s="45">
        <v>0</v>
      </c>
      <c r="I32" s="45">
        <v>0</v>
      </c>
      <c r="J32" s="45">
        <v>0</v>
      </c>
      <c r="K32" s="45">
        <v>0</v>
      </c>
      <c r="L32" s="45">
        <v>617952</v>
      </c>
      <c r="M32" s="45">
        <v>0</v>
      </c>
      <c r="N32" s="45">
        <f t="shared" si="1"/>
        <v>14068402</v>
      </c>
      <c r="O32" s="45">
        <f t="shared" si="2"/>
        <v>1172366.8333333333</v>
      </c>
      <c r="P32" s="45">
        <f t="shared" si="3"/>
        <v>1781062.5</v>
      </c>
    </row>
    <row r="33" spans="1:16" s="67" customFormat="1" ht="14.25">
      <c r="A33" s="67" t="str">
        <f>"9157091"</f>
        <v>9157091</v>
      </c>
      <c r="B33" s="67" t="str">
        <f>"علي ساري"</f>
        <v>علي ساري</v>
      </c>
      <c r="C33" s="67" t="str">
        <f t="shared" si="0"/>
        <v>توليد توسعه - دارخوين</v>
      </c>
      <c r="D33" s="45">
        <v>1100000</v>
      </c>
      <c r="E33" s="45">
        <v>712425</v>
      </c>
      <c r="F33" s="45">
        <v>200000</v>
      </c>
      <c r="G33" s="45">
        <v>8778930</v>
      </c>
      <c r="H33" s="45">
        <v>0</v>
      </c>
      <c r="I33" s="45">
        <v>0</v>
      </c>
      <c r="J33" s="45">
        <v>0</v>
      </c>
      <c r="K33" s="45">
        <v>0</v>
      </c>
      <c r="L33" s="45">
        <v>593952</v>
      </c>
      <c r="M33" s="45">
        <v>16448</v>
      </c>
      <c r="N33" s="45">
        <f t="shared" si="1"/>
        <v>11401755</v>
      </c>
      <c r="O33" s="45">
        <f t="shared" si="2"/>
        <v>950146.25</v>
      </c>
      <c r="P33" s="45">
        <f t="shared" si="3"/>
        <v>1781062.5</v>
      </c>
    </row>
    <row r="34" spans="1:16" ht="18.75">
      <c r="D34" s="70">
        <f>SUM(D3:D33)</f>
        <v>34100000</v>
      </c>
      <c r="E34" s="70">
        <f t="shared" ref="E34:P34" si="4">SUM(E3:E33)</f>
        <v>42033075</v>
      </c>
      <c r="F34" s="70">
        <f t="shared" si="4"/>
        <v>6200000</v>
      </c>
      <c r="G34" s="70">
        <f t="shared" si="4"/>
        <v>297356250</v>
      </c>
      <c r="H34" s="70">
        <f t="shared" si="4"/>
        <v>1362660</v>
      </c>
      <c r="I34" s="70">
        <f t="shared" si="4"/>
        <v>0</v>
      </c>
      <c r="J34" s="70">
        <f t="shared" si="4"/>
        <v>1051200</v>
      </c>
      <c r="K34" s="70">
        <f t="shared" si="4"/>
        <v>0</v>
      </c>
      <c r="L34" s="70">
        <f t="shared" si="4"/>
        <v>18739875</v>
      </c>
      <c r="M34" s="70">
        <f t="shared" si="4"/>
        <v>1807306</v>
      </c>
      <c r="N34" s="70">
        <f>SUM(N3:N33)</f>
        <v>402650366</v>
      </c>
      <c r="O34" s="70">
        <f>SUM(O3:O33)</f>
        <v>33554197.166666653</v>
      </c>
      <c r="P34" s="70">
        <f>SUM(P3:P33)</f>
        <v>55171797.833333328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rightToLeft="1" tabSelected="1" view="pageBreakPreview" zoomScale="70" zoomScaleNormal="55" zoomScaleSheetLayoutView="70" workbookViewId="0">
      <selection activeCell="H8" sqref="H8"/>
    </sheetView>
  </sheetViews>
  <sheetFormatPr defaultRowHeight="15"/>
  <cols>
    <col min="1" max="1" width="5.5703125" customWidth="1"/>
    <col min="2" max="2" width="12" customWidth="1"/>
    <col min="3" max="3" width="17.7109375" customWidth="1"/>
    <col min="4" max="4" width="21.85546875" customWidth="1"/>
    <col min="5" max="5" width="25.28515625" customWidth="1"/>
    <col min="6" max="6" width="22.7109375" customWidth="1"/>
    <col min="7" max="7" width="21" customWidth="1"/>
    <col min="8" max="9" width="20.42578125" customWidth="1"/>
    <col min="10" max="10" width="19.85546875" customWidth="1"/>
    <col min="11" max="11" width="23.7109375" customWidth="1"/>
    <col min="12" max="12" width="5.5703125" customWidth="1"/>
    <col min="16" max="16" width="14.140625" bestFit="1" customWidth="1"/>
  </cols>
  <sheetData>
    <row r="1" spans="1:20" ht="56.25" customHeight="1">
      <c r="A1" s="3"/>
      <c r="B1" s="53" t="s">
        <v>93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4"/>
      <c r="N1" s="4"/>
      <c r="O1" s="3"/>
      <c r="P1" s="3"/>
      <c r="Q1" s="3"/>
      <c r="R1" s="3"/>
      <c r="S1" s="3"/>
      <c r="T1" s="3"/>
    </row>
    <row r="2" spans="1:20" ht="26.25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4"/>
      <c r="N2" s="4"/>
      <c r="O2" s="3"/>
      <c r="P2" s="3"/>
      <c r="Q2" s="3"/>
      <c r="R2" s="3"/>
      <c r="S2" s="3"/>
      <c r="T2" s="3"/>
    </row>
    <row r="3" spans="1:20" ht="25.5" thickBot="1">
      <c r="A3" s="3"/>
      <c r="B3" s="6"/>
      <c r="C3" s="6"/>
      <c r="D3" s="6"/>
      <c r="E3" s="7"/>
      <c r="F3" s="7"/>
      <c r="G3" s="7"/>
      <c r="H3" s="7"/>
      <c r="I3" s="7"/>
      <c r="J3" s="7"/>
      <c r="K3" s="7"/>
      <c r="L3" s="3"/>
      <c r="M3" s="4"/>
      <c r="N3" s="4"/>
      <c r="O3" s="3"/>
      <c r="P3" s="3"/>
      <c r="Q3" s="3"/>
      <c r="R3" s="3"/>
      <c r="S3" s="8"/>
      <c r="T3" s="8"/>
    </row>
    <row r="4" spans="1:20" ht="91.5" customHeight="1">
      <c r="A4" s="9"/>
      <c r="B4" s="10" t="s">
        <v>35</v>
      </c>
      <c r="C4" s="11" t="s">
        <v>36</v>
      </c>
      <c r="D4" s="11" t="s">
        <v>37</v>
      </c>
      <c r="E4" s="12" t="s">
        <v>38</v>
      </c>
      <c r="F4" s="13" t="s">
        <v>39</v>
      </c>
      <c r="G4" s="13" t="s">
        <v>40</v>
      </c>
      <c r="H4" s="13" t="s">
        <v>41</v>
      </c>
      <c r="I4" s="13" t="s">
        <v>42</v>
      </c>
      <c r="J4" s="12" t="s">
        <v>43</v>
      </c>
      <c r="K4" s="14" t="s">
        <v>44</v>
      </c>
      <c r="L4" s="8"/>
      <c r="M4" s="15"/>
      <c r="N4" s="15"/>
      <c r="O4" s="8"/>
      <c r="P4" s="8"/>
      <c r="Q4" s="8"/>
      <c r="R4" s="8"/>
      <c r="S4" s="3"/>
      <c r="T4" s="3"/>
    </row>
    <row r="5" spans="1:20" ht="62.25" customHeight="1">
      <c r="A5" s="16"/>
      <c r="B5" s="17">
        <v>1</v>
      </c>
      <c r="C5" s="18" t="s">
        <v>94</v>
      </c>
      <c r="D5" s="18">
        <v>31</v>
      </c>
      <c r="E5" s="19">
        <f>'بهمن ماه توليد توسعه دارخوين '!AA33</f>
        <v>469203212</v>
      </c>
      <c r="F5" s="19">
        <f>'بهمن ماه توليد توسعه دارخوين '!W33+'بهمن ماه توليد توسعه دارخوين '!X33</f>
        <v>91033568</v>
      </c>
      <c r="G5" s="19">
        <f>'سنوات '!O34</f>
        <v>33554197.166666653</v>
      </c>
      <c r="H5" s="19">
        <f>'رفاهی '!G35+'رفاهیات '!E35</f>
        <v>101060000</v>
      </c>
      <c r="I5" s="19">
        <f>'سنوات '!P34</f>
        <v>55171797.833333328</v>
      </c>
      <c r="J5" s="19">
        <f>SUM(E5:I5)*3%</f>
        <v>22500683.25</v>
      </c>
      <c r="K5" s="20">
        <f>SUM(E5:J5)</f>
        <v>772523458.25</v>
      </c>
      <c r="L5" s="21"/>
      <c r="M5" s="22"/>
      <c r="N5" s="22"/>
      <c r="O5" s="21"/>
      <c r="P5" s="21"/>
      <c r="Q5" s="21"/>
      <c r="R5" s="21"/>
      <c r="S5" s="21"/>
      <c r="T5" s="21"/>
    </row>
    <row r="6" spans="1:20" ht="62.25" customHeight="1" thickBot="1">
      <c r="A6" s="23"/>
      <c r="B6" s="24"/>
      <c r="C6" s="25"/>
      <c r="D6" s="26" t="s">
        <v>44</v>
      </c>
      <c r="E6" s="27">
        <f t="shared" ref="E6:K6" si="0">E5</f>
        <v>469203212</v>
      </c>
      <c r="F6" s="27">
        <f t="shared" si="0"/>
        <v>91033568</v>
      </c>
      <c r="G6" s="27">
        <f t="shared" si="0"/>
        <v>33554197.166666653</v>
      </c>
      <c r="H6" s="27">
        <f t="shared" si="0"/>
        <v>101060000</v>
      </c>
      <c r="I6" s="27">
        <f t="shared" si="0"/>
        <v>55171797.833333328</v>
      </c>
      <c r="J6" s="27">
        <f t="shared" si="0"/>
        <v>22500683.25</v>
      </c>
      <c r="K6" s="48">
        <f t="shared" si="0"/>
        <v>772523458.25</v>
      </c>
      <c r="L6" s="5"/>
      <c r="M6" s="28"/>
      <c r="N6" s="28"/>
      <c r="O6" s="29"/>
      <c r="P6" s="5"/>
      <c r="Q6" s="29"/>
      <c r="R6" s="29"/>
      <c r="S6" s="30"/>
      <c r="T6" s="30"/>
    </row>
    <row r="7" spans="1:20" ht="62.25" customHeight="1">
      <c r="A7" s="29"/>
      <c r="B7" s="23"/>
      <c r="C7" s="31"/>
      <c r="D7" s="32"/>
      <c r="E7" s="32"/>
      <c r="F7" s="32"/>
      <c r="G7" s="32"/>
      <c r="H7" s="32"/>
      <c r="I7" s="54" t="s">
        <v>45</v>
      </c>
      <c r="J7" s="55"/>
      <c r="K7" s="49">
        <f>K6</f>
        <v>772523458.25</v>
      </c>
      <c r="L7" s="5"/>
      <c r="M7" s="33"/>
      <c r="N7" s="33"/>
      <c r="O7" s="29"/>
      <c r="P7" s="29"/>
      <c r="Q7" s="29"/>
      <c r="R7" s="29"/>
      <c r="S7" s="30"/>
      <c r="T7" s="30"/>
    </row>
    <row r="8" spans="1:20" ht="62.25" customHeight="1">
      <c r="A8" s="29"/>
      <c r="B8" s="23"/>
      <c r="C8" s="31"/>
      <c r="D8" s="32"/>
      <c r="E8" s="32"/>
      <c r="F8" s="32"/>
      <c r="G8" s="32"/>
      <c r="H8" s="32"/>
      <c r="I8" s="56" t="s">
        <v>46</v>
      </c>
      <c r="J8" s="57"/>
      <c r="K8" s="50">
        <f>K7*9%</f>
        <v>69527111.242499992</v>
      </c>
      <c r="L8" s="5"/>
      <c r="M8" s="33"/>
      <c r="N8" s="33"/>
      <c r="O8" s="29"/>
      <c r="P8" s="29"/>
      <c r="Q8" s="29"/>
      <c r="R8" s="29"/>
      <c r="S8" s="30"/>
      <c r="T8" s="30"/>
    </row>
    <row r="9" spans="1:20" ht="62.25" customHeight="1" thickBot="1">
      <c r="A9" s="34"/>
      <c r="B9" s="35"/>
      <c r="C9" s="35"/>
      <c r="D9" s="35"/>
      <c r="E9" s="36"/>
      <c r="F9" s="35"/>
      <c r="G9" s="36"/>
      <c r="H9" s="36"/>
      <c r="I9" s="58" t="s">
        <v>44</v>
      </c>
      <c r="J9" s="59"/>
      <c r="K9" s="48">
        <f>K8+K7</f>
        <v>842050569.49249995</v>
      </c>
      <c r="L9" s="36"/>
      <c r="M9" s="37"/>
      <c r="N9" s="37"/>
      <c r="O9" s="35"/>
      <c r="P9" s="35"/>
      <c r="Q9" s="35"/>
      <c r="R9" s="35"/>
      <c r="S9" s="35"/>
      <c r="T9" s="35"/>
    </row>
    <row r="10" spans="1:20" ht="24">
      <c r="D10" s="38"/>
      <c r="E10" s="38"/>
      <c r="J10" s="39"/>
      <c r="K10" s="40"/>
    </row>
    <row r="12" spans="1:20" ht="15.75" thickBot="1"/>
    <row r="13" spans="1:20" ht="129.94999999999999" customHeight="1" thickBot="1">
      <c r="A13" s="41"/>
      <c r="B13" s="60" t="s">
        <v>47</v>
      </c>
      <c r="C13" s="61"/>
      <c r="D13" s="62"/>
      <c r="E13" s="60" t="s">
        <v>48</v>
      </c>
      <c r="F13" s="61"/>
      <c r="G13" s="62"/>
      <c r="H13" s="63" t="s">
        <v>49</v>
      </c>
      <c r="I13" s="64"/>
      <c r="J13" s="64"/>
      <c r="K13" s="65"/>
      <c r="L13" s="42"/>
      <c r="M13" s="42"/>
      <c r="N13" s="43"/>
      <c r="O13" s="43"/>
      <c r="P13" s="43"/>
      <c r="Q13" s="43"/>
      <c r="R13" s="43"/>
      <c r="S13" s="43"/>
      <c r="T13" s="44"/>
    </row>
  </sheetData>
  <mergeCells count="7">
    <mergeCell ref="B1:K1"/>
    <mergeCell ref="I7:J7"/>
    <mergeCell ref="I8:J8"/>
    <mergeCell ref="I9:J9"/>
    <mergeCell ref="B13:D13"/>
    <mergeCell ref="E13:G13"/>
    <mergeCell ref="H13:K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بهمن ماه توليد توسعه دارخوين </vt:lpstr>
      <vt:lpstr>رفاهیات </vt:lpstr>
      <vt:lpstr>رفاهی </vt:lpstr>
      <vt:lpstr>سنوات </vt:lpstr>
      <vt:lpstr>جدول  </vt:lpstr>
      <vt:lpstr>'جدول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2016-02-27T13:05:27Z</cp:lastPrinted>
  <dcterms:created xsi:type="dcterms:W3CDTF">2016-01-30T07:26:03Z</dcterms:created>
  <dcterms:modified xsi:type="dcterms:W3CDTF">2016-02-27T13:07:32Z</dcterms:modified>
</cp:coreProperties>
</file>