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5" sheetId="1" r:id="rId1"/>
  </sheets>
  <calcPr calcId="145621"/>
</workbook>
</file>

<file path=xl/calcChain.xml><?xml version="1.0" encoding="utf-8"?>
<calcChain xmlns="http://schemas.openxmlformats.org/spreadsheetml/2006/main">
  <c r="AW3" i="1" l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2" i="1"/>
  <c r="A1123" i="1" l="1"/>
  <c r="B1123" i="1"/>
  <c r="C1123" i="1"/>
  <c r="D1123" i="1"/>
  <c r="E1123" i="1"/>
  <c r="A372" i="1"/>
  <c r="B372" i="1"/>
  <c r="C372" i="1"/>
  <c r="D372" i="1"/>
  <c r="E372" i="1"/>
  <c r="A357" i="1"/>
  <c r="B357" i="1"/>
  <c r="C357" i="1"/>
  <c r="D357" i="1"/>
  <c r="E357" i="1"/>
  <c r="A358" i="1"/>
  <c r="B358" i="1"/>
  <c r="C358" i="1"/>
  <c r="D358" i="1"/>
  <c r="E358" i="1"/>
  <c r="A511" i="1"/>
  <c r="B511" i="1"/>
  <c r="C511" i="1"/>
  <c r="D511" i="1"/>
  <c r="E511" i="1"/>
  <c r="A497" i="1"/>
  <c r="B497" i="1"/>
  <c r="C497" i="1"/>
  <c r="D497" i="1"/>
  <c r="E497" i="1"/>
  <c r="A491" i="1"/>
  <c r="B491" i="1"/>
  <c r="C491" i="1"/>
  <c r="D491" i="1"/>
  <c r="E491" i="1"/>
  <c r="A500" i="1"/>
  <c r="B500" i="1"/>
  <c r="C500" i="1"/>
  <c r="D500" i="1"/>
  <c r="E500" i="1"/>
  <c r="A639" i="1"/>
  <c r="B639" i="1"/>
  <c r="C639" i="1"/>
  <c r="D639" i="1"/>
  <c r="E639" i="1"/>
  <c r="A637" i="1"/>
  <c r="B637" i="1"/>
  <c r="C637" i="1"/>
  <c r="D637" i="1"/>
  <c r="E637" i="1"/>
  <c r="A748" i="1"/>
  <c r="B748" i="1"/>
  <c r="C748" i="1"/>
  <c r="D748" i="1"/>
  <c r="E748" i="1"/>
  <c r="A739" i="1"/>
  <c r="B739" i="1"/>
  <c r="C739" i="1"/>
  <c r="D739" i="1"/>
  <c r="E739" i="1"/>
  <c r="A417" i="1"/>
  <c r="B417" i="1"/>
  <c r="C417" i="1"/>
  <c r="D417" i="1"/>
  <c r="E417" i="1"/>
  <c r="A395" i="1"/>
  <c r="B395" i="1"/>
  <c r="C395" i="1"/>
  <c r="D395" i="1"/>
  <c r="E395" i="1"/>
  <c r="A398" i="1"/>
  <c r="B398" i="1"/>
  <c r="C398" i="1"/>
  <c r="D398" i="1"/>
  <c r="E398" i="1"/>
  <c r="A445" i="1"/>
  <c r="B445" i="1"/>
  <c r="C445" i="1"/>
  <c r="D445" i="1"/>
  <c r="E445" i="1"/>
  <c r="A380" i="1"/>
  <c r="B380" i="1"/>
  <c r="C380" i="1"/>
  <c r="D380" i="1"/>
  <c r="E380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47" i="1"/>
  <c r="B47" i="1"/>
  <c r="C47" i="1"/>
  <c r="D47" i="1"/>
  <c r="E47" i="1"/>
  <c r="A24" i="1"/>
  <c r="B24" i="1"/>
  <c r="C24" i="1"/>
  <c r="D24" i="1"/>
  <c r="E24" i="1"/>
  <c r="A2" i="1"/>
  <c r="B2" i="1"/>
  <c r="C2" i="1"/>
  <c r="D2" i="1"/>
  <c r="E2" i="1"/>
  <c r="A487" i="1"/>
  <c r="B487" i="1"/>
  <c r="C487" i="1"/>
  <c r="D487" i="1"/>
  <c r="E487" i="1"/>
  <c r="A543" i="1"/>
  <c r="B543" i="1"/>
  <c r="C543" i="1"/>
  <c r="D543" i="1"/>
  <c r="E543" i="1"/>
  <c r="A751" i="1"/>
  <c r="B751" i="1"/>
  <c r="C751" i="1"/>
  <c r="D751" i="1"/>
  <c r="E751" i="1"/>
  <c r="A763" i="1"/>
  <c r="B763" i="1"/>
  <c r="C763" i="1"/>
  <c r="D763" i="1"/>
  <c r="E763" i="1"/>
  <c r="A1031" i="1"/>
  <c r="B1031" i="1"/>
  <c r="C1031" i="1"/>
  <c r="D1031" i="1"/>
  <c r="E1031" i="1"/>
  <c r="A1009" i="1"/>
  <c r="B1009" i="1"/>
  <c r="C1009" i="1"/>
  <c r="D1009" i="1"/>
  <c r="E1009" i="1"/>
  <c r="A926" i="1"/>
  <c r="B926" i="1"/>
  <c r="C926" i="1"/>
  <c r="D926" i="1"/>
  <c r="E926" i="1"/>
  <c r="A1113" i="1"/>
  <c r="B1113" i="1"/>
  <c r="C1113" i="1"/>
  <c r="D1113" i="1"/>
  <c r="E1113" i="1"/>
  <c r="A929" i="1"/>
  <c r="B929" i="1"/>
  <c r="C929" i="1"/>
  <c r="D929" i="1"/>
  <c r="E929" i="1"/>
  <c r="A906" i="1"/>
  <c r="B906" i="1"/>
  <c r="C906" i="1"/>
  <c r="D906" i="1"/>
  <c r="E906" i="1"/>
  <c r="A771" i="1"/>
  <c r="B771" i="1"/>
  <c r="C771" i="1"/>
  <c r="D771" i="1"/>
  <c r="E771" i="1"/>
  <c r="A772" i="1"/>
  <c r="B772" i="1"/>
  <c r="C772" i="1"/>
  <c r="D772" i="1"/>
  <c r="E772" i="1"/>
  <c r="A494" i="1"/>
  <c r="B494" i="1"/>
  <c r="C494" i="1"/>
  <c r="D494" i="1"/>
  <c r="E494" i="1"/>
  <c r="A496" i="1"/>
  <c r="B496" i="1"/>
  <c r="C496" i="1"/>
  <c r="D496" i="1"/>
  <c r="E496" i="1"/>
  <c r="A508" i="1"/>
  <c r="B508" i="1"/>
  <c r="C508" i="1"/>
  <c r="D508" i="1"/>
  <c r="E508" i="1"/>
  <c r="A449" i="1"/>
  <c r="B449" i="1"/>
  <c r="C449" i="1"/>
  <c r="D449" i="1"/>
  <c r="E449" i="1"/>
  <c r="A50" i="1"/>
  <c r="B50" i="1"/>
  <c r="C50" i="1"/>
  <c r="D50" i="1"/>
  <c r="E50" i="1"/>
  <c r="A564" i="1"/>
  <c r="B564" i="1"/>
  <c r="C564" i="1"/>
  <c r="D564" i="1"/>
  <c r="E564" i="1"/>
  <c r="A869" i="1"/>
  <c r="B869" i="1"/>
  <c r="C869" i="1"/>
  <c r="D869" i="1"/>
  <c r="E869" i="1"/>
  <c r="A726" i="1"/>
  <c r="B726" i="1"/>
  <c r="C726" i="1"/>
  <c r="D726" i="1"/>
  <c r="E726" i="1"/>
  <c r="A725" i="1"/>
  <c r="B725" i="1"/>
  <c r="C725" i="1"/>
  <c r="D725" i="1"/>
  <c r="E725" i="1"/>
  <c r="A723" i="1"/>
  <c r="B723" i="1"/>
  <c r="C723" i="1"/>
  <c r="D723" i="1"/>
  <c r="E723" i="1"/>
  <c r="A1005" i="1"/>
  <c r="B1005" i="1"/>
  <c r="C1005" i="1"/>
  <c r="D1005" i="1"/>
  <c r="E1005" i="1"/>
  <c r="A1029" i="1"/>
  <c r="B1029" i="1"/>
  <c r="C1029" i="1"/>
  <c r="D1029" i="1"/>
  <c r="E1029" i="1"/>
  <c r="A1044" i="1"/>
  <c r="B1044" i="1"/>
  <c r="C1044" i="1"/>
  <c r="D1044" i="1"/>
  <c r="E1044" i="1"/>
  <c r="A1079" i="1"/>
  <c r="B1079" i="1"/>
  <c r="C1079" i="1"/>
  <c r="D1079" i="1"/>
  <c r="E1079" i="1"/>
  <c r="A1081" i="1"/>
  <c r="B1081" i="1"/>
  <c r="C1081" i="1"/>
  <c r="D1081" i="1"/>
  <c r="E1081" i="1"/>
  <c r="A568" i="1"/>
  <c r="B568" i="1"/>
  <c r="C568" i="1"/>
  <c r="D568" i="1"/>
  <c r="E568" i="1"/>
  <c r="A592" i="1"/>
  <c r="B592" i="1"/>
  <c r="C592" i="1"/>
  <c r="D592" i="1"/>
  <c r="E592" i="1"/>
  <c r="A488" i="1"/>
  <c r="B488" i="1"/>
  <c r="C488" i="1"/>
  <c r="D488" i="1"/>
  <c r="E488" i="1"/>
  <c r="A505" i="1"/>
  <c r="B505" i="1"/>
  <c r="C505" i="1"/>
  <c r="D505" i="1"/>
  <c r="E505" i="1"/>
  <c r="A325" i="1"/>
  <c r="B325" i="1"/>
  <c r="C325" i="1"/>
  <c r="D325" i="1"/>
  <c r="E325" i="1"/>
  <c r="A493" i="1"/>
  <c r="B493" i="1"/>
  <c r="C493" i="1"/>
  <c r="D493" i="1"/>
  <c r="E493" i="1"/>
  <c r="A601" i="1"/>
  <c r="B601" i="1"/>
  <c r="C601" i="1"/>
  <c r="D601" i="1"/>
  <c r="E601" i="1"/>
  <c r="A563" i="1"/>
  <c r="B563" i="1"/>
  <c r="C563" i="1"/>
  <c r="D563" i="1"/>
  <c r="E563" i="1"/>
  <c r="A588" i="1"/>
  <c r="B588" i="1"/>
  <c r="C588" i="1"/>
  <c r="D588" i="1"/>
  <c r="E588" i="1"/>
  <c r="A542" i="1"/>
  <c r="B542" i="1"/>
  <c r="C542" i="1"/>
  <c r="D542" i="1"/>
  <c r="E542" i="1"/>
  <c r="A663" i="1"/>
  <c r="B663" i="1"/>
  <c r="C663" i="1"/>
  <c r="D663" i="1"/>
  <c r="E663" i="1"/>
  <c r="A618" i="1"/>
  <c r="B618" i="1"/>
  <c r="C618" i="1"/>
  <c r="D618" i="1"/>
  <c r="E618" i="1"/>
  <c r="A642" i="1"/>
  <c r="B642" i="1"/>
  <c r="C642" i="1"/>
  <c r="D642" i="1"/>
  <c r="E642" i="1"/>
  <c r="A708" i="1"/>
  <c r="B708" i="1"/>
  <c r="C708" i="1"/>
  <c r="D708" i="1"/>
  <c r="E708" i="1"/>
  <c r="A719" i="1"/>
  <c r="B719" i="1"/>
  <c r="C719" i="1"/>
  <c r="D719" i="1"/>
  <c r="E719" i="1"/>
  <c r="A716" i="1"/>
  <c r="B716" i="1"/>
  <c r="C716" i="1"/>
  <c r="D716" i="1"/>
  <c r="E716" i="1"/>
  <c r="A724" i="1"/>
  <c r="B724" i="1"/>
  <c r="C724" i="1"/>
  <c r="D724" i="1"/>
  <c r="E724" i="1"/>
  <c r="A728" i="1"/>
  <c r="B728" i="1"/>
  <c r="C728" i="1"/>
  <c r="D728" i="1"/>
  <c r="E728" i="1"/>
  <c r="A769" i="1"/>
  <c r="B769" i="1"/>
  <c r="C769" i="1"/>
  <c r="D769" i="1"/>
  <c r="E769" i="1"/>
  <c r="A770" i="1"/>
  <c r="B770" i="1"/>
  <c r="C770" i="1"/>
  <c r="D770" i="1"/>
  <c r="E770" i="1"/>
  <c r="A717" i="1"/>
  <c r="B717" i="1"/>
  <c r="C717" i="1"/>
  <c r="D717" i="1"/>
  <c r="E717" i="1"/>
  <c r="A718" i="1"/>
  <c r="B718" i="1"/>
  <c r="C718" i="1"/>
  <c r="D718" i="1"/>
  <c r="E718" i="1"/>
  <c r="A707" i="1"/>
  <c r="B707" i="1"/>
  <c r="C707" i="1"/>
  <c r="D707" i="1"/>
  <c r="E707" i="1"/>
  <c r="A660" i="1"/>
  <c r="B660" i="1"/>
  <c r="C660" i="1"/>
  <c r="D660" i="1"/>
  <c r="E660" i="1"/>
  <c r="A644" i="1"/>
  <c r="B644" i="1"/>
  <c r="C644" i="1"/>
  <c r="D644" i="1"/>
  <c r="E644" i="1"/>
  <c r="A1011" i="1"/>
  <c r="B1011" i="1"/>
  <c r="C1011" i="1"/>
  <c r="D1011" i="1"/>
  <c r="E1011" i="1"/>
  <c r="A1017" i="1"/>
  <c r="B1017" i="1"/>
  <c r="C1017" i="1"/>
  <c r="D1017" i="1"/>
  <c r="E1017" i="1"/>
  <c r="A975" i="1"/>
  <c r="B975" i="1"/>
  <c r="C975" i="1"/>
  <c r="D975" i="1"/>
  <c r="E975" i="1"/>
  <c r="A976" i="1"/>
  <c r="B976" i="1"/>
  <c r="C976" i="1"/>
  <c r="D976" i="1"/>
  <c r="E976" i="1"/>
  <c r="A977" i="1"/>
  <c r="B977" i="1"/>
  <c r="C977" i="1"/>
  <c r="D977" i="1"/>
  <c r="E977" i="1"/>
  <c r="A714" i="1"/>
  <c r="B714" i="1"/>
  <c r="C714" i="1"/>
  <c r="D714" i="1"/>
  <c r="E714" i="1"/>
  <c r="A767" i="1"/>
  <c r="B767" i="1"/>
  <c r="C767" i="1"/>
  <c r="D767" i="1"/>
  <c r="E767" i="1"/>
  <c r="A861" i="1"/>
  <c r="B861" i="1"/>
  <c r="C861" i="1"/>
  <c r="D861" i="1"/>
  <c r="E861" i="1"/>
  <c r="A567" i="1"/>
  <c r="B567" i="1"/>
  <c r="C567" i="1"/>
  <c r="D567" i="1"/>
  <c r="E567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44" i="1"/>
  <c r="B44" i="1"/>
  <c r="C44" i="1"/>
  <c r="D44" i="1"/>
  <c r="E44" i="1"/>
  <c r="A23" i="1"/>
  <c r="B23" i="1"/>
  <c r="C23" i="1"/>
  <c r="D23" i="1"/>
  <c r="E23" i="1"/>
  <c r="A768" i="1"/>
  <c r="B768" i="1"/>
  <c r="C768" i="1"/>
  <c r="D768" i="1"/>
  <c r="E768" i="1"/>
  <c r="A504" i="1"/>
  <c r="B504" i="1"/>
  <c r="C504" i="1"/>
  <c r="D504" i="1"/>
  <c r="E504" i="1"/>
  <c r="A506" i="1"/>
  <c r="B506" i="1"/>
  <c r="C506" i="1"/>
  <c r="D506" i="1"/>
  <c r="E506" i="1"/>
  <c r="A490" i="1"/>
  <c r="B490" i="1"/>
  <c r="C490" i="1"/>
  <c r="D490" i="1"/>
  <c r="E490" i="1"/>
  <c r="A495" i="1"/>
  <c r="B495" i="1"/>
  <c r="C495" i="1"/>
  <c r="D495" i="1"/>
  <c r="E495" i="1"/>
  <c r="A359" i="1"/>
  <c r="B359" i="1"/>
  <c r="C359" i="1"/>
  <c r="D359" i="1"/>
  <c r="E359" i="1"/>
  <c r="A444" i="1"/>
  <c r="B444" i="1"/>
  <c r="C444" i="1"/>
  <c r="D444" i="1"/>
  <c r="E444" i="1"/>
  <c r="A576" i="1"/>
  <c r="B576" i="1"/>
  <c r="C576" i="1"/>
  <c r="D576" i="1"/>
  <c r="E576" i="1"/>
  <c r="A709" i="1"/>
  <c r="B709" i="1"/>
  <c r="C709" i="1"/>
  <c r="D709" i="1"/>
  <c r="E709" i="1"/>
  <c r="A712" i="1"/>
  <c r="B712" i="1"/>
  <c r="C712" i="1"/>
  <c r="D712" i="1"/>
  <c r="E712" i="1"/>
  <c r="A713" i="1"/>
  <c r="B713" i="1"/>
  <c r="C713" i="1"/>
  <c r="D713" i="1"/>
  <c r="E713" i="1"/>
  <c r="A35" i="1"/>
  <c r="B35" i="1"/>
  <c r="C35" i="1"/>
  <c r="D35" i="1"/>
  <c r="E35" i="1"/>
  <c r="A240" i="1"/>
  <c r="B240" i="1"/>
  <c r="C240" i="1"/>
  <c r="D240" i="1"/>
  <c r="E240" i="1"/>
  <c r="A239" i="1"/>
  <c r="B239" i="1"/>
  <c r="C239" i="1"/>
  <c r="D239" i="1"/>
  <c r="E239" i="1"/>
  <c r="A245" i="1"/>
  <c r="B245" i="1"/>
  <c r="C245" i="1"/>
  <c r="D245" i="1"/>
  <c r="E245" i="1"/>
  <c r="A312" i="1"/>
  <c r="B312" i="1"/>
  <c r="C312" i="1"/>
  <c r="D312" i="1"/>
  <c r="E312" i="1"/>
  <c r="A605" i="1"/>
  <c r="B605" i="1"/>
  <c r="C605" i="1"/>
  <c r="D605" i="1"/>
  <c r="E605" i="1"/>
  <c r="A509" i="1"/>
  <c r="B509" i="1"/>
  <c r="C509" i="1"/>
  <c r="D509" i="1"/>
  <c r="E509" i="1"/>
  <c r="A510" i="1"/>
  <c r="B510" i="1"/>
  <c r="C510" i="1"/>
  <c r="D510" i="1"/>
  <c r="E510" i="1"/>
  <c r="A502" i="1"/>
  <c r="B502" i="1"/>
  <c r="C502" i="1"/>
  <c r="D502" i="1"/>
  <c r="E502" i="1"/>
  <c r="A503" i="1"/>
  <c r="B503" i="1"/>
  <c r="C503" i="1"/>
  <c r="D503" i="1"/>
  <c r="E503" i="1"/>
  <c r="A1122" i="1"/>
  <c r="B1122" i="1"/>
  <c r="C1122" i="1"/>
  <c r="D1122" i="1"/>
  <c r="E1122" i="1"/>
  <c r="A361" i="1"/>
  <c r="B361" i="1"/>
  <c r="C361" i="1"/>
  <c r="D361" i="1"/>
  <c r="E361" i="1"/>
  <c r="A596" i="1"/>
  <c r="B596" i="1"/>
  <c r="C596" i="1"/>
  <c r="D596" i="1"/>
  <c r="E596" i="1"/>
  <c r="A577" i="1"/>
  <c r="B577" i="1"/>
  <c r="C577" i="1"/>
  <c r="D577" i="1"/>
  <c r="E577" i="1"/>
  <c r="A590" i="1"/>
  <c r="B590" i="1"/>
  <c r="C590" i="1"/>
  <c r="D590" i="1"/>
  <c r="E590" i="1"/>
  <c r="A591" i="1"/>
  <c r="B591" i="1"/>
  <c r="C591" i="1"/>
  <c r="D591" i="1"/>
  <c r="E591" i="1"/>
  <c r="A598" i="1"/>
  <c r="B598" i="1"/>
  <c r="C598" i="1"/>
  <c r="D598" i="1"/>
  <c r="E598" i="1"/>
  <c r="A608" i="1"/>
  <c r="B608" i="1"/>
  <c r="C608" i="1"/>
  <c r="D608" i="1"/>
  <c r="E608" i="1"/>
  <c r="A606" i="1"/>
  <c r="B606" i="1"/>
  <c r="C606" i="1"/>
  <c r="D606" i="1"/>
  <c r="E606" i="1"/>
  <c r="A8" i="1"/>
  <c r="B8" i="1"/>
  <c r="C8" i="1"/>
  <c r="D8" i="1"/>
  <c r="E8" i="1"/>
  <c r="A730" i="1"/>
  <c r="B730" i="1"/>
  <c r="C730" i="1"/>
  <c r="D730" i="1"/>
  <c r="E730" i="1"/>
  <c r="A765" i="1"/>
  <c r="B765" i="1"/>
  <c r="C765" i="1"/>
  <c r="D765" i="1"/>
  <c r="E765" i="1"/>
  <c r="A766" i="1"/>
  <c r="B766" i="1"/>
  <c r="C766" i="1"/>
  <c r="D766" i="1"/>
  <c r="E766" i="1"/>
  <c r="A752" i="1"/>
  <c r="B752" i="1"/>
  <c r="C752" i="1"/>
  <c r="D752" i="1"/>
  <c r="E752" i="1"/>
  <c r="A867" i="1"/>
  <c r="B867" i="1"/>
  <c r="C867" i="1"/>
  <c r="D867" i="1"/>
  <c r="E867" i="1"/>
  <c r="A734" i="1"/>
  <c r="B734" i="1"/>
  <c r="C734" i="1"/>
  <c r="D734" i="1"/>
  <c r="E734" i="1"/>
  <c r="A628" i="1"/>
  <c r="B628" i="1"/>
  <c r="C628" i="1"/>
  <c r="D628" i="1"/>
  <c r="E628" i="1"/>
  <c r="A611" i="1"/>
  <c r="B611" i="1"/>
  <c r="C611" i="1"/>
  <c r="D611" i="1"/>
  <c r="E611" i="1"/>
  <c r="A612" i="1"/>
  <c r="B612" i="1"/>
  <c r="C612" i="1"/>
  <c r="D612" i="1"/>
  <c r="E612" i="1"/>
  <c r="A1117" i="1"/>
  <c r="B1117" i="1"/>
  <c r="C1117" i="1"/>
  <c r="D1117" i="1"/>
  <c r="E1117" i="1"/>
  <c r="A627" i="1"/>
  <c r="B627" i="1"/>
  <c r="C627" i="1"/>
  <c r="D627" i="1"/>
  <c r="E627" i="1"/>
  <c r="A715" i="1"/>
  <c r="B715" i="1"/>
  <c r="C715" i="1"/>
  <c r="D715" i="1"/>
  <c r="E715" i="1"/>
  <c r="A760" i="1"/>
  <c r="B760" i="1"/>
  <c r="C760" i="1"/>
  <c r="D760" i="1"/>
  <c r="E760" i="1"/>
  <c r="A756" i="1"/>
  <c r="B756" i="1"/>
  <c r="C756" i="1"/>
  <c r="D756" i="1"/>
  <c r="E756" i="1"/>
  <c r="A757" i="1"/>
  <c r="B757" i="1"/>
  <c r="C757" i="1"/>
  <c r="D757" i="1"/>
  <c r="E757" i="1"/>
  <c r="A743" i="1"/>
  <c r="B743" i="1"/>
  <c r="C743" i="1"/>
  <c r="D743" i="1"/>
  <c r="E743" i="1"/>
  <c r="A741" i="1"/>
  <c r="B741" i="1"/>
  <c r="C741" i="1"/>
  <c r="D741" i="1"/>
  <c r="E741" i="1"/>
  <c r="A738" i="1"/>
  <c r="B738" i="1"/>
  <c r="C738" i="1"/>
  <c r="D738" i="1"/>
  <c r="E738" i="1"/>
  <c r="A735" i="1"/>
  <c r="B735" i="1"/>
  <c r="C735" i="1"/>
  <c r="D735" i="1"/>
  <c r="E735" i="1"/>
  <c r="A736" i="1"/>
  <c r="B736" i="1"/>
  <c r="C736" i="1"/>
  <c r="D736" i="1"/>
  <c r="E736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24" i="1"/>
  <c r="B1024" i="1"/>
  <c r="C1024" i="1"/>
  <c r="D1024" i="1"/>
  <c r="E1024" i="1"/>
  <c r="A860" i="1"/>
  <c r="B860" i="1"/>
  <c r="C860" i="1"/>
  <c r="D860" i="1"/>
  <c r="E860" i="1"/>
  <c r="A863" i="1"/>
  <c r="B863" i="1"/>
  <c r="C863" i="1"/>
  <c r="D863" i="1"/>
  <c r="E863" i="1"/>
  <c r="A762" i="1"/>
  <c r="B762" i="1"/>
  <c r="C762" i="1"/>
  <c r="D762" i="1"/>
  <c r="E762" i="1"/>
  <c r="A610" i="1"/>
  <c r="B610" i="1"/>
  <c r="C610" i="1"/>
  <c r="D610" i="1"/>
  <c r="E610" i="1"/>
  <c r="A579" i="1"/>
  <c r="B579" i="1"/>
  <c r="C579" i="1"/>
  <c r="D579" i="1"/>
  <c r="E579" i="1"/>
  <c r="A580" i="1"/>
  <c r="B580" i="1"/>
  <c r="C580" i="1"/>
  <c r="D580" i="1"/>
  <c r="E580" i="1"/>
  <c r="A989" i="1"/>
  <c r="B989" i="1"/>
  <c r="C989" i="1"/>
  <c r="D989" i="1"/>
  <c r="E989" i="1"/>
  <c r="A990" i="1"/>
  <c r="B990" i="1"/>
  <c r="C990" i="1"/>
  <c r="D990" i="1"/>
  <c r="E990" i="1"/>
  <c r="A1002" i="1"/>
  <c r="B1002" i="1"/>
  <c r="C1002" i="1"/>
  <c r="D1002" i="1"/>
  <c r="E1002" i="1"/>
  <c r="A997" i="1"/>
  <c r="B997" i="1"/>
  <c r="C997" i="1"/>
  <c r="D997" i="1"/>
  <c r="E997" i="1"/>
  <c r="A1021" i="1"/>
  <c r="B1021" i="1"/>
  <c r="C1021" i="1"/>
  <c r="D1021" i="1"/>
  <c r="E1021" i="1"/>
  <c r="A1019" i="1"/>
  <c r="B1019" i="1"/>
  <c r="C1019" i="1"/>
  <c r="D1019" i="1"/>
  <c r="E1019" i="1"/>
  <c r="A1015" i="1"/>
  <c r="B1015" i="1"/>
  <c r="C1015" i="1"/>
  <c r="D1015" i="1"/>
  <c r="E1015" i="1"/>
  <c r="A1004" i="1"/>
  <c r="B1004" i="1"/>
  <c r="C1004" i="1"/>
  <c r="D1004" i="1"/>
  <c r="E1004" i="1"/>
  <c r="A1010" i="1"/>
  <c r="B1010" i="1"/>
  <c r="C1010" i="1"/>
  <c r="D1010" i="1"/>
  <c r="E1010" i="1"/>
  <c r="A1032" i="1"/>
  <c r="B1032" i="1"/>
  <c r="C1032" i="1"/>
  <c r="D1032" i="1"/>
  <c r="E1032" i="1"/>
  <c r="A585" i="1"/>
  <c r="B585" i="1"/>
  <c r="C585" i="1"/>
  <c r="D585" i="1"/>
  <c r="E585" i="1"/>
  <c r="A571" i="1"/>
  <c r="B571" i="1"/>
  <c r="C571" i="1"/>
  <c r="D571" i="1"/>
  <c r="E571" i="1"/>
  <c r="A548" i="1"/>
  <c r="B548" i="1"/>
  <c r="C548" i="1"/>
  <c r="D548" i="1"/>
  <c r="E548" i="1"/>
  <c r="A514" i="1"/>
  <c r="B514" i="1"/>
  <c r="C514" i="1"/>
  <c r="D514" i="1"/>
  <c r="E514" i="1"/>
  <c r="A448" i="1"/>
  <c r="B448" i="1"/>
  <c r="C448" i="1"/>
  <c r="D448" i="1"/>
  <c r="E448" i="1"/>
  <c r="A345" i="1"/>
  <c r="B345" i="1"/>
  <c r="C345" i="1"/>
  <c r="D345" i="1"/>
  <c r="E345" i="1"/>
  <c r="A933" i="1"/>
  <c r="B933" i="1"/>
  <c r="C933" i="1"/>
  <c r="D933" i="1"/>
  <c r="E933" i="1"/>
  <c r="A968" i="1"/>
  <c r="B968" i="1"/>
  <c r="C968" i="1"/>
  <c r="D968" i="1"/>
  <c r="E968" i="1"/>
  <c r="A965" i="1"/>
  <c r="B965" i="1"/>
  <c r="C965" i="1"/>
  <c r="D965" i="1"/>
  <c r="E965" i="1"/>
  <c r="A961" i="1"/>
  <c r="B961" i="1"/>
  <c r="C961" i="1"/>
  <c r="D961" i="1"/>
  <c r="E961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4" i="1"/>
  <c r="B604" i="1"/>
  <c r="C604" i="1"/>
  <c r="D604" i="1"/>
  <c r="E604" i="1"/>
  <c r="A607" i="1"/>
  <c r="B607" i="1"/>
  <c r="C607" i="1"/>
  <c r="D607" i="1"/>
  <c r="E607" i="1"/>
  <c r="A597" i="1"/>
  <c r="B597" i="1"/>
  <c r="C597" i="1"/>
  <c r="D597" i="1"/>
  <c r="E597" i="1"/>
  <c r="A599" i="1"/>
  <c r="B599" i="1"/>
  <c r="C599" i="1"/>
  <c r="D599" i="1"/>
  <c r="E599" i="1"/>
  <c r="A600" i="1"/>
  <c r="B600" i="1"/>
  <c r="C600" i="1"/>
  <c r="D600" i="1"/>
  <c r="E600" i="1"/>
  <c r="A241" i="1"/>
  <c r="B241" i="1"/>
  <c r="C241" i="1"/>
  <c r="D241" i="1"/>
  <c r="E241" i="1"/>
  <c r="A299" i="1"/>
  <c r="B299" i="1"/>
  <c r="C299" i="1"/>
  <c r="D299" i="1"/>
  <c r="E299" i="1"/>
  <c r="A313" i="1"/>
  <c r="B313" i="1"/>
  <c r="C313" i="1"/>
  <c r="D313" i="1"/>
  <c r="E313" i="1"/>
  <c r="A311" i="1"/>
  <c r="B311" i="1"/>
  <c r="C311" i="1"/>
  <c r="D311" i="1"/>
  <c r="E311" i="1"/>
  <c r="A310" i="1"/>
  <c r="B310" i="1"/>
  <c r="C310" i="1"/>
  <c r="D310" i="1"/>
  <c r="E310" i="1"/>
  <c r="A267" i="1"/>
  <c r="B267" i="1"/>
  <c r="C267" i="1"/>
  <c r="D267" i="1"/>
  <c r="E267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6" i="1"/>
  <c r="B246" i="1"/>
  <c r="C246" i="1"/>
  <c r="D246" i="1"/>
  <c r="E246" i="1"/>
  <c r="A594" i="1"/>
  <c r="B594" i="1"/>
  <c r="C594" i="1"/>
  <c r="D594" i="1"/>
  <c r="E594" i="1"/>
  <c r="A595" i="1"/>
  <c r="B595" i="1"/>
  <c r="C595" i="1"/>
  <c r="D595" i="1"/>
  <c r="E595" i="1"/>
  <c r="A603" i="1"/>
  <c r="B603" i="1"/>
  <c r="C603" i="1"/>
  <c r="D603" i="1"/>
  <c r="E603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29" i="1"/>
  <c r="B29" i="1"/>
  <c r="C29" i="1"/>
  <c r="D29" i="1"/>
  <c r="E29" i="1"/>
  <c r="A3" i="1"/>
  <c r="B3" i="1"/>
  <c r="C3" i="1"/>
  <c r="D3" i="1"/>
  <c r="E3" i="1"/>
  <c r="A49" i="1"/>
  <c r="B49" i="1"/>
  <c r="C49" i="1"/>
  <c r="D49" i="1"/>
  <c r="E49" i="1"/>
  <c r="A165" i="1"/>
  <c r="B165" i="1"/>
  <c r="C165" i="1"/>
  <c r="D165" i="1"/>
  <c r="E165" i="1"/>
  <c r="A927" i="1"/>
  <c r="B927" i="1"/>
  <c r="C927" i="1"/>
  <c r="D927" i="1"/>
  <c r="E927" i="1"/>
  <c r="A1115" i="1"/>
  <c r="B1115" i="1"/>
  <c r="C1115" i="1"/>
  <c r="D1115" i="1"/>
  <c r="E1115" i="1"/>
  <c r="A1116" i="1"/>
  <c r="B1116" i="1"/>
  <c r="C1116" i="1"/>
  <c r="D1116" i="1"/>
  <c r="E1116" i="1"/>
  <c r="A1118" i="1"/>
  <c r="B1118" i="1"/>
  <c r="C1118" i="1"/>
  <c r="D1118" i="1"/>
  <c r="E1118" i="1"/>
  <c r="A1119" i="1"/>
  <c r="B1119" i="1"/>
  <c r="C1119" i="1"/>
  <c r="D1119" i="1"/>
  <c r="E1119" i="1"/>
  <c r="A1078" i="1"/>
  <c r="B1078" i="1"/>
  <c r="C1078" i="1"/>
  <c r="D1078" i="1"/>
  <c r="E1078" i="1"/>
  <c r="A344" i="1"/>
  <c r="B344" i="1"/>
  <c r="C344" i="1"/>
  <c r="D344" i="1"/>
  <c r="E344" i="1"/>
  <c r="A392" i="1"/>
  <c r="B392" i="1"/>
  <c r="C392" i="1"/>
  <c r="D392" i="1"/>
  <c r="E392" i="1"/>
  <c r="A521" i="1"/>
  <c r="B521" i="1"/>
  <c r="C521" i="1"/>
  <c r="D521" i="1"/>
  <c r="E521" i="1"/>
  <c r="A586" i="1"/>
  <c r="B586" i="1"/>
  <c r="C586" i="1"/>
  <c r="D586" i="1"/>
  <c r="E586" i="1"/>
  <c r="A981" i="1"/>
  <c r="B981" i="1"/>
  <c r="C981" i="1"/>
  <c r="D981" i="1"/>
  <c r="E981" i="1"/>
  <c r="A980" i="1"/>
  <c r="B980" i="1"/>
  <c r="C980" i="1"/>
  <c r="D980" i="1"/>
  <c r="E980" i="1"/>
  <c r="A982" i="1"/>
  <c r="B982" i="1"/>
  <c r="C982" i="1"/>
  <c r="D982" i="1"/>
  <c r="E982" i="1"/>
  <c r="A974" i="1"/>
  <c r="B974" i="1"/>
  <c r="C974" i="1"/>
  <c r="D974" i="1"/>
  <c r="E974" i="1"/>
  <c r="A978" i="1"/>
  <c r="B978" i="1"/>
  <c r="C978" i="1"/>
  <c r="D978" i="1"/>
  <c r="E978" i="1"/>
  <c r="A958" i="1"/>
  <c r="B958" i="1"/>
  <c r="C958" i="1"/>
  <c r="D958" i="1"/>
  <c r="E958" i="1"/>
  <c r="A932" i="1"/>
  <c r="B932" i="1"/>
  <c r="C932" i="1"/>
  <c r="D932" i="1"/>
  <c r="E932" i="1"/>
  <c r="A931" i="1"/>
  <c r="B931" i="1"/>
  <c r="C931" i="1"/>
  <c r="D931" i="1"/>
  <c r="E931" i="1"/>
  <c r="A928" i="1"/>
  <c r="B928" i="1"/>
  <c r="C928" i="1"/>
  <c r="D928" i="1"/>
  <c r="E928" i="1"/>
  <c r="A930" i="1"/>
  <c r="B930" i="1"/>
  <c r="C930" i="1"/>
  <c r="D930" i="1"/>
  <c r="E930" i="1"/>
  <c r="A987" i="1"/>
  <c r="B987" i="1"/>
  <c r="C987" i="1"/>
  <c r="D987" i="1"/>
  <c r="E987" i="1"/>
  <c r="A994" i="1"/>
  <c r="B994" i="1"/>
  <c r="C994" i="1"/>
  <c r="D994" i="1"/>
  <c r="E994" i="1"/>
  <c r="A991" i="1"/>
  <c r="B991" i="1"/>
  <c r="C991" i="1"/>
  <c r="D991" i="1"/>
  <c r="E991" i="1"/>
  <c r="A992" i="1"/>
  <c r="B992" i="1"/>
  <c r="C992" i="1"/>
  <c r="D992" i="1"/>
  <c r="E992" i="1"/>
  <c r="A960" i="1"/>
  <c r="B960" i="1"/>
  <c r="C960" i="1"/>
  <c r="D960" i="1"/>
  <c r="E960" i="1"/>
  <c r="A962" i="1"/>
  <c r="B962" i="1"/>
  <c r="C962" i="1"/>
  <c r="D962" i="1"/>
  <c r="E962" i="1"/>
  <c r="A963" i="1"/>
  <c r="B963" i="1"/>
  <c r="C963" i="1"/>
  <c r="D963" i="1"/>
  <c r="E963" i="1"/>
  <c r="A967" i="1"/>
  <c r="B967" i="1"/>
  <c r="C967" i="1"/>
  <c r="D967" i="1"/>
  <c r="E967" i="1"/>
  <c r="A971" i="1"/>
  <c r="B971" i="1"/>
  <c r="C971" i="1"/>
  <c r="D971" i="1"/>
  <c r="E971" i="1"/>
  <c r="A983" i="1"/>
  <c r="B983" i="1"/>
  <c r="C983" i="1"/>
  <c r="D983" i="1"/>
  <c r="E983" i="1"/>
  <c r="A583" i="1"/>
  <c r="B583" i="1"/>
  <c r="C583" i="1"/>
  <c r="D583" i="1"/>
  <c r="E583" i="1"/>
  <c r="A584" i="1"/>
  <c r="B584" i="1"/>
  <c r="C584" i="1"/>
  <c r="D584" i="1"/>
  <c r="E584" i="1"/>
  <c r="A907" i="1"/>
  <c r="B907" i="1"/>
  <c r="C907" i="1"/>
  <c r="D907" i="1"/>
  <c r="E907" i="1"/>
  <c r="A1030" i="1"/>
  <c r="B1030" i="1"/>
  <c r="C1030" i="1"/>
  <c r="D1030" i="1"/>
  <c r="E1030" i="1"/>
  <c r="A1026" i="1"/>
  <c r="B1026" i="1"/>
  <c r="C1026" i="1"/>
  <c r="D1026" i="1"/>
  <c r="E1026" i="1"/>
  <c r="A1027" i="1"/>
  <c r="B1027" i="1"/>
  <c r="C1027" i="1"/>
  <c r="D1027" i="1"/>
  <c r="E1027" i="1"/>
  <c r="A1006" i="1"/>
  <c r="B1006" i="1"/>
  <c r="C1006" i="1"/>
  <c r="D1006" i="1"/>
  <c r="E1006" i="1"/>
  <c r="A1007" i="1"/>
  <c r="B1007" i="1"/>
  <c r="C1007" i="1"/>
  <c r="D1007" i="1"/>
  <c r="E1007" i="1"/>
  <c r="A1020" i="1"/>
  <c r="B1020" i="1"/>
  <c r="C1020" i="1"/>
  <c r="D1020" i="1"/>
  <c r="E1020" i="1"/>
  <c r="A1001" i="1"/>
  <c r="B1001" i="1"/>
  <c r="C1001" i="1"/>
  <c r="D1001" i="1"/>
  <c r="E1001" i="1"/>
  <c r="A745" i="1"/>
  <c r="B745" i="1"/>
  <c r="C745" i="1"/>
  <c r="D745" i="1"/>
  <c r="E745" i="1"/>
  <c r="A742" i="1"/>
  <c r="B742" i="1"/>
  <c r="C742" i="1"/>
  <c r="D742" i="1"/>
  <c r="E742" i="1"/>
  <c r="A759" i="1"/>
  <c r="B759" i="1"/>
  <c r="C759" i="1"/>
  <c r="D759" i="1"/>
  <c r="E759" i="1"/>
  <c r="A720" i="1"/>
  <c r="B720" i="1"/>
  <c r="C720" i="1"/>
  <c r="D720" i="1"/>
  <c r="E720" i="1"/>
  <c r="A721" i="1"/>
  <c r="B721" i="1"/>
  <c r="C721" i="1"/>
  <c r="D721" i="1"/>
  <c r="E721" i="1"/>
  <c r="A676" i="1"/>
  <c r="B676" i="1"/>
  <c r="C676" i="1"/>
  <c r="D676" i="1"/>
  <c r="E676" i="1"/>
  <c r="A609" i="1"/>
  <c r="B609" i="1"/>
  <c r="C609" i="1"/>
  <c r="D609" i="1"/>
  <c r="E609" i="1"/>
  <c r="A578" i="1"/>
  <c r="B578" i="1"/>
  <c r="C578" i="1"/>
  <c r="D578" i="1"/>
  <c r="E578" i="1"/>
  <c r="A581" i="1"/>
  <c r="B581" i="1"/>
  <c r="C581" i="1"/>
  <c r="D581" i="1"/>
  <c r="E581" i="1"/>
  <c r="A582" i="1"/>
  <c r="B582" i="1"/>
  <c r="C582" i="1"/>
  <c r="D582" i="1"/>
  <c r="E582" i="1"/>
  <c r="A1008" i="1"/>
  <c r="B1008" i="1"/>
  <c r="C1008" i="1"/>
  <c r="D1008" i="1"/>
  <c r="E1008" i="1"/>
  <c r="A1012" i="1"/>
  <c r="B1012" i="1"/>
  <c r="C1012" i="1"/>
  <c r="D1012" i="1"/>
  <c r="E1012" i="1"/>
  <c r="A761" i="1"/>
  <c r="B761" i="1"/>
  <c r="C761" i="1"/>
  <c r="D761" i="1"/>
  <c r="E761" i="1"/>
  <c r="A750" i="1"/>
  <c r="B750" i="1"/>
  <c r="C750" i="1"/>
  <c r="D750" i="1"/>
  <c r="E750" i="1"/>
  <c r="A746" i="1"/>
  <c r="B746" i="1"/>
  <c r="C746" i="1"/>
  <c r="D746" i="1"/>
  <c r="E746" i="1"/>
  <c r="A731" i="1"/>
  <c r="B731" i="1"/>
  <c r="C731" i="1"/>
  <c r="D731" i="1"/>
  <c r="E731" i="1"/>
  <c r="A732" i="1"/>
  <c r="B732" i="1"/>
  <c r="C732" i="1"/>
  <c r="D732" i="1"/>
  <c r="E732" i="1"/>
  <c r="A729" i="1"/>
  <c r="B729" i="1"/>
  <c r="C729" i="1"/>
  <c r="D729" i="1"/>
  <c r="E729" i="1"/>
  <c r="A740" i="1"/>
  <c r="B740" i="1"/>
  <c r="C740" i="1"/>
  <c r="D740" i="1"/>
  <c r="E740" i="1"/>
  <c r="A747" i="1"/>
  <c r="B747" i="1"/>
  <c r="C747" i="1"/>
  <c r="D747" i="1"/>
  <c r="E747" i="1"/>
  <c r="A379" i="1"/>
  <c r="B379" i="1"/>
  <c r="C379" i="1"/>
  <c r="D379" i="1"/>
  <c r="E379" i="1"/>
  <c r="A659" i="1"/>
  <c r="B659" i="1"/>
  <c r="C659" i="1"/>
  <c r="D659" i="1"/>
  <c r="E659" i="1"/>
  <c r="A758" i="1"/>
  <c r="B758" i="1"/>
  <c r="C758" i="1"/>
  <c r="D758" i="1"/>
  <c r="E758" i="1"/>
  <c r="A959" i="1"/>
  <c r="B959" i="1"/>
  <c r="C959" i="1"/>
  <c r="D959" i="1"/>
  <c r="E959" i="1"/>
  <c r="A956" i="1"/>
  <c r="B956" i="1"/>
  <c r="C956" i="1"/>
  <c r="D956" i="1"/>
  <c r="E956" i="1"/>
  <c r="A1125" i="1"/>
  <c r="B1125" i="1"/>
  <c r="C1125" i="1"/>
  <c r="D1125" i="1"/>
  <c r="E1125" i="1"/>
  <c r="A995" i="1"/>
  <c r="B995" i="1"/>
  <c r="C995" i="1"/>
  <c r="D995" i="1"/>
  <c r="E995" i="1"/>
  <c r="A996" i="1"/>
  <c r="B996" i="1"/>
  <c r="C996" i="1"/>
  <c r="D996" i="1"/>
  <c r="E996" i="1"/>
  <c r="A1000" i="1"/>
  <c r="B1000" i="1"/>
  <c r="C1000" i="1"/>
  <c r="D1000" i="1"/>
  <c r="E1000" i="1"/>
  <c r="A1014" i="1"/>
  <c r="B1014" i="1"/>
  <c r="C1014" i="1"/>
  <c r="D1014" i="1"/>
  <c r="E1014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41" i="1"/>
  <c r="B341" i="1"/>
  <c r="C341" i="1"/>
  <c r="D341" i="1"/>
  <c r="E341" i="1"/>
  <c r="A318" i="1"/>
  <c r="B318" i="1"/>
  <c r="C318" i="1"/>
  <c r="D318" i="1"/>
  <c r="E318" i="1"/>
  <c r="A319" i="1"/>
  <c r="B319" i="1"/>
  <c r="C319" i="1"/>
  <c r="D319" i="1"/>
  <c r="E319" i="1"/>
  <c r="A378" i="1"/>
  <c r="B378" i="1"/>
  <c r="C378" i="1"/>
  <c r="D378" i="1"/>
  <c r="E378" i="1"/>
  <c r="A182" i="1"/>
  <c r="B182" i="1"/>
  <c r="C182" i="1"/>
  <c r="D182" i="1"/>
  <c r="E182" i="1"/>
  <c r="A187" i="1"/>
  <c r="B187" i="1"/>
  <c r="C187" i="1"/>
  <c r="D187" i="1"/>
  <c r="E187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8" i="1"/>
  <c r="B298" i="1"/>
  <c r="C298" i="1"/>
  <c r="D298" i="1"/>
  <c r="E298" i="1"/>
  <c r="A297" i="1"/>
  <c r="B297" i="1"/>
  <c r="C297" i="1"/>
  <c r="D297" i="1"/>
  <c r="E297" i="1"/>
  <c r="A55" i="1"/>
  <c r="B55" i="1"/>
  <c r="C55" i="1"/>
  <c r="D55" i="1"/>
  <c r="E55" i="1"/>
  <c r="A28" i="1"/>
  <c r="B28" i="1"/>
  <c r="C28" i="1"/>
  <c r="D28" i="1"/>
  <c r="E28" i="1"/>
  <c r="A205" i="1"/>
  <c r="B205" i="1"/>
  <c r="C205" i="1"/>
  <c r="D205" i="1"/>
  <c r="E205" i="1"/>
  <c r="A202" i="1"/>
  <c r="B202" i="1"/>
  <c r="C202" i="1"/>
  <c r="D202" i="1"/>
  <c r="E202" i="1"/>
  <c r="A232" i="1"/>
  <c r="B232" i="1"/>
  <c r="C232" i="1"/>
  <c r="D232" i="1"/>
  <c r="E232" i="1"/>
  <c r="A200" i="1"/>
  <c r="B200" i="1"/>
  <c r="C200" i="1"/>
  <c r="D200" i="1"/>
  <c r="E200" i="1"/>
  <c r="A199" i="1"/>
  <c r="B199" i="1"/>
  <c r="C199" i="1"/>
  <c r="D199" i="1"/>
  <c r="E199" i="1"/>
  <c r="A204" i="1"/>
  <c r="B204" i="1"/>
  <c r="C204" i="1"/>
  <c r="D204" i="1"/>
  <c r="E204" i="1"/>
  <c r="A203" i="1"/>
  <c r="B203" i="1"/>
  <c r="C203" i="1"/>
  <c r="D203" i="1"/>
  <c r="E203" i="1"/>
  <c r="A201" i="1"/>
  <c r="B201" i="1"/>
  <c r="C201" i="1"/>
  <c r="D201" i="1"/>
  <c r="E201" i="1"/>
  <c r="A186" i="1"/>
  <c r="B186" i="1"/>
  <c r="C186" i="1"/>
  <c r="D186" i="1"/>
  <c r="E186" i="1"/>
  <c r="A185" i="1"/>
  <c r="B185" i="1"/>
  <c r="C185" i="1"/>
  <c r="D185" i="1"/>
  <c r="E185" i="1"/>
  <c r="A645" i="1"/>
  <c r="B645" i="1"/>
  <c r="C645" i="1"/>
  <c r="D645" i="1"/>
  <c r="E645" i="1"/>
  <c r="A657" i="1"/>
  <c r="B657" i="1"/>
  <c r="C657" i="1"/>
  <c r="D657" i="1"/>
  <c r="E657" i="1"/>
  <c r="A619" i="1"/>
  <c r="B619" i="1"/>
  <c r="C619" i="1"/>
  <c r="D619" i="1"/>
  <c r="E619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937" i="1"/>
  <c r="B937" i="1"/>
  <c r="C937" i="1"/>
  <c r="D937" i="1"/>
  <c r="E937" i="1"/>
  <c r="A231" i="1"/>
  <c r="B231" i="1"/>
  <c r="C231" i="1"/>
  <c r="D231" i="1"/>
  <c r="E231" i="1"/>
  <c r="A984" i="1"/>
  <c r="B984" i="1"/>
  <c r="C984" i="1"/>
  <c r="D984" i="1"/>
  <c r="E984" i="1"/>
  <c r="A924" i="1"/>
  <c r="B924" i="1"/>
  <c r="C924" i="1"/>
  <c r="D924" i="1"/>
  <c r="E924" i="1"/>
  <c r="A1114" i="1"/>
  <c r="B1114" i="1"/>
  <c r="C1114" i="1"/>
  <c r="D1114" i="1"/>
  <c r="E1114" i="1"/>
  <c r="A640" i="1"/>
  <c r="B640" i="1"/>
  <c r="C640" i="1"/>
  <c r="D640" i="1"/>
  <c r="E640" i="1"/>
  <c r="A641" i="1"/>
  <c r="B641" i="1"/>
  <c r="C641" i="1"/>
  <c r="D641" i="1"/>
  <c r="E641" i="1"/>
  <c r="A706" i="1"/>
  <c r="B706" i="1"/>
  <c r="C706" i="1"/>
  <c r="D706" i="1"/>
  <c r="E706" i="1"/>
  <c r="A737" i="1"/>
  <c r="B737" i="1"/>
  <c r="C737" i="1"/>
  <c r="D737" i="1"/>
  <c r="E737" i="1"/>
  <c r="A859" i="1"/>
  <c r="B859" i="1"/>
  <c r="C859" i="1"/>
  <c r="D859" i="1"/>
  <c r="E859" i="1"/>
  <c r="A638" i="1"/>
  <c r="B638" i="1"/>
  <c r="C638" i="1"/>
  <c r="D638" i="1"/>
  <c r="E638" i="1"/>
  <c r="A446" i="1"/>
  <c r="B446" i="1"/>
  <c r="C446" i="1"/>
  <c r="D446" i="1"/>
  <c r="E446" i="1"/>
  <c r="A447" i="1"/>
  <c r="B447" i="1"/>
  <c r="C447" i="1"/>
  <c r="D447" i="1"/>
  <c r="E447" i="1"/>
  <c r="A356" i="1"/>
  <c r="B356" i="1"/>
  <c r="C356" i="1"/>
  <c r="D356" i="1"/>
  <c r="E356" i="1"/>
  <c r="A330" i="1"/>
  <c r="B330" i="1"/>
  <c r="C330" i="1"/>
  <c r="D330" i="1"/>
  <c r="E330" i="1"/>
  <c r="A328" i="1"/>
  <c r="B328" i="1"/>
  <c r="C328" i="1"/>
  <c r="D328" i="1"/>
  <c r="E328" i="1"/>
  <c r="A589" i="1"/>
  <c r="B589" i="1"/>
  <c r="C589" i="1"/>
  <c r="D589" i="1"/>
  <c r="E589" i="1"/>
  <c r="A557" i="1"/>
  <c r="B557" i="1"/>
  <c r="C557" i="1"/>
  <c r="D557" i="1"/>
  <c r="E557" i="1"/>
  <c r="A456" i="1"/>
  <c r="B456" i="1"/>
  <c r="C456" i="1"/>
  <c r="D456" i="1"/>
  <c r="E456" i="1"/>
  <c r="A174" i="1"/>
  <c r="B174" i="1"/>
  <c r="C174" i="1"/>
  <c r="D174" i="1"/>
  <c r="E174" i="1"/>
  <c r="A175" i="1"/>
  <c r="B175" i="1"/>
  <c r="C175" i="1"/>
  <c r="D175" i="1"/>
  <c r="E175" i="1"/>
  <c r="A972" i="1"/>
  <c r="B972" i="1"/>
  <c r="C972" i="1"/>
  <c r="D972" i="1"/>
  <c r="E972" i="1"/>
  <c r="A964" i="1"/>
  <c r="B964" i="1"/>
  <c r="C964" i="1"/>
  <c r="D964" i="1"/>
  <c r="E964" i="1"/>
  <c r="A966" i="1"/>
  <c r="B966" i="1"/>
  <c r="C966" i="1"/>
  <c r="D966" i="1"/>
  <c r="E966" i="1"/>
  <c r="A998" i="1"/>
  <c r="B998" i="1"/>
  <c r="C998" i="1"/>
  <c r="D998" i="1"/>
  <c r="E998" i="1"/>
  <c r="A988" i="1"/>
  <c r="B988" i="1"/>
  <c r="C988" i="1"/>
  <c r="D988" i="1"/>
  <c r="E988" i="1"/>
  <c r="A993" i="1"/>
  <c r="B993" i="1"/>
  <c r="C993" i="1"/>
  <c r="D993" i="1"/>
  <c r="E993" i="1"/>
  <c r="A360" i="1"/>
  <c r="B360" i="1"/>
  <c r="C360" i="1"/>
  <c r="D360" i="1"/>
  <c r="E360" i="1"/>
  <c r="A382" i="1"/>
  <c r="B382" i="1"/>
  <c r="C382" i="1"/>
  <c r="D382" i="1"/>
  <c r="E382" i="1"/>
  <c r="A362" i="1"/>
  <c r="B362" i="1"/>
  <c r="C362" i="1"/>
  <c r="D362" i="1"/>
  <c r="E362" i="1"/>
  <c r="A363" i="1"/>
  <c r="B363" i="1"/>
  <c r="C363" i="1"/>
  <c r="D363" i="1"/>
  <c r="E363" i="1"/>
  <c r="A1022" i="1"/>
  <c r="B1022" i="1"/>
  <c r="C1022" i="1"/>
  <c r="D1022" i="1"/>
  <c r="E1022" i="1"/>
  <c r="A1025" i="1"/>
  <c r="B1025" i="1"/>
  <c r="C1025" i="1"/>
  <c r="D1025" i="1"/>
  <c r="E1025" i="1"/>
  <c r="A1028" i="1"/>
  <c r="B1028" i="1"/>
  <c r="C1028" i="1"/>
  <c r="D1028" i="1"/>
  <c r="E1028" i="1"/>
  <c r="A1003" i="1"/>
  <c r="B1003" i="1"/>
  <c r="C1003" i="1"/>
  <c r="D1003" i="1"/>
  <c r="E1003" i="1"/>
  <c r="A1013" i="1"/>
  <c r="B1013" i="1"/>
  <c r="C1013" i="1"/>
  <c r="D1013" i="1"/>
  <c r="E1013" i="1"/>
  <c r="A1016" i="1"/>
  <c r="B1016" i="1"/>
  <c r="C1016" i="1"/>
  <c r="D1016" i="1"/>
  <c r="E1016" i="1"/>
  <c r="A1018" i="1"/>
  <c r="B1018" i="1"/>
  <c r="C1018" i="1"/>
  <c r="D1018" i="1"/>
  <c r="E1018" i="1"/>
  <c r="A957" i="1"/>
  <c r="B957" i="1"/>
  <c r="C957" i="1"/>
  <c r="D957" i="1"/>
  <c r="E957" i="1"/>
  <c r="A969" i="1"/>
  <c r="B969" i="1"/>
  <c r="C969" i="1"/>
  <c r="D969" i="1"/>
  <c r="E969" i="1"/>
  <c r="A970" i="1"/>
  <c r="B970" i="1"/>
  <c r="C970" i="1"/>
  <c r="D970" i="1"/>
  <c r="E970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636" i="1"/>
  <c r="B636" i="1"/>
  <c r="C636" i="1"/>
  <c r="D636" i="1"/>
  <c r="E636" i="1"/>
  <c r="A634" i="1"/>
  <c r="B634" i="1"/>
  <c r="C634" i="1"/>
  <c r="D634" i="1"/>
  <c r="E634" i="1"/>
  <c r="A635" i="1"/>
  <c r="B635" i="1"/>
  <c r="C635" i="1"/>
  <c r="D635" i="1"/>
  <c r="E635" i="1"/>
  <c r="A1023" i="1"/>
  <c r="B1023" i="1"/>
  <c r="C1023" i="1"/>
  <c r="D1023" i="1"/>
  <c r="E1023" i="1"/>
  <c r="A1033" i="1"/>
  <c r="B1033" i="1"/>
  <c r="C1033" i="1"/>
  <c r="D1033" i="1"/>
  <c r="E1033" i="1"/>
  <c r="A184" i="1"/>
  <c r="B184" i="1"/>
  <c r="C184" i="1"/>
  <c r="D184" i="1"/>
  <c r="E184" i="1"/>
  <c r="A512" i="1"/>
  <c r="B512" i="1"/>
  <c r="C512" i="1"/>
  <c r="D512" i="1"/>
  <c r="E512" i="1"/>
  <c r="A513" i="1"/>
  <c r="B513" i="1"/>
  <c r="C513" i="1"/>
  <c r="D513" i="1"/>
  <c r="E513" i="1"/>
  <c r="A498" i="1"/>
  <c r="B498" i="1"/>
  <c r="C498" i="1"/>
  <c r="D498" i="1"/>
  <c r="E498" i="1"/>
  <c r="A501" i="1"/>
  <c r="B501" i="1"/>
  <c r="C501" i="1"/>
  <c r="D501" i="1"/>
  <c r="E501" i="1"/>
  <c r="A321" i="1"/>
  <c r="B321" i="1"/>
  <c r="C321" i="1"/>
  <c r="D321" i="1"/>
  <c r="E321" i="1"/>
  <c r="A349" i="1"/>
  <c r="B349" i="1"/>
  <c r="C349" i="1"/>
  <c r="D349" i="1"/>
  <c r="E349" i="1"/>
  <c r="A593" i="1"/>
  <c r="B593" i="1"/>
  <c r="C593" i="1"/>
  <c r="D593" i="1"/>
  <c r="E593" i="1"/>
  <c r="A565" i="1"/>
  <c r="B565" i="1"/>
  <c r="C565" i="1"/>
  <c r="D565" i="1"/>
  <c r="E565" i="1"/>
  <c r="A870" i="1"/>
  <c r="B870" i="1"/>
  <c r="C870" i="1"/>
  <c r="D870" i="1"/>
  <c r="E870" i="1"/>
  <c r="A684" i="1"/>
  <c r="B684" i="1"/>
  <c r="C684" i="1"/>
  <c r="D684" i="1"/>
  <c r="E684" i="1"/>
  <c r="A685" i="1"/>
  <c r="B685" i="1"/>
  <c r="C685" i="1"/>
  <c r="D685" i="1"/>
  <c r="E685" i="1"/>
  <c r="A678" i="1"/>
  <c r="B678" i="1"/>
  <c r="C678" i="1"/>
  <c r="D678" i="1"/>
  <c r="E678" i="1"/>
  <c r="A1080" i="1"/>
  <c r="B1080" i="1"/>
  <c r="C1080" i="1"/>
  <c r="D1080" i="1"/>
  <c r="E1080" i="1"/>
  <c r="A173" i="1"/>
  <c r="B173" i="1"/>
  <c r="C173" i="1"/>
  <c r="D173" i="1"/>
  <c r="E173" i="1"/>
  <c r="A4" i="1"/>
  <c r="B4" i="1"/>
  <c r="C4" i="1"/>
  <c r="D4" i="1"/>
  <c r="E4" i="1"/>
  <c r="A34" i="1"/>
  <c r="B34" i="1"/>
  <c r="C34" i="1"/>
  <c r="D34" i="1"/>
  <c r="E34" i="1"/>
  <c r="A38" i="1"/>
  <c r="B38" i="1"/>
  <c r="C38" i="1"/>
  <c r="D38" i="1"/>
  <c r="E38" i="1"/>
  <c r="A917" i="1"/>
  <c r="B917" i="1"/>
  <c r="C917" i="1"/>
  <c r="D917" i="1"/>
  <c r="E917" i="1"/>
  <c r="A14" i="1"/>
  <c r="B14" i="1"/>
  <c r="C14" i="1"/>
  <c r="D14" i="1"/>
  <c r="E14" i="1"/>
  <c r="A1065" i="1"/>
  <c r="B1065" i="1"/>
  <c r="C1065" i="1"/>
  <c r="D1065" i="1"/>
  <c r="E1065" i="1"/>
  <c r="A784" i="1"/>
  <c r="B784" i="1"/>
  <c r="C784" i="1"/>
  <c r="D784" i="1"/>
  <c r="E784" i="1"/>
  <c r="A789" i="1"/>
  <c r="B789" i="1"/>
  <c r="C789" i="1"/>
  <c r="D789" i="1"/>
  <c r="E789" i="1"/>
  <c r="A781" i="1"/>
  <c r="B781" i="1"/>
  <c r="C781" i="1"/>
  <c r="D781" i="1"/>
  <c r="E781" i="1"/>
  <c r="A782" i="1"/>
  <c r="B782" i="1"/>
  <c r="C782" i="1"/>
  <c r="D782" i="1"/>
  <c r="E782" i="1"/>
  <c r="A777" i="1"/>
  <c r="B777" i="1"/>
  <c r="C777" i="1"/>
  <c r="D777" i="1"/>
  <c r="E777" i="1"/>
  <c r="A813" i="1"/>
  <c r="B813" i="1"/>
  <c r="C813" i="1"/>
  <c r="D813" i="1"/>
  <c r="E813" i="1"/>
  <c r="A690" i="1"/>
  <c r="B690" i="1"/>
  <c r="C690" i="1"/>
  <c r="D690" i="1"/>
  <c r="E690" i="1"/>
  <c r="A665" i="1"/>
  <c r="B665" i="1"/>
  <c r="C665" i="1"/>
  <c r="D665" i="1"/>
  <c r="E665" i="1"/>
  <c r="A683" i="1"/>
  <c r="B683" i="1"/>
  <c r="C683" i="1"/>
  <c r="D683" i="1"/>
  <c r="E683" i="1"/>
  <c r="A163" i="1"/>
  <c r="B163" i="1"/>
  <c r="C163" i="1"/>
  <c r="D163" i="1"/>
  <c r="E163" i="1"/>
  <c r="A138" i="1"/>
  <c r="B138" i="1"/>
  <c r="C138" i="1"/>
  <c r="D138" i="1"/>
  <c r="E138" i="1"/>
  <c r="A264" i="1"/>
  <c r="B264" i="1"/>
  <c r="C264" i="1"/>
  <c r="D264" i="1"/>
  <c r="E264" i="1"/>
  <c r="A255" i="1"/>
  <c r="B255" i="1"/>
  <c r="C255" i="1"/>
  <c r="D255" i="1"/>
  <c r="E255" i="1"/>
  <c r="A282" i="1"/>
  <c r="B282" i="1"/>
  <c r="C282" i="1"/>
  <c r="D282" i="1"/>
  <c r="E282" i="1"/>
  <c r="A945" i="1"/>
  <c r="B945" i="1"/>
  <c r="C945" i="1"/>
  <c r="D945" i="1"/>
  <c r="E945" i="1"/>
  <c r="A1058" i="1"/>
  <c r="B1058" i="1"/>
  <c r="C1058" i="1"/>
  <c r="D1058" i="1"/>
  <c r="E1058" i="1"/>
  <c r="A1059" i="1"/>
  <c r="B1059" i="1"/>
  <c r="C1059" i="1"/>
  <c r="D1059" i="1"/>
  <c r="E1059" i="1"/>
  <c r="A1050" i="1"/>
  <c r="B1050" i="1"/>
  <c r="C1050" i="1"/>
  <c r="D1050" i="1"/>
  <c r="E1050" i="1"/>
  <c r="A1055" i="1"/>
  <c r="B1055" i="1"/>
  <c r="C1055" i="1"/>
  <c r="D1055" i="1"/>
  <c r="E105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66" i="1"/>
  <c r="B166" i="1"/>
  <c r="C166" i="1"/>
  <c r="D166" i="1"/>
  <c r="E166" i="1"/>
  <c r="A465" i="1"/>
  <c r="B465" i="1"/>
  <c r="C465" i="1"/>
  <c r="D465" i="1"/>
  <c r="E465" i="1"/>
  <c r="A468" i="1"/>
  <c r="B468" i="1"/>
  <c r="C468" i="1"/>
  <c r="D468" i="1"/>
  <c r="E468" i="1"/>
  <c r="A486" i="1"/>
  <c r="B486" i="1"/>
  <c r="C486" i="1"/>
  <c r="D486" i="1"/>
  <c r="E486" i="1"/>
  <c r="A475" i="1"/>
  <c r="B475" i="1"/>
  <c r="C475" i="1"/>
  <c r="D475" i="1"/>
  <c r="E475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399" i="1"/>
  <c r="B399" i="1"/>
  <c r="C399" i="1"/>
  <c r="D399" i="1"/>
  <c r="E399" i="1"/>
  <c r="A402" i="1"/>
  <c r="B402" i="1"/>
  <c r="C402" i="1"/>
  <c r="D402" i="1"/>
  <c r="E402" i="1"/>
  <c r="A403" i="1"/>
  <c r="B403" i="1"/>
  <c r="C403" i="1"/>
  <c r="D403" i="1"/>
  <c r="E403" i="1"/>
  <c r="A436" i="1"/>
  <c r="B436" i="1"/>
  <c r="C436" i="1"/>
  <c r="D436" i="1"/>
  <c r="E436" i="1"/>
  <c r="A432" i="1"/>
  <c r="B432" i="1"/>
  <c r="C432" i="1"/>
  <c r="D432" i="1"/>
  <c r="E432" i="1"/>
  <c r="A438" i="1"/>
  <c r="B438" i="1"/>
  <c r="C438" i="1"/>
  <c r="D438" i="1"/>
  <c r="E438" i="1"/>
  <c r="A422" i="1"/>
  <c r="B422" i="1"/>
  <c r="C422" i="1"/>
  <c r="D422" i="1"/>
  <c r="E422" i="1"/>
  <c r="A414" i="1"/>
  <c r="B414" i="1"/>
  <c r="C414" i="1"/>
  <c r="D414" i="1"/>
  <c r="E414" i="1"/>
  <c r="A412" i="1"/>
  <c r="B412" i="1"/>
  <c r="C412" i="1"/>
  <c r="D412" i="1"/>
  <c r="E412" i="1"/>
  <c r="A251" i="1"/>
  <c r="B251" i="1"/>
  <c r="C251" i="1"/>
  <c r="D251" i="1"/>
  <c r="E251" i="1"/>
  <c r="A953" i="1"/>
  <c r="B953" i="1"/>
  <c r="C953" i="1"/>
  <c r="D953" i="1"/>
  <c r="E953" i="1"/>
  <c r="A934" i="1"/>
  <c r="B934" i="1"/>
  <c r="C934" i="1"/>
  <c r="D934" i="1"/>
  <c r="E934" i="1"/>
  <c r="A935" i="1"/>
  <c r="B935" i="1"/>
  <c r="C935" i="1"/>
  <c r="D935" i="1"/>
  <c r="E935" i="1"/>
  <c r="A979" i="1"/>
  <c r="B979" i="1"/>
  <c r="C979" i="1"/>
  <c r="D979" i="1"/>
  <c r="E979" i="1"/>
  <c r="A1089" i="1"/>
  <c r="B1089" i="1"/>
  <c r="C1089" i="1"/>
  <c r="D1089" i="1"/>
  <c r="E1089" i="1"/>
  <c r="A129" i="1"/>
  <c r="B129" i="1"/>
  <c r="C129" i="1"/>
  <c r="D129" i="1"/>
  <c r="E129" i="1"/>
  <c r="A373" i="1"/>
  <c r="B373" i="1"/>
  <c r="C373" i="1"/>
  <c r="D373" i="1"/>
  <c r="E373" i="1"/>
  <c r="A407" i="1"/>
  <c r="B407" i="1"/>
  <c r="C407" i="1"/>
  <c r="D407" i="1"/>
  <c r="E407" i="1"/>
  <c r="A409" i="1"/>
  <c r="B409" i="1"/>
  <c r="C409" i="1"/>
  <c r="D409" i="1"/>
  <c r="E409" i="1"/>
  <c r="A396" i="1"/>
  <c r="B396" i="1"/>
  <c r="C396" i="1"/>
  <c r="D396" i="1"/>
  <c r="E396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793" i="1"/>
  <c r="B793" i="1"/>
  <c r="C793" i="1"/>
  <c r="D793" i="1"/>
  <c r="E793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1042" i="1"/>
  <c r="B1042" i="1"/>
  <c r="C1042" i="1"/>
  <c r="D1042" i="1"/>
  <c r="E1042" i="1"/>
  <c r="A1043" i="1"/>
  <c r="B1043" i="1"/>
  <c r="C1043" i="1"/>
  <c r="D1043" i="1"/>
  <c r="E1043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00" i="1"/>
  <c r="B800" i="1"/>
  <c r="C800" i="1"/>
  <c r="D800" i="1"/>
  <c r="E800" i="1"/>
  <c r="A801" i="1"/>
  <c r="B801" i="1"/>
  <c r="C801" i="1"/>
  <c r="D801" i="1"/>
  <c r="E801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06" i="1"/>
  <c r="B806" i="1"/>
  <c r="C806" i="1"/>
  <c r="D806" i="1"/>
  <c r="E806" i="1"/>
  <c r="A807" i="1"/>
  <c r="B807" i="1"/>
  <c r="C807" i="1"/>
  <c r="D807" i="1"/>
  <c r="E807" i="1"/>
  <c r="A812" i="1"/>
  <c r="B812" i="1"/>
  <c r="C812" i="1"/>
  <c r="D812" i="1"/>
  <c r="E812" i="1"/>
  <c r="A809" i="1"/>
  <c r="B809" i="1"/>
  <c r="C809" i="1"/>
  <c r="D809" i="1"/>
  <c r="E809" i="1"/>
  <c r="A810" i="1"/>
  <c r="B810" i="1"/>
  <c r="C810" i="1"/>
  <c r="D810" i="1"/>
  <c r="E810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18" i="1"/>
  <c r="B818" i="1"/>
  <c r="C818" i="1"/>
  <c r="D818" i="1"/>
  <c r="E818" i="1"/>
  <c r="A819" i="1"/>
  <c r="B819" i="1"/>
  <c r="C819" i="1"/>
  <c r="D819" i="1"/>
  <c r="E819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923" i="1"/>
  <c r="B923" i="1"/>
  <c r="C923" i="1"/>
  <c r="D923" i="1"/>
  <c r="E923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693" i="1"/>
  <c r="B693" i="1"/>
  <c r="C693" i="1"/>
  <c r="D693" i="1"/>
  <c r="E693" i="1"/>
  <c r="A754" i="1"/>
  <c r="B754" i="1"/>
  <c r="C754" i="1"/>
  <c r="D754" i="1"/>
  <c r="E754" i="1"/>
  <c r="A914" i="1"/>
  <c r="B914" i="1"/>
  <c r="C914" i="1"/>
  <c r="D914" i="1"/>
  <c r="E914" i="1"/>
  <c r="A915" i="1"/>
  <c r="B915" i="1"/>
  <c r="C915" i="1"/>
  <c r="D915" i="1"/>
  <c r="E915" i="1"/>
  <c r="A916" i="1"/>
  <c r="B916" i="1"/>
  <c r="C916" i="1"/>
  <c r="D916" i="1"/>
  <c r="E916" i="1"/>
  <c r="A918" i="1"/>
  <c r="B918" i="1"/>
  <c r="C918" i="1"/>
  <c r="D918" i="1"/>
  <c r="E918" i="1"/>
  <c r="A919" i="1"/>
  <c r="B919" i="1"/>
  <c r="C919" i="1"/>
  <c r="D919" i="1"/>
  <c r="E919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668" i="1"/>
  <c r="B668" i="1"/>
  <c r="C668" i="1"/>
  <c r="D668" i="1"/>
  <c r="E668" i="1"/>
  <c r="A669" i="1"/>
  <c r="B669" i="1"/>
  <c r="C669" i="1"/>
  <c r="D669" i="1"/>
  <c r="E669" i="1"/>
  <c r="A670" i="1"/>
  <c r="B670" i="1"/>
  <c r="C670" i="1"/>
  <c r="D670" i="1"/>
  <c r="E670" i="1"/>
  <c r="A664" i="1"/>
  <c r="B664" i="1"/>
  <c r="C664" i="1"/>
  <c r="D664" i="1"/>
  <c r="E664" i="1"/>
  <c r="A674" i="1"/>
  <c r="B674" i="1"/>
  <c r="C674" i="1"/>
  <c r="D674" i="1"/>
  <c r="E674" i="1"/>
  <c r="A1060" i="1"/>
  <c r="B1060" i="1"/>
  <c r="C1060" i="1"/>
  <c r="D1060" i="1"/>
  <c r="E1060" i="1"/>
  <c r="A220" i="1"/>
  <c r="B220" i="1"/>
  <c r="C220" i="1"/>
  <c r="D220" i="1"/>
  <c r="E220" i="1"/>
  <c r="A219" i="1"/>
  <c r="B219" i="1"/>
  <c r="C219" i="1"/>
  <c r="D219" i="1"/>
  <c r="E219" i="1"/>
  <c r="A197" i="1"/>
  <c r="B197" i="1"/>
  <c r="C197" i="1"/>
  <c r="D197" i="1"/>
  <c r="E197" i="1"/>
  <c r="A221" i="1"/>
  <c r="B221" i="1"/>
  <c r="C221" i="1"/>
  <c r="D221" i="1"/>
  <c r="E221" i="1"/>
  <c r="A1103" i="1"/>
  <c r="B1103" i="1"/>
  <c r="C1103" i="1"/>
  <c r="D1103" i="1"/>
  <c r="E1103" i="1"/>
  <c r="A1136" i="1"/>
  <c r="B1136" i="1"/>
  <c r="C1136" i="1"/>
  <c r="D1136" i="1"/>
  <c r="E1136" i="1"/>
  <c r="A293" i="1"/>
  <c r="B293" i="1"/>
  <c r="C293" i="1"/>
  <c r="D293" i="1"/>
  <c r="E293" i="1"/>
  <c r="A479" i="1"/>
  <c r="B479" i="1"/>
  <c r="C479" i="1"/>
  <c r="D479" i="1"/>
  <c r="E479" i="1"/>
  <c r="A458" i="1"/>
  <c r="B458" i="1"/>
  <c r="C458" i="1"/>
  <c r="D458" i="1"/>
  <c r="E458" i="1"/>
  <c r="A939" i="1"/>
  <c r="B939" i="1"/>
  <c r="C939" i="1"/>
  <c r="D939" i="1"/>
  <c r="E939" i="1"/>
  <c r="A703" i="1"/>
  <c r="B703" i="1"/>
  <c r="C703" i="1"/>
  <c r="D703" i="1"/>
  <c r="E703" i="1"/>
  <c r="A691" i="1"/>
  <c r="B691" i="1"/>
  <c r="C691" i="1"/>
  <c r="D691" i="1"/>
  <c r="E691" i="1"/>
  <c r="A698" i="1"/>
  <c r="B698" i="1"/>
  <c r="C698" i="1"/>
  <c r="D698" i="1"/>
  <c r="E698" i="1"/>
  <c r="A700" i="1"/>
  <c r="B700" i="1"/>
  <c r="C700" i="1"/>
  <c r="D700" i="1"/>
  <c r="E700" i="1"/>
  <c r="A947" i="1"/>
  <c r="B947" i="1"/>
  <c r="C947" i="1"/>
  <c r="D947" i="1"/>
  <c r="E947" i="1"/>
  <c r="A910" i="1"/>
  <c r="B910" i="1"/>
  <c r="C910" i="1"/>
  <c r="D910" i="1"/>
  <c r="E910" i="1"/>
  <c r="A1064" i="1"/>
  <c r="B1064" i="1"/>
  <c r="C1064" i="1"/>
  <c r="D1064" i="1"/>
  <c r="E1064" i="1"/>
  <c r="A1046" i="1"/>
  <c r="B1046" i="1"/>
  <c r="C1046" i="1"/>
  <c r="D1046" i="1"/>
  <c r="E1046" i="1"/>
  <c r="A1091" i="1"/>
  <c r="B1091" i="1"/>
  <c r="C1091" i="1"/>
  <c r="D1091" i="1"/>
  <c r="E1091" i="1"/>
  <c r="A1096" i="1"/>
  <c r="B1096" i="1"/>
  <c r="C1096" i="1"/>
  <c r="D1096" i="1"/>
  <c r="E1096" i="1"/>
  <c r="A1107" i="1"/>
  <c r="B1107" i="1"/>
  <c r="C1107" i="1"/>
  <c r="D1107" i="1"/>
  <c r="E1107" i="1"/>
  <c r="A1112" i="1"/>
  <c r="B1112" i="1"/>
  <c r="C1112" i="1"/>
  <c r="D1112" i="1"/>
  <c r="E1112" i="1"/>
  <c r="A1100" i="1"/>
  <c r="B1100" i="1"/>
  <c r="C1100" i="1"/>
  <c r="D1100" i="1"/>
  <c r="E1100" i="1"/>
  <c r="A1101" i="1"/>
  <c r="B1101" i="1"/>
  <c r="C1101" i="1"/>
  <c r="D1101" i="1"/>
  <c r="E1101" i="1"/>
  <c r="A884" i="1"/>
  <c r="B884" i="1"/>
  <c r="C884" i="1"/>
  <c r="D884" i="1"/>
  <c r="E884" i="1"/>
  <c r="A878" i="1"/>
  <c r="B878" i="1"/>
  <c r="C878" i="1"/>
  <c r="D878" i="1"/>
  <c r="E878" i="1"/>
  <c r="A904" i="1"/>
  <c r="B904" i="1"/>
  <c r="C904" i="1"/>
  <c r="D904" i="1"/>
  <c r="E904" i="1"/>
  <c r="A899" i="1"/>
  <c r="B899" i="1"/>
  <c r="C899" i="1"/>
  <c r="D899" i="1"/>
  <c r="E899" i="1"/>
  <c r="A900" i="1"/>
  <c r="B900" i="1"/>
  <c r="C900" i="1"/>
  <c r="D900" i="1"/>
  <c r="E900" i="1"/>
  <c r="A896" i="1"/>
  <c r="B896" i="1"/>
  <c r="C896" i="1"/>
  <c r="D896" i="1"/>
  <c r="E896" i="1"/>
  <c r="A890" i="1"/>
  <c r="B890" i="1"/>
  <c r="C890" i="1"/>
  <c r="D890" i="1"/>
  <c r="E890" i="1"/>
  <c r="A892" i="1"/>
  <c r="B892" i="1"/>
  <c r="C892" i="1"/>
  <c r="D892" i="1"/>
  <c r="E892" i="1"/>
  <c r="A893" i="1"/>
  <c r="B893" i="1"/>
  <c r="C893" i="1"/>
  <c r="D893" i="1"/>
  <c r="E893" i="1"/>
  <c r="A894" i="1"/>
  <c r="B894" i="1"/>
  <c r="C894" i="1"/>
  <c r="D894" i="1"/>
  <c r="E894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36" i="1"/>
  <c r="B136" i="1"/>
  <c r="C136" i="1"/>
  <c r="D136" i="1"/>
  <c r="E136" i="1"/>
  <c r="A273" i="1"/>
  <c r="B273" i="1"/>
  <c r="C273" i="1"/>
  <c r="D273" i="1"/>
  <c r="E273" i="1"/>
  <c r="A263" i="1"/>
  <c r="B263" i="1"/>
  <c r="C263" i="1"/>
  <c r="D263" i="1"/>
  <c r="E263" i="1"/>
  <c r="A259" i="1"/>
  <c r="B259" i="1"/>
  <c r="C259" i="1"/>
  <c r="D259" i="1"/>
  <c r="E259" i="1"/>
  <c r="A257" i="1"/>
  <c r="B257" i="1"/>
  <c r="C257" i="1"/>
  <c r="D257" i="1"/>
  <c r="E257" i="1"/>
  <c r="A254" i="1"/>
  <c r="B254" i="1"/>
  <c r="C254" i="1"/>
  <c r="D254" i="1"/>
  <c r="E254" i="1"/>
  <c r="A835" i="1"/>
  <c r="B835" i="1"/>
  <c r="C835" i="1"/>
  <c r="D835" i="1"/>
  <c r="E835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11" i="1"/>
  <c r="B111" i="1"/>
  <c r="C111" i="1"/>
  <c r="D111" i="1"/>
  <c r="E111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27" i="1"/>
  <c r="B127" i="1"/>
  <c r="C127" i="1"/>
  <c r="D127" i="1"/>
  <c r="E127" i="1"/>
  <c r="A147" i="1"/>
  <c r="B147" i="1"/>
  <c r="C147" i="1"/>
  <c r="D147" i="1"/>
  <c r="E147" i="1"/>
  <c r="A57" i="1"/>
  <c r="B57" i="1"/>
  <c r="C57" i="1"/>
  <c r="D57" i="1"/>
  <c r="E57" i="1"/>
  <c r="A529" i="1"/>
  <c r="B529" i="1"/>
  <c r="C529" i="1"/>
  <c r="D529" i="1"/>
  <c r="E529" i="1"/>
  <c r="A602" i="1"/>
  <c r="B602" i="1"/>
  <c r="C602" i="1"/>
  <c r="D602" i="1"/>
  <c r="E602" i="1"/>
  <c r="A459" i="1"/>
  <c r="B459" i="1"/>
  <c r="C459" i="1"/>
  <c r="D459" i="1"/>
  <c r="E459" i="1"/>
  <c r="A463" i="1"/>
  <c r="B463" i="1"/>
  <c r="C463" i="1"/>
  <c r="D463" i="1"/>
  <c r="E463" i="1"/>
  <c r="A480" i="1"/>
  <c r="B480" i="1"/>
  <c r="C480" i="1"/>
  <c r="D480" i="1"/>
  <c r="E480" i="1"/>
  <c r="A385" i="1"/>
  <c r="B385" i="1"/>
  <c r="C385" i="1"/>
  <c r="D385" i="1"/>
  <c r="E385" i="1"/>
  <c r="A386" i="1"/>
  <c r="B386" i="1"/>
  <c r="C386" i="1"/>
  <c r="D386" i="1"/>
  <c r="E386" i="1"/>
  <c r="A434" i="1"/>
  <c r="B434" i="1"/>
  <c r="C434" i="1"/>
  <c r="D434" i="1"/>
  <c r="E434" i="1"/>
  <c r="A134" i="1"/>
  <c r="B134" i="1"/>
  <c r="C134" i="1"/>
  <c r="D134" i="1"/>
  <c r="E134" i="1"/>
  <c r="A155" i="1"/>
  <c r="B155" i="1"/>
  <c r="C155" i="1"/>
  <c r="D155" i="1"/>
  <c r="E155" i="1"/>
  <c r="A689" i="1"/>
  <c r="B689" i="1"/>
  <c r="C689" i="1"/>
  <c r="D689" i="1"/>
  <c r="E689" i="1"/>
  <c r="A688" i="1"/>
  <c r="B688" i="1"/>
  <c r="C688" i="1"/>
  <c r="D688" i="1"/>
  <c r="E688" i="1"/>
  <c r="A697" i="1"/>
  <c r="B697" i="1"/>
  <c r="C697" i="1"/>
  <c r="D697" i="1"/>
  <c r="E697" i="1"/>
  <c r="A702" i="1"/>
  <c r="B702" i="1"/>
  <c r="C702" i="1"/>
  <c r="D702" i="1"/>
  <c r="E702" i="1"/>
  <c r="A727" i="1"/>
  <c r="B727" i="1"/>
  <c r="C727" i="1"/>
  <c r="D727" i="1"/>
  <c r="E727" i="1"/>
  <c r="A791" i="1"/>
  <c r="B791" i="1"/>
  <c r="C791" i="1"/>
  <c r="D791" i="1"/>
  <c r="E791" i="1"/>
  <c r="A773" i="1"/>
  <c r="B773" i="1"/>
  <c r="C773" i="1"/>
  <c r="D773" i="1"/>
  <c r="E773" i="1"/>
  <c r="A560" i="1"/>
  <c r="B560" i="1"/>
  <c r="C560" i="1"/>
  <c r="D560" i="1"/>
  <c r="E560" i="1"/>
  <c r="A561" i="1"/>
  <c r="B561" i="1"/>
  <c r="C561" i="1"/>
  <c r="D561" i="1"/>
  <c r="E561" i="1"/>
  <c r="A562" i="1"/>
  <c r="B562" i="1"/>
  <c r="C562" i="1"/>
  <c r="D562" i="1"/>
  <c r="E562" i="1"/>
  <c r="A387" i="1"/>
  <c r="B387" i="1"/>
  <c r="C387" i="1"/>
  <c r="D387" i="1"/>
  <c r="E387" i="1"/>
  <c r="A383" i="1"/>
  <c r="B383" i="1"/>
  <c r="C383" i="1"/>
  <c r="D383" i="1"/>
  <c r="E383" i="1"/>
  <c r="A523" i="1"/>
  <c r="B523" i="1"/>
  <c r="C523" i="1"/>
  <c r="D523" i="1"/>
  <c r="E523" i="1"/>
  <c r="A471" i="1"/>
  <c r="B471" i="1"/>
  <c r="C471" i="1"/>
  <c r="D471" i="1"/>
  <c r="E471" i="1"/>
  <c r="A476" i="1"/>
  <c r="B476" i="1"/>
  <c r="C476" i="1"/>
  <c r="D476" i="1"/>
  <c r="E476" i="1"/>
  <c r="A453" i="1"/>
  <c r="B453" i="1"/>
  <c r="C453" i="1"/>
  <c r="D453" i="1"/>
  <c r="E453" i="1"/>
  <c r="A464" i="1"/>
  <c r="B464" i="1"/>
  <c r="C464" i="1"/>
  <c r="D464" i="1"/>
  <c r="E464" i="1"/>
  <c r="A66" i="1"/>
  <c r="B66" i="1"/>
  <c r="C66" i="1"/>
  <c r="D66" i="1"/>
  <c r="E66" i="1"/>
  <c r="A131" i="1"/>
  <c r="B131" i="1"/>
  <c r="C131" i="1"/>
  <c r="D131" i="1"/>
  <c r="E131" i="1"/>
  <c r="A667" i="1"/>
  <c r="B667" i="1"/>
  <c r="C667" i="1"/>
  <c r="D667" i="1"/>
  <c r="E667" i="1"/>
  <c r="A941" i="1"/>
  <c r="B941" i="1"/>
  <c r="C941" i="1"/>
  <c r="D941" i="1"/>
  <c r="E941" i="1"/>
  <c r="A865" i="1"/>
  <c r="B865" i="1"/>
  <c r="C865" i="1"/>
  <c r="D865" i="1"/>
  <c r="E865" i="1"/>
  <c r="A862" i="1"/>
  <c r="B862" i="1"/>
  <c r="C862" i="1"/>
  <c r="D862" i="1"/>
  <c r="E862" i="1"/>
  <c r="A617" i="1"/>
  <c r="B617" i="1"/>
  <c r="C617" i="1"/>
  <c r="D617" i="1"/>
  <c r="E617" i="1"/>
  <c r="A643" i="1"/>
  <c r="B643" i="1"/>
  <c r="C643" i="1"/>
  <c r="D643" i="1"/>
  <c r="E643" i="1"/>
  <c r="A326" i="1"/>
  <c r="B326" i="1"/>
  <c r="C326" i="1"/>
  <c r="D326" i="1"/>
  <c r="E326" i="1"/>
  <c r="A324" i="1"/>
  <c r="B324" i="1"/>
  <c r="C324" i="1"/>
  <c r="D324" i="1"/>
  <c r="E324" i="1"/>
  <c r="A416" i="1"/>
  <c r="B416" i="1"/>
  <c r="C416" i="1"/>
  <c r="D416" i="1"/>
  <c r="E416" i="1"/>
  <c r="A427" i="1"/>
  <c r="B427" i="1"/>
  <c r="C427" i="1"/>
  <c r="D427" i="1"/>
  <c r="E427" i="1"/>
  <c r="A425" i="1"/>
  <c r="B425" i="1"/>
  <c r="C425" i="1"/>
  <c r="D425" i="1"/>
  <c r="E425" i="1"/>
  <c r="A56" i="1"/>
  <c r="B56" i="1"/>
  <c r="C56" i="1"/>
  <c r="D56" i="1"/>
  <c r="E56" i="1"/>
  <c r="A114" i="1"/>
  <c r="B114" i="1"/>
  <c r="C114" i="1"/>
  <c r="D114" i="1"/>
  <c r="E114" i="1"/>
  <c r="A247" i="1"/>
  <c r="B247" i="1"/>
  <c r="C247" i="1"/>
  <c r="D247" i="1"/>
  <c r="E247" i="1"/>
  <c r="A289" i="1"/>
  <c r="B289" i="1"/>
  <c r="C289" i="1"/>
  <c r="D289" i="1"/>
  <c r="E289" i="1"/>
  <c r="A233" i="1"/>
  <c r="B233" i="1"/>
  <c r="C233" i="1"/>
  <c r="D233" i="1"/>
  <c r="E233" i="1"/>
  <c r="A213" i="1"/>
  <c r="B213" i="1"/>
  <c r="C213" i="1"/>
  <c r="D213" i="1"/>
  <c r="E213" i="1"/>
  <c r="A212" i="1"/>
  <c r="B212" i="1"/>
  <c r="C212" i="1"/>
  <c r="D212" i="1"/>
  <c r="E212" i="1"/>
  <c r="A215" i="1"/>
  <c r="B215" i="1"/>
  <c r="C215" i="1"/>
  <c r="D215" i="1"/>
  <c r="E215" i="1"/>
  <c r="A216" i="1"/>
  <c r="B216" i="1"/>
  <c r="C216" i="1"/>
  <c r="D216" i="1"/>
  <c r="E216" i="1"/>
  <c r="A951" i="1"/>
  <c r="B951" i="1"/>
  <c r="C951" i="1"/>
  <c r="D951" i="1"/>
  <c r="E951" i="1"/>
  <c r="A527" i="1"/>
  <c r="B527" i="1"/>
  <c r="C527" i="1"/>
  <c r="D527" i="1"/>
  <c r="E527" i="1"/>
  <c r="A473" i="1"/>
  <c r="B473" i="1"/>
  <c r="C473" i="1"/>
  <c r="D473" i="1"/>
  <c r="E473" i="1"/>
  <c r="A443" i="1"/>
  <c r="B443" i="1"/>
  <c r="C443" i="1"/>
  <c r="D443" i="1"/>
  <c r="E443" i="1"/>
  <c r="A285" i="1"/>
  <c r="B285" i="1"/>
  <c r="C285" i="1"/>
  <c r="D285" i="1"/>
  <c r="E285" i="1"/>
  <c r="A250" i="1"/>
  <c r="B250" i="1"/>
  <c r="C250" i="1"/>
  <c r="D250" i="1"/>
  <c r="E250" i="1"/>
  <c r="A329" i="1"/>
  <c r="B329" i="1"/>
  <c r="C329" i="1"/>
  <c r="D329" i="1"/>
  <c r="E329" i="1"/>
  <c r="A332" i="1"/>
  <c r="B332" i="1"/>
  <c r="C332" i="1"/>
  <c r="D332" i="1"/>
  <c r="E332" i="1"/>
  <c r="A575" i="1"/>
  <c r="B575" i="1"/>
  <c r="C575" i="1"/>
  <c r="D575" i="1"/>
  <c r="E575" i="1"/>
  <c r="A569" i="1"/>
  <c r="B569" i="1"/>
  <c r="C569" i="1"/>
  <c r="D569" i="1"/>
  <c r="E569" i="1"/>
  <c r="A79" i="1"/>
  <c r="B79" i="1"/>
  <c r="C79" i="1"/>
  <c r="D79" i="1"/>
  <c r="E79" i="1"/>
  <c r="A811" i="1"/>
  <c r="B811" i="1"/>
  <c r="C811" i="1"/>
  <c r="D811" i="1"/>
  <c r="E811" i="1"/>
  <c r="A798" i="1"/>
  <c r="B798" i="1"/>
  <c r="C798" i="1"/>
  <c r="D798" i="1"/>
  <c r="E798" i="1"/>
  <c r="A873" i="1"/>
  <c r="B873" i="1"/>
  <c r="C873" i="1"/>
  <c r="D873" i="1"/>
  <c r="E873" i="1"/>
  <c r="A942" i="1"/>
  <c r="B942" i="1"/>
  <c r="C942" i="1"/>
  <c r="D942" i="1"/>
  <c r="E942" i="1"/>
  <c r="A946" i="1"/>
  <c r="B946" i="1"/>
  <c r="C946" i="1"/>
  <c r="D946" i="1"/>
  <c r="E946" i="1"/>
  <c r="A1069" i="1"/>
  <c r="B1069" i="1"/>
  <c r="C1069" i="1"/>
  <c r="D1069" i="1"/>
  <c r="E1069" i="1"/>
  <c r="A237" i="1"/>
  <c r="B237" i="1"/>
  <c r="C237" i="1"/>
  <c r="D237" i="1"/>
  <c r="E237" i="1"/>
  <c r="A146" i="1"/>
  <c r="B146" i="1"/>
  <c r="C146" i="1"/>
  <c r="D146" i="1"/>
  <c r="E146" i="1"/>
  <c r="A63" i="1"/>
  <c r="B63" i="1"/>
  <c r="C63" i="1"/>
  <c r="D63" i="1"/>
  <c r="E63" i="1"/>
  <c r="A538" i="1"/>
  <c r="B538" i="1"/>
  <c r="C538" i="1"/>
  <c r="D538" i="1"/>
  <c r="E538" i="1"/>
  <c r="A271" i="1"/>
  <c r="B271" i="1"/>
  <c r="C271" i="1"/>
  <c r="D271" i="1"/>
  <c r="E271" i="1"/>
  <c r="A274" i="1"/>
  <c r="B274" i="1"/>
  <c r="C274" i="1"/>
  <c r="D274" i="1"/>
  <c r="E274" i="1"/>
  <c r="A275" i="1"/>
  <c r="B275" i="1"/>
  <c r="C275" i="1"/>
  <c r="D275" i="1"/>
  <c r="E275" i="1"/>
  <c r="A253" i="1"/>
  <c r="B253" i="1"/>
  <c r="C253" i="1"/>
  <c r="D253" i="1"/>
  <c r="E253" i="1"/>
  <c r="A279" i="1"/>
  <c r="B279" i="1"/>
  <c r="C279" i="1"/>
  <c r="D279" i="1"/>
  <c r="E279" i="1"/>
  <c r="A290" i="1"/>
  <c r="B290" i="1"/>
  <c r="C290" i="1"/>
  <c r="D290" i="1"/>
  <c r="E290" i="1"/>
  <c r="A236" i="1"/>
  <c r="B236" i="1"/>
  <c r="C236" i="1"/>
  <c r="D236" i="1"/>
  <c r="E236" i="1"/>
  <c r="A265" i="1"/>
  <c r="B265" i="1"/>
  <c r="C265" i="1"/>
  <c r="D265" i="1"/>
  <c r="E265" i="1"/>
  <c r="A252" i="1"/>
  <c r="B252" i="1"/>
  <c r="C252" i="1"/>
  <c r="D252" i="1"/>
  <c r="E252" i="1"/>
  <c r="A805" i="1"/>
  <c r="B805" i="1"/>
  <c r="C805" i="1"/>
  <c r="D805" i="1"/>
  <c r="E805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117" i="1"/>
  <c r="B117" i="1"/>
  <c r="C117" i="1"/>
  <c r="D117" i="1"/>
  <c r="E117" i="1"/>
  <c r="A171" i="1"/>
  <c r="B171" i="1"/>
  <c r="C171" i="1"/>
  <c r="D171" i="1"/>
  <c r="E171" i="1"/>
  <c r="A248" i="1"/>
  <c r="B248" i="1"/>
  <c r="C248" i="1"/>
  <c r="D248" i="1"/>
  <c r="E248" i="1"/>
  <c r="A256" i="1"/>
  <c r="B256" i="1"/>
  <c r="C256" i="1"/>
  <c r="D256" i="1"/>
  <c r="E256" i="1"/>
  <c r="A266" i="1"/>
  <c r="B266" i="1"/>
  <c r="C266" i="1"/>
  <c r="D266" i="1"/>
  <c r="E266" i="1"/>
  <c r="A291" i="1"/>
  <c r="B291" i="1"/>
  <c r="C291" i="1"/>
  <c r="D291" i="1"/>
  <c r="E291" i="1"/>
  <c r="A270" i="1"/>
  <c r="B270" i="1"/>
  <c r="C270" i="1"/>
  <c r="D270" i="1"/>
  <c r="E270" i="1"/>
  <c r="A587" i="1"/>
  <c r="B587" i="1"/>
  <c r="C587" i="1"/>
  <c r="D587" i="1"/>
  <c r="E587" i="1"/>
  <c r="A554" i="1"/>
  <c r="B554" i="1"/>
  <c r="C554" i="1"/>
  <c r="D554" i="1"/>
  <c r="E554" i="1"/>
  <c r="A556" i="1"/>
  <c r="B556" i="1"/>
  <c r="C556" i="1"/>
  <c r="D556" i="1"/>
  <c r="E556" i="1"/>
  <c r="A549" i="1"/>
  <c r="B549" i="1"/>
  <c r="C549" i="1"/>
  <c r="D549" i="1"/>
  <c r="E549" i="1"/>
  <c r="A532" i="1"/>
  <c r="B532" i="1"/>
  <c r="C532" i="1"/>
  <c r="D532" i="1"/>
  <c r="E532" i="1"/>
  <c r="A553" i="1"/>
  <c r="B553" i="1"/>
  <c r="C553" i="1"/>
  <c r="D553" i="1"/>
  <c r="E553" i="1"/>
  <c r="A537" i="1"/>
  <c r="B537" i="1"/>
  <c r="C537" i="1"/>
  <c r="D537" i="1"/>
  <c r="E537" i="1"/>
  <c r="A528" i="1"/>
  <c r="B528" i="1"/>
  <c r="C528" i="1"/>
  <c r="D528" i="1"/>
  <c r="E528" i="1"/>
  <c r="A91" i="1"/>
  <c r="B91" i="1"/>
  <c r="C91" i="1"/>
  <c r="D91" i="1"/>
  <c r="E91" i="1"/>
  <c r="A92" i="1"/>
  <c r="B92" i="1"/>
  <c r="C92" i="1"/>
  <c r="D92" i="1"/>
  <c r="E92" i="1"/>
  <c r="A391" i="1"/>
  <c r="B391" i="1"/>
  <c r="C391" i="1"/>
  <c r="D391" i="1"/>
  <c r="E391" i="1"/>
  <c r="A389" i="1"/>
  <c r="B389" i="1"/>
  <c r="C389" i="1"/>
  <c r="D389" i="1"/>
  <c r="E389" i="1"/>
  <c r="A406" i="1"/>
  <c r="B406" i="1"/>
  <c r="C406" i="1"/>
  <c r="D406" i="1"/>
  <c r="E406" i="1"/>
  <c r="A466" i="1"/>
  <c r="B466" i="1"/>
  <c r="C466" i="1"/>
  <c r="D466" i="1"/>
  <c r="E466" i="1"/>
  <c r="A460" i="1"/>
  <c r="B460" i="1"/>
  <c r="C460" i="1"/>
  <c r="D460" i="1"/>
  <c r="E460" i="1"/>
  <c r="A461" i="1"/>
  <c r="B461" i="1"/>
  <c r="C461" i="1"/>
  <c r="D461" i="1"/>
  <c r="E461" i="1"/>
  <c r="A462" i="1"/>
  <c r="B462" i="1"/>
  <c r="C462" i="1"/>
  <c r="D462" i="1"/>
  <c r="E462" i="1"/>
  <c r="A469" i="1"/>
  <c r="B469" i="1"/>
  <c r="C469" i="1"/>
  <c r="D469" i="1"/>
  <c r="E469" i="1"/>
  <c r="A524" i="1"/>
  <c r="B524" i="1"/>
  <c r="C524" i="1"/>
  <c r="D524" i="1"/>
  <c r="E524" i="1"/>
  <c r="A566" i="1"/>
  <c r="B566" i="1"/>
  <c r="C566" i="1"/>
  <c r="D566" i="1"/>
  <c r="E566" i="1"/>
  <c r="A440" i="1"/>
  <c r="B440" i="1"/>
  <c r="C440" i="1"/>
  <c r="D440" i="1"/>
  <c r="E440" i="1"/>
  <c r="A441" i="1"/>
  <c r="B441" i="1"/>
  <c r="C441" i="1"/>
  <c r="D441" i="1"/>
  <c r="E441" i="1"/>
  <c r="A437" i="1"/>
  <c r="B437" i="1"/>
  <c r="C437" i="1"/>
  <c r="D437" i="1"/>
  <c r="E437" i="1"/>
  <c r="A423" i="1"/>
  <c r="B423" i="1"/>
  <c r="C423" i="1"/>
  <c r="D423" i="1"/>
  <c r="E423" i="1"/>
  <c r="A413" i="1"/>
  <c r="B413" i="1"/>
  <c r="C413" i="1"/>
  <c r="D413" i="1"/>
  <c r="E413" i="1"/>
  <c r="A415" i="1"/>
  <c r="B415" i="1"/>
  <c r="C415" i="1"/>
  <c r="D415" i="1"/>
  <c r="E415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381" i="1"/>
  <c r="B381" i="1"/>
  <c r="C381" i="1"/>
  <c r="D381" i="1"/>
  <c r="E381" i="1"/>
  <c r="A662" i="1"/>
  <c r="B662" i="1"/>
  <c r="C662" i="1"/>
  <c r="D662" i="1"/>
  <c r="E662" i="1"/>
  <c r="A682" i="1"/>
  <c r="B682" i="1"/>
  <c r="C682" i="1"/>
  <c r="D682" i="1"/>
  <c r="E682" i="1"/>
  <c r="A346" i="1"/>
  <c r="B346" i="1"/>
  <c r="C346" i="1"/>
  <c r="D346" i="1"/>
  <c r="E346" i="1"/>
  <c r="A347" i="1"/>
  <c r="B347" i="1"/>
  <c r="C347" i="1"/>
  <c r="D347" i="1"/>
  <c r="E347" i="1"/>
  <c r="A340" i="1"/>
  <c r="B340" i="1"/>
  <c r="C340" i="1"/>
  <c r="D340" i="1"/>
  <c r="E340" i="1"/>
  <c r="A260" i="1"/>
  <c r="B260" i="1"/>
  <c r="C260" i="1"/>
  <c r="D260" i="1"/>
  <c r="E260" i="1"/>
  <c r="A314" i="1"/>
  <c r="B314" i="1"/>
  <c r="C314" i="1"/>
  <c r="D314" i="1"/>
  <c r="E314" i="1"/>
  <c r="A429" i="1"/>
  <c r="B429" i="1"/>
  <c r="C429" i="1"/>
  <c r="D429" i="1"/>
  <c r="E429" i="1"/>
  <c r="A430" i="1"/>
  <c r="B430" i="1"/>
  <c r="C430" i="1"/>
  <c r="D430" i="1"/>
  <c r="E430" i="1"/>
  <c r="A431" i="1"/>
  <c r="B431" i="1"/>
  <c r="C431" i="1"/>
  <c r="D431" i="1"/>
  <c r="E431" i="1"/>
  <c r="A882" i="1"/>
  <c r="B882" i="1"/>
  <c r="C882" i="1"/>
  <c r="D882" i="1"/>
  <c r="E882" i="1"/>
  <c r="A883" i="1"/>
  <c r="B883" i="1"/>
  <c r="C883" i="1"/>
  <c r="D883" i="1"/>
  <c r="E883" i="1"/>
  <c r="A829" i="1"/>
  <c r="B829" i="1"/>
  <c r="C829" i="1"/>
  <c r="D829" i="1"/>
  <c r="E829" i="1"/>
  <c r="A902" i="1"/>
  <c r="B902" i="1"/>
  <c r="C902" i="1"/>
  <c r="D902" i="1"/>
  <c r="E902" i="1"/>
  <c r="A820" i="1"/>
  <c r="B820" i="1"/>
  <c r="C820" i="1"/>
  <c r="D820" i="1"/>
  <c r="E820" i="1"/>
  <c r="A775" i="1"/>
  <c r="B775" i="1"/>
  <c r="C775" i="1"/>
  <c r="D775" i="1"/>
  <c r="E775" i="1"/>
  <c r="A778" i="1"/>
  <c r="B778" i="1"/>
  <c r="C778" i="1"/>
  <c r="D778" i="1"/>
  <c r="E778" i="1"/>
  <c r="A779" i="1"/>
  <c r="B779" i="1"/>
  <c r="C779" i="1"/>
  <c r="D779" i="1"/>
  <c r="E779" i="1"/>
  <c r="A692" i="1"/>
  <c r="B692" i="1"/>
  <c r="C692" i="1"/>
  <c r="D692" i="1"/>
  <c r="E692" i="1"/>
  <c r="A661" i="1"/>
  <c r="B661" i="1"/>
  <c r="C661" i="1"/>
  <c r="D661" i="1"/>
  <c r="E661" i="1"/>
  <c r="A1057" i="1"/>
  <c r="B1057" i="1"/>
  <c r="C1057" i="1"/>
  <c r="D1057" i="1"/>
  <c r="E1057" i="1"/>
  <c r="A1082" i="1"/>
  <c r="B1082" i="1"/>
  <c r="C1082" i="1"/>
  <c r="D1082" i="1"/>
  <c r="E1082" i="1"/>
  <c r="A1106" i="1"/>
  <c r="B1106" i="1"/>
  <c r="C1106" i="1"/>
  <c r="D1106" i="1"/>
  <c r="E1106" i="1"/>
  <c r="A1083" i="1"/>
  <c r="B1083" i="1"/>
  <c r="C1083" i="1"/>
  <c r="D1083" i="1"/>
  <c r="E1083" i="1"/>
  <c r="A1086" i="1"/>
  <c r="B1086" i="1"/>
  <c r="C1086" i="1"/>
  <c r="D1086" i="1"/>
  <c r="E1086" i="1"/>
  <c r="A1075" i="1"/>
  <c r="B1075" i="1"/>
  <c r="C1075" i="1"/>
  <c r="D1075" i="1"/>
  <c r="E1075" i="1"/>
  <c r="A948" i="1"/>
  <c r="B948" i="1"/>
  <c r="C948" i="1"/>
  <c r="D948" i="1"/>
  <c r="E948" i="1"/>
  <c r="A908" i="1"/>
  <c r="B908" i="1"/>
  <c r="C908" i="1"/>
  <c r="D908" i="1"/>
  <c r="E908" i="1"/>
  <c r="A886" i="1"/>
  <c r="B886" i="1"/>
  <c r="C886" i="1"/>
  <c r="D886" i="1"/>
  <c r="E886" i="1"/>
  <c r="A881" i="1"/>
  <c r="B881" i="1"/>
  <c r="C881" i="1"/>
  <c r="D881" i="1"/>
  <c r="E881" i="1"/>
  <c r="A871" i="1"/>
  <c r="B871" i="1"/>
  <c r="C871" i="1"/>
  <c r="D871" i="1"/>
  <c r="E871" i="1"/>
  <c r="A874" i="1"/>
  <c r="B874" i="1"/>
  <c r="C874" i="1"/>
  <c r="D874" i="1"/>
  <c r="E874" i="1"/>
  <c r="A877" i="1"/>
  <c r="B877" i="1"/>
  <c r="C877" i="1"/>
  <c r="D877" i="1"/>
  <c r="E877" i="1"/>
  <c r="A952" i="1"/>
  <c r="B952" i="1"/>
  <c r="C952" i="1"/>
  <c r="D952" i="1"/>
  <c r="E952" i="1"/>
  <c r="A925" i="1"/>
  <c r="B925" i="1"/>
  <c r="C925" i="1"/>
  <c r="D925" i="1"/>
  <c r="E925" i="1"/>
  <c r="A938" i="1"/>
  <c r="B938" i="1"/>
  <c r="C938" i="1"/>
  <c r="D938" i="1"/>
  <c r="E938" i="1"/>
  <c r="A1037" i="1"/>
  <c r="B1037" i="1"/>
  <c r="C1037" i="1"/>
  <c r="D1037" i="1"/>
  <c r="E1037" i="1"/>
  <c r="A1038" i="1"/>
  <c r="B1038" i="1"/>
  <c r="C1038" i="1"/>
  <c r="D1038" i="1"/>
  <c r="E1038" i="1"/>
  <c r="A1040" i="1"/>
  <c r="B1040" i="1"/>
  <c r="C1040" i="1"/>
  <c r="D1040" i="1"/>
  <c r="E1040" i="1"/>
  <c r="A1041" i="1"/>
  <c r="B1041" i="1"/>
  <c r="C1041" i="1"/>
  <c r="D1041" i="1"/>
  <c r="E1041" i="1"/>
  <c r="A467" i="1"/>
  <c r="B467" i="1"/>
  <c r="C467" i="1"/>
  <c r="D467" i="1"/>
  <c r="E467" i="1"/>
  <c r="A451" i="1"/>
  <c r="B451" i="1"/>
  <c r="C451" i="1"/>
  <c r="D451" i="1"/>
  <c r="E451" i="1"/>
  <c r="A442" i="1"/>
  <c r="B442" i="1"/>
  <c r="C442" i="1"/>
  <c r="D442" i="1"/>
  <c r="E442" i="1"/>
  <c r="A428" i="1"/>
  <c r="B428" i="1"/>
  <c r="C428" i="1"/>
  <c r="D428" i="1"/>
  <c r="E428" i="1"/>
  <c r="A337" i="1"/>
  <c r="B337" i="1"/>
  <c r="C337" i="1"/>
  <c r="D337" i="1"/>
  <c r="E337" i="1"/>
  <c r="A613" i="1"/>
  <c r="B613" i="1"/>
  <c r="C613" i="1"/>
  <c r="D613" i="1"/>
  <c r="E613" i="1"/>
  <c r="A722" i="1"/>
  <c r="B722" i="1"/>
  <c r="C722" i="1"/>
  <c r="D722" i="1"/>
  <c r="E722" i="1"/>
  <c r="A866" i="1"/>
  <c r="B866" i="1"/>
  <c r="C866" i="1"/>
  <c r="D866" i="1"/>
  <c r="E866" i="1"/>
  <c r="A872" i="1"/>
  <c r="B872" i="1"/>
  <c r="C872" i="1"/>
  <c r="D872" i="1"/>
  <c r="E872" i="1"/>
  <c r="A875" i="1"/>
  <c r="B875" i="1"/>
  <c r="C875" i="1"/>
  <c r="D875" i="1"/>
  <c r="E875" i="1"/>
  <c r="A157" i="1"/>
  <c r="B157" i="1"/>
  <c r="C157" i="1"/>
  <c r="D157" i="1"/>
  <c r="E157" i="1"/>
  <c r="A517" i="1"/>
  <c r="B517" i="1"/>
  <c r="C517" i="1"/>
  <c r="D517" i="1"/>
  <c r="E517" i="1"/>
  <c r="A555" i="1"/>
  <c r="B555" i="1"/>
  <c r="C555" i="1"/>
  <c r="D555" i="1"/>
  <c r="E555" i="1"/>
  <c r="A558" i="1"/>
  <c r="B558" i="1"/>
  <c r="C558" i="1"/>
  <c r="D558" i="1"/>
  <c r="E558" i="1"/>
  <c r="A559" i="1"/>
  <c r="B559" i="1"/>
  <c r="C559" i="1"/>
  <c r="D559" i="1"/>
  <c r="E559" i="1"/>
  <c r="A572" i="1"/>
  <c r="B572" i="1"/>
  <c r="C572" i="1"/>
  <c r="D572" i="1"/>
  <c r="E572" i="1"/>
  <c r="A520" i="1"/>
  <c r="B520" i="1"/>
  <c r="C520" i="1"/>
  <c r="D520" i="1"/>
  <c r="E520" i="1"/>
  <c r="A515" i="1"/>
  <c r="B515" i="1"/>
  <c r="C515" i="1"/>
  <c r="D515" i="1"/>
  <c r="E515" i="1"/>
  <c r="A516" i="1"/>
  <c r="B516" i="1"/>
  <c r="C516" i="1"/>
  <c r="D516" i="1"/>
  <c r="E516" i="1"/>
  <c r="A518" i="1"/>
  <c r="B518" i="1"/>
  <c r="C518" i="1"/>
  <c r="D518" i="1"/>
  <c r="E518" i="1"/>
  <c r="A223" i="1"/>
  <c r="B223" i="1"/>
  <c r="C223" i="1"/>
  <c r="D223" i="1"/>
  <c r="E223" i="1"/>
  <c r="A211" i="1"/>
  <c r="B211" i="1"/>
  <c r="C211" i="1"/>
  <c r="D211" i="1"/>
  <c r="E211" i="1"/>
  <c r="A93" i="1"/>
  <c r="B93" i="1"/>
  <c r="C93" i="1"/>
  <c r="D93" i="1"/>
  <c r="E93" i="1"/>
  <c r="A67" i="1"/>
  <c r="B67" i="1"/>
  <c r="C67" i="1"/>
  <c r="D67" i="1"/>
  <c r="E67" i="1"/>
  <c r="A80" i="1"/>
  <c r="B80" i="1"/>
  <c r="C80" i="1"/>
  <c r="D80" i="1"/>
  <c r="E80" i="1"/>
  <c r="A125" i="1"/>
  <c r="B125" i="1"/>
  <c r="C125" i="1"/>
  <c r="D125" i="1"/>
  <c r="E125" i="1"/>
  <c r="A60" i="1"/>
  <c r="B60" i="1"/>
  <c r="C60" i="1"/>
  <c r="D60" i="1"/>
  <c r="E60" i="1"/>
  <c r="A149" i="1"/>
  <c r="B149" i="1"/>
  <c r="C149" i="1"/>
  <c r="D149" i="1"/>
  <c r="E149" i="1"/>
  <c r="A99" i="1"/>
  <c r="B99" i="1"/>
  <c r="C99" i="1"/>
  <c r="D99" i="1"/>
  <c r="E99" i="1"/>
  <c r="A124" i="1"/>
  <c r="B124" i="1"/>
  <c r="C124" i="1"/>
  <c r="D124" i="1"/>
  <c r="E124" i="1"/>
  <c r="A301" i="1"/>
  <c r="B301" i="1"/>
  <c r="C301" i="1"/>
  <c r="D301" i="1"/>
  <c r="E301" i="1"/>
  <c r="A272" i="1"/>
  <c r="B272" i="1"/>
  <c r="C272" i="1"/>
  <c r="D272" i="1"/>
  <c r="E272" i="1"/>
  <c r="A280" i="1"/>
  <c r="B280" i="1"/>
  <c r="C280" i="1"/>
  <c r="D280" i="1"/>
  <c r="E280" i="1"/>
  <c r="A302" i="1"/>
  <c r="B302" i="1"/>
  <c r="C302" i="1"/>
  <c r="D302" i="1"/>
  <c r="E302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2" i="1"/>
  <c r="B222" i="1"/>
  <c r="C222" i="1"/>
  <c r="D222" i="1"/>
  <c r="E222" i="1"/>
  <c r="A218" i="1"/>
  <c r="B218" i="1"/>
  <c r="C218" i="1"/>
  <c r="D218" i="1"/>
  <c r="E218" i="1"/>
  <c r="A533" i="1"/>
  <c r="B533" i="1"/>
  <c r="C533" i="1"/>
  <c r="D533" i="1"/>
  <c r="E533" i="1"/>
  <c r="A143" i="1"/>
  <c r="B143" i="1"/>
  <c r="C143" i="1"/>
  <c r="D143" i="1"/>
  <c r="E143" i="1"/>
  <c r="A133" i="1"/>
  <c r="B133" i="1"/>
  <c r="C133" i="1"/>
  <c r="D133" i="1"/>
  <c r="E133" i="1"/>
  <c r="A101" i="1"/>
  <c r="B101" i="1"/>
  <c r="C101" i="1"/>
  <c r="D101" i="1"/>
  <c r="E101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38" i="1"/>
  <c r="B238" i="1"/>
  <c r="C238" i="1"/>
  <c r="D238" i="1"/>
  <c r="E238" i="1"/>
  <c r="A481" i="1"/>
  <c r="B481" i="1"/>
  <c r="C481" i="1"/>
  <c r="D481" i="1"/>
  <c r="E481" i="1"/>
  <c r="A470" i="1"/>
  <c r="B470" i="1"/>
  <c r="C470" i="1"/>
  <c r="D470" i="1"/>
  <c r="E470" i="1"/>
  <c r="A472" i="1"/>
  <c r="B472" i="1"/>
  <c r="C472" i="1"/>
  <c r="D472" i="1"/>
  <c r="E472" i="1"/>
  <c r="A522" i="1"/>
  <c r="B522" i="1"/>
  <c r="C522" i="1"/>
  <c r="D522" i="1"/>
  <c r="E522" i="1"/>
  <c r="A519" i="1"/>
  <c r="B519" i="1"/>
  <c r="C519" i="1"/>
  <c r="D519" i="1"/>
  <c r="E519" i="1"/>
  <c r="A574" i="1"/>
  <c r="B574" i="1"/>
  <c r="C574" i="1"/>
  <c r="D574" i="1"/>
  <c r="E574" i="1"/>
  <c r="A550" i="1"/>
  <c r="B550" i="1"/>
  <c r="C550" i="1"/>
  <c r="D550" i="1"/>
  <c r="E550" i="1"/>
  <c r="A551" i="1"/>
  <c r="B551" i="1"/>
  <c r="C551" i="1"/>
  <c r="D551" i="1"/>
  <c r="E551" i="1"/>
  <c r="A552" i="1"/>
  <c r="B552" i="1"/>
  <c r="C552" i="1"/>
  <c r="D552" i="1"/>
  <c r="E552" i="1"/>
  <c r="A535" i="1"/>
  <c r="B535" i="1"/>
  <c r="C535" i="1"/>
  <c r="D535" i="1"/>
  <c r="E535" i="1"/>
  <c r="A433" i="1"/>
  <c r="B433" i="1"/>
  <c r="C433" i="1"/>
  <c r="D433" i="1"/>
  <c r="E433" i="1"/>
  <c r="A435" i="1"/>
  <c r="B435" i="1"/>
  <c r="C435" i="1"/>
  <c r="D435" i="1"/>
  <c r="E435" i="1"/>
  <c r="A439" i="1"/>
  <c r="B439" i="1"/>
  <c r="C439" i="1"/>
  <c r="D439" i="1"/>
  <c r="E439" i="1"/>
  <c r="A405" i="1"/>
  <c r="B405" i="1"/>
  <c r="C405" i="1"/>
  <c r="D405" i="1"/>
  <c r="E405" i="1"/>
  <c r="A408" i="1"/>
  <c r="B408" i="1"/>
  <c r="C408" i="1"/>
  <c r="D408" i="1"/>
  <c r="E408" i="1"/>
  <c r="A393" i="1"/>
  <c r="B393" i="1"/>
  <c r="C393" i="1"/>
  <c r="D393" i="1"/>
  <c r="E393" i="1"/>
  <c r="A394" i="1"/>
  <c r="B394" i="1"/>
  <c r="C394" i="1"/>
  <c r="D394" i="1"/>
  <c r="E394" i="1"/>
  <c r="A452" i="1"/>
  <c r="B452" i="1"/>
  <c r="C452" i="1"/>
  <c r="D452" i="1"/>
  <c r="E452" i="1"/>
  <c r="A483" i="1"/>
  <c r="B483" i="1"/>
  <c r="C483" i="1"/>
  <c r="D483" i="1"/>
  <c r="E483" i="1"/>
  <c r="A478" i="1"/>
  <c r="B478" i="1"/>
  <c r="C478" i="1"/>
  <c r="D478" i="1"/>
  <c r="E478" i="1"/>
  <c r="A292" i="1"/>
  <c r="B292" i="1"/>
  <c r="C292" i="1"/>
  <c r="D292" i="1"/>
  <c r="E292" i="1"/>
  <c r="A315" i="1"/>
  <c r="B315" i="1"/>
  <c r="C315" i="1"/>
  <c r="D315" i="1"/>
  <c r="E315" i="1"/>
  <c r="A287" i="1"/>
  <c r="B287" i="1"/>
  <c r="C287" i="1"/>
  <c r="D287" i="1"/>
  <c r="E287" i="1"/>
  <c r="A317" i="1"/>
  <c r="B317" i="1"/>
  <c r="C317" i="1"/>
  <c r="D317" i="1"/>
  <c r="E317" i="1"/>
  <c r="A316" i="1"/>
  <c r="B316" i="1"/>
  <c r="C316" i="1"/>
  <c r="D316" i="1"/>
  <c r="E316" i="1"/>
  <c r="A334" i="1"/>
  <c r="B334" i="1"/>
  <c r="C334" i="1"/>
  <c r="D334" i="1"/>
  <c r="E334" i="1"/>
  <c r="A342" i="1"/>
  <c r="B342" i="1"/>
  <c r="C342" i="1"/>
  <c r="D342" i="1"/>
  <c r="E342" i="1"/>
  <c r="A410" i="1"/>
  <c r="B410" i="1"/>
  <c r="C410" i="1"/>
  <c r="D410" i="1"/>
  <c r="E410" i="1"/>
  <c r="A424" i="1"/>
  <c r="B424" i="1"/>
  <c r="C424" i="1"/>
  <c r="D424" i="1"/>
  <c r="E424" i="1"/>
  <c r="A426" i="1"/>
  <c r="B426" i="1"/>
  <c r="C426" i="1"/>
  <c r="D426" i="1"/>
  <c r="E426" i="1"/>
  <c r="A704" i="1"/>
  <c r="B704" i="1"/>
  <c r="C704" i="1"/>
  <c r="D704" i="1"/>
  <c r="E704" i="1"/>
  <c r="A705" i="1"/>
  <c r="B705" i="1"/>
  <c r="C705" i="1"/>
  <c r="D705" i="1"/>
  <c r="E705" i="1"/>
  <c r="A686" i="1"/>
  <c r="B686" i="1"/>
  <c r="C686" i="1"/>
  <c r="D686" i="1"/>
  <c r="E686" i="1"/>
  <c r="A687" i="1"/>
  <c r="B687" i="1"/>
  <c r="C687" i="1"/>
  <c r="D687" i="1"/>
  <c r="E687" i="1"/>
  <c r="A677" i="1"/>
  <c r="B677" i="1"/>
  <c r="C677" i="1"/>
  <c r="D677" i="1"/>
  <c r="E677" i="1"/>
  <c r="A679" i="1"/>
  <c r="B679" i="1"/>
  <c r="C679" i="1"/>
  <c r="D679" i="1"/>
  <c r="E679" i="1"/>
  <c r="A680" i="1"/>
  <c r="B680" i="1"/>
  <c r="C680" i="1"/>
  <c r="D680" i="1"/>
  <c r="E680" i="1"/>
  <c r="A673" i="1"/>
  <c r="B673" i="1"/>
  <c r="C673" i="1"/>
  <c r="D673" i="1"/>
  <c r="E673" i="1"/>
  <c r="A675" i="1"/>
  <c r="B675" i="1"/>
  <c r="C675" i="1"/>
  <c r="D675" i="1"/>
  <c r="E675" i="1"/>
  <c r="A666" i="1"/>
  <c r="B666" i="1"/>
  <c r="C666" i="1"/>
  <c r="D666" i="1"/>
  <c r="E666" i="1"/>
  <c r="A944" i="1"/>
  <c r="B944" i="1"/>
  <c r="C944" i="1"/>
  <c r="D944" i="1"/>
  <c r="E944" i="1"/>
  <c r="A943" i="1"/>
  <c r="B943" i="1"/>
  <c r="C943" i="1"/>
  <c r="D943" i="1"/>
  <c r="E943" i="1"/>
  <c r="A895" i="1"/>
  <c r="B895" i="1"/>
  <c r="C895" i="1"/>
  <c r="D895" i="1"/>
  <c r="E895" i="1"/>
  <c r="A774" i="1"/>
  <c r="B774" i="1"/>
  <c r="C774" i="1"/>
  <c r="D774" i="1"/>
  <c r="E774" i="1"/>
  <c r="A776" i="1"/>
  <c r="B776" i="1"/>
  <c r="C776" i="1"/>
  <c r="D776" i="1"/>
  <c r="E776" i="1"/>
  <c r="A785" i="1"/>
  <c r="B785" i="1"/>
  <c r="C785" i="1"/>
  <c r="D785" i="1"/>
  <c r="E785" i="1"/>
  <c r="A787" i="1"/>
  <c r="B787" i="1"/>
  <c r="C787" i="1"/>
  <c r="D787" i="1"/>
  <c r="E787" i="1"/>
  <c r="A790" i="1"/>
  <c r="B790" i="1"/>
  <c r="C790" i="1"/>
  <c r="D790" i="1"/>
  <c r="E790" i="1"/>
  <c r="A695" i="1"/>
  <c r="B695" i="1"/>
  <c r="C695" i="1"/>
  <c r="D695" i="1"/>
  <c r="E695" i="1"/>
  <c r="A696" i="1"/>
  <c r="B696" i="1"/>
  <c r="C696" i="1"/>
  <c r="D696" i="1"/>
  <c r="E696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08" i="1"/>
  <c r="B1108" i="1"/>
  <c r="C1108" i="1"/>
  <c r="D1108" i="1"/>
  <c r="E1108" i="1"/>
  <c r="A1110" i="1"/>
  <c r="B1110" i="1"/>
  <c r="C1110" i="1"/>
  <c r="D1110" i="1"/>
  <c r="E1110" i="1"/>
  <c r="A1097" i="1"/>
  <c r="B1097" i="1"/>
  <c r="C1097" i="1"/>
  <c r="D1097" i="1"/>
  <c r="E1097" i="1"/>
  <c r="A1105" i="1"/>
  <c r="B1105" i="1"/>
  <c r="C1105" i="1"/>
  <c r="D1105" i="1"/>
  <c r="E1105" i="1"/>
  <c r="A1088" i="1"/>
  <c r="B1088" i="1"/>
  <c r="C1088" i="1"/>
  <c r="D1088" i="1"/>
  <c r="E1088" i="1"/>
  <c r="A909" i="1"/>
  <c r="B909" i="1"/>
  <c r="C909" i="1"/>
  <c r="D909" i="1"/>
  <c r="E909" i="1"/>
  <c r="A940" i="1"/>
  <c r="B940" i="1"/>
  <c r="C940" i="1"/>
  <c r="D940" i="1"/>
  <c r="E940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09" i="1"/>
  <c r="B1109" i="1"/>
  <c r="C1109" i="1"/>
  <c r="D1109" i="1"/>
  <c r="E1109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047" i="1"/>
  <c r="B1047" i="1"/>
  <c r="C1047" i="1"/>
  <c r="D1047" i="1"/>
  <c r="E1047" i="1"/>
  <c r="A1076" i="1"/>
  <c r="B1076" i="1"/>
  <c r="C1076" i="1"/>
  <c r="D1076" i="1"/>
  <c r="E1076" i="1"/>
  <c r="A1104" i="1"/>
  <c r="B1104" i="1"/>
  <c r="C1104" i="1"/>
  <c r="D1104" i="1"/>
  <c r="E1104" i="1"/>
  <c r="A1098" i="1"/>
  <c r="B1098" i="1"/>
  <c r="C1098" i="1"/>
  <c r="D1098" i="1"/>
  <c r="E1098" i="1"/>
  <c r="A1099" i="1"/>
  <c r="B1099" i="1"/>
  <c r="C1099" i="1"/>
  <c r="D1099" i="1"/>
  <c r="E1099" i="1"/>
  <c r="A1084" i="1"/>
  <c r="B1084" i="1"/>
  <c r="C1084" i="1"/>
  <c r="D1084" i="1"/>
  <c r="E1084" i="1"/>
  <c r="A1102" i="1"/>
  <c r="B1102" i="1"/>
  <c r="C1102" i="1"/>
  <c r="D1102" i="1"/>
  <c r="E1102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949" i="1"/>
  <c r="B949" i="1"/>
  <c r="C949" i="1"/>
  <c r="D949" i="1"/>
  <c r="E949" i="1"/>
  <c r="A1052" i="1"/>
  <c r="B1052" i="1"/>
  <c r="C1052" i="1"/>
  <c r="D1052" i="1"/>
  <c r="E1052" i="1"/>
  <c r="A1049" i="1"/>
  <c r="B1049" i="1"/>
  <c r="C1049" i="1"/>
  <c r="D1049" i="1"/>
  <c r="E1049" i="1"/>
  <c r="A1039" i="1"/>
  <c r="B1039" i="1"/>
  <c r="C1039" i="1"/>
  <c r="D1039" i="1"/>
  <c r="E1039" i="1"/>
  <c r="A1045" i="1"/>
  <c r="B1045" i="1"/>
  <c r="C1045" i="1"/>
  <c r="D1045" i="1"/>
  <c r="E1045" i="1"/>
  <c r="A1074" i="1"/>
  <c r="B1074" i="1"/>
  <c r="C1074" i="1"/>
  <c r="D1074" i="1"/>
  <c r="E1074" i="1"/>
  <c r="A1071" i="1"/>
  <c r="B1071" i="1"/>
  <c r="C1071" i="1"/>
  <c r="D1071" i="1"/>
  <c r="E1071" i="1"/>
  <c r="A1072" i="1"/>
  <c r="B1072" i="1"/>
  <c r="C1072" i="1"/>
  <c r="D1072" i="1"/>
  <c r="E1072" i="1"/>
  <c r="A1066" i="1"/>
  <c r="B1066" i="1"/>
  <c r="C1066" i="1"/>
  <c r="D1066" i="1"/>
  <c r="E1066" i="1"/>
  <c r="A1067" i="1"/>
  <c r="B1067" i="1"/>
  <c r="C1067" i="1"/>
  <c r="D1067" i="1"/>
  <c r="E1067" i="1"/>
  <c r="A168" i="1"/>
  <c r="B168" i="1"/>
  <c r="C168" i="1"/>
  <c r="D168" i="1"/>
  <c r="E168" i="1"/>
  <c r="A144" i="1"/>
  <c r="B144" i="1"/>
  <c r="C144" i="1"/>
  <c r="D144" i="1"/>
  <c r="E144" i="1"/>
  <c r="A570" i="1"/>
  <c r="B570" i="1"/>
  <c r="C570" i="1"/>
  <c r="D570" i="1"/>
  <c r="E570" i="1"/>
  <c r="A484" i="1"/>
  <c r="B484" i="1"/>
  <c r="C484" i="1"/>
  <c r="D484" i="1"/>
  <c r="E484" i="1"/>
  <c r="A455" i="1"/>
  <c r="B455" i="1"/>
  <c r="C455" i="1"/>
  <c r="D455" i="1"/>
  <c r="E455" i="1"/>
  <c r="A286" i="1"/>
  <c r="B286" i="1"/>
  <c r="C286" i="1"/>
  <c r="D286" i="1"/>
  <c r="E286" i="1"/>
  <c r="A885" i="1"/>
  <c r="B885" i="1"/>
  <c r="C885" i="1"/>
  <c r="D885" i="1"/>
  <c r="E885" i="1"/>
  <c r="A876" i="1"/>
  <c r="B876" i="1"/>
  <c r="C876" i="1"/>
  <c r="D876" i="1"/>
  <c r="E876" i="1"/>
  <c r="A864" i="1"/>
  <c r="B864" i="1"/>
  <c r="C864" i="1"/>
  <c r="D864" i="1"/>
  <c r="E864" i="1"/>
  <c r="A903" i="1"/>
  <c r="B903" i="1"/>
  <c r="C903" i="1"/>
  <c r="D903" i="1"/>
  <c r="E903" i="1"/>
  <c r="A64" i="1"/>
  <c r="B64" i="1"/>
  <c r="C64" i="1"/>
  <c r="D64" i="1"/>
  <c r="E64" i="1"/>
  <c r="A95" i="1"/>
  <c r="B95" i="1"/>
  <c r="C95" i="1"/>
  <c r="D95" i="1"/>
  <c r="E95" i="1"/>
  <c r="A142" i="1"/>
  <c r="B142" i="1"/>
  <c r="C142" i="1"/>
  <c r="D142" i="1"/>
  <c r="E142" i="1"/>
  <c r="A85" i="1"/>
  <c r="B85" i="1"/>
  <c r="C85" i="1"/>
  <c r="D85" i="1"/>
  <c r="E85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164" i="1"/>
  <c r="B164" i="1"/>
  <c r="C164" i="1"/>
  <c r="D164" i="1"/>
  <c r="E164" i="1"/>
  <c r="A162" i="1"/>
  <c r="B162" i="1"/>
  <c r="C162" i="1"/>
  <c r="D162" i="1"/>
  <c r="E162" i="1"/>
  <c r="A276" i="1"/>
  <c r="B276" i="1"/>
  <c r="C276" i="1"/>
  <c r="D276" i="1"/>
  <c r="E276" i="1"/>
  <c r="A281" i="1"/>
  <c r="B281" i="1"/>
  <c r="C281" i="1"/>
  <c r="D281" i="1"/>
  <c r="E281" i="1"/>
  <c r="A284" i="1"/>
  <c r="B284" i="1"/>
  <c r="C284" i="1"/>
  <c r="D284" i="1"/>
  <c r="E284" i="1"/>
  <c r="A269" i="1"/>
  <c r="B269" i="1"/>
  <c r="C269" i="1"/>
  <c r="D269" i="1"/>
  <c r="E269" i="1"/>
  <c r="A283" i="1"/>
  <c r="B283" i="1"/>
  <c r="C283" i="1"/>
  <c r="D283" i="1"/>
  <c r="E283" i="1"/>
  <c r="A288" i="1"/>
  <c r="B288" i="1"/>
  <c r="C288" i="1"/>
  <c r="D288" i="1"/>
  <c r="E288" i="1"/>
  <c r="A262" i="1"/>
  <c r="B262" i="1"/>
  <c r="C262" i="1"/>
  <c r="D262" i="1"/>
  <c r="E262" i="1"/>
  <c r="A25" i="1"/>
  <c r="B25" i="1"/>
  <c r="C25" i="1"/>
  <c r="D25" i="1"/>
  <c r="E25" i="1"/>
  <c r="A89" i="1"/>
  <c r="B89" i="1"/>
  <c r="C89" i="1"/>
  <c r="D89" i="1"/>
  <c r="E89" i="1"/>
  <c r="A128" i="1"/>
  <c r="B128" i="1"/>
  <c r="C128" i="1"/>
  <c r="D128" i="1"/>
  <c r="E128" i="1"/>
  <c r="A531" i="1"/>
  <c r="B531" i="1"/>
  <c r="C531" i="1"/>
  <c r="D531" i="1"/>
  <c r="E531" i="1"/>
  <c r="A534" i="1"/>
  <c r="B534" i="1"/>
  <c r="C534" i="1"/>
  <c r="D534" i="1"/>
  <c r="E534" i="1"/>
  <c r="A540" i="1"/>
  <c r="B540" i="1"/>
  <c r="C540" i="1"/>
  <c r="D540" i="1"/>
  <c r="E540" i="1"/>
  <c r="A541" i="1"/>
  <c r="B541" i="1"/>
  <c r="C541" i="1"/>
  <c r="D541" i="1"/>
  <c r="E541" i="1"/>
  <c r="A539" i="1"/>
  <c r="B539" i="1"/>
  <c r="C539" i="1"/>
  <c r="D539" i="1"/>
  <c r="E539" i="1"/>
  <c r="A227" i="1"/>
  <c r="B227" i="1"/>
  <c r="C227" i="1"/>
  <c r="D227" i="1"/>
  <c r="E227" i="1"/>
  <c r="A159" i="1"/>
  <c r="B159" i="1"/>
  <c r="C159" i="1"/>
  <c r="D159" i="1"/>
  <c r="E159" i="1"/>
  <c r="A261" i="1"/>
  <c r="B261" i="1"/>
  <c r="C261" i="1"/>
  <c r="D261" i="1"/>
  <c r="E261" i="1"/>
  <c r="A249" i="1"/>
  <c r="B249" i="1"/>
  <c r="C249" i="1"/>
  <c r="D249" i="1"/>
  <c r="E249" i="1"/>
  <c r="A268" i="1"/>
  <c r="B268" i="1"/>
  <c r="C268" i="1"/>
  <c r="D268" i="1"/>
  <c r="E268" i="1"/>
  <c r="A474" i="1"/>
  <c r="B474" i="1"/>
  <c r="C474" i="1"/>
  <c r="D474" i="1"/>
  <c r="E474" i="1"/>
  <c r="A477" i="1"/>
  <c r="B477" i="1"/>
  <c r="C477" i="1"/>
  <c r="D477" i="1"/>
  <c r="E477" i="1"/>
  <c r="A482" i="1"/>
  <c r="B482" i="1"/>
  <c r="C482" i="1"/>
  <c r="D482" i="1"/>
  <c r="E482" i="1"/>
  <c r="A485" i="1"/>
  <c r="B485" i="1"/>
  <c r="C485" i="1"/>
  <c r="D485" i="1"/>
  <c r="E485" i="1"/>
  <c r="A525" i="1"/>
  <c r="B525" i="1"/>
  <c r="C525" i="1"/>
  <c r="D525" i="1"/>
  <c r="E525" i="1"/>
  <c r="A526" i="1"/>
  <c r="B526" i="1"/>
  <c r="C526" i="1"/>
  <c r="D526" i="1"/>
  <c r="E526" i="1"/>
  <c r="A536" i="1"/>
  <c r="B536" i="1"/>
  <c r="C536" i="1"/>
  <c r="D536" i="1"/>
  <c r="E536" i="1"/>
  <c r="A544" i="1"/>
  <c r="B544" i="1"/>
  <c r="C544" i="1"/>
  <c r="D544" i="1"/>
  <c r="E544" i="1"/>
  <c r="A545" i="1"/>
  <c r="B545" i="1"/>
  <c r="C545" i="1"/>
  <c r="D545" i="1"/>
  <c r="E545" i="1"/>
  <c r="A530" i="1"/>
  <c r="B530" i="1"/>
  <c r="C530" i="1"/>
  <c r="D530" i="1"/>
  <c r="E530" i="1"/>
  <c r="A397" i="1"/>
  <c r="B397" i="1"/>
  <c r="C397" i="1"/>
  <c r="D397" i="1"/>
  <c r="E397" i="1"/>
  <c r="A404" i="1"/>
  <c r="B404" i="1"/>
  <c r="C404" i="1"/>
  <c r="D404" i="1"/>
  <c r="E404" i="1"/>
  <c r="A390" i="1"/>
  <c r="B390" i="1"/>
  <c r="C390" i="1"/>
  <c r="D390" i="1"/>
  <c r="E390" i="1"/>
  <c r="A384" i="1"/>
  <c r="B384" i="1"/>
  <c r="C384" i="1"/>
  <c r="D384" i="1"/>
  <c r="E384" i="1"/>
  <c r="A411" i="1"/>
  <c r="B411" i="1"/>
  <c r="C411" i="1"/>
  <c r="D411" i="1"/>
  <c r="E411" i="1"/>
  <c r="A421" i="1"/>
  <c r="B421" i="1"/>
  <c r="C421" i="1"/>
  <c r="D421" i="1"/>
  <c r="E421" i="1"/>
  <c r="A278" i="1"/>
  <c r="B278" i="1"/>
  <c r="C278" i="1"/>
  <c r="D278" i="1"/>
  <c r="E278" i="1"/>
  <c r="A277" i="1"/>
  <c r="B277" i="1"/>
  <c r="C277" i="1"/>
  <c r="D277" i="1"/>
  <c r="E277" i="1"/>
  <c r="A450" i="1"/>
  <c r="B450" i="1"/>
  <c r="C450" i="1"/>
  <c r="D450" i="1"/>
  <c r="E450" i="1"/>
  <c r="A457" i="1"/>
  <c r="B457" i="1"/>
  <c r="C457" i="1"/>
  <c r="D457" i="1"/>
  <c r="E457" i="1"/>
  <c r="A694" i="1"/>
  <c r="B694" i="1"/>
  <c r="C694" i="1"/>
  <c r="D694" i="1"/>
  <c r="E694" i="1"/>
  <c r="A783" i="1"/>
  <c r="B783" i="1"/>
  <c r="C783" i="1"/>
  <c r="D783" i="1"/>
  <c r="E783" i="1"/>
  <c r="A799" i="1"/>
  <c r="B799" i="1"/>
  <c r="C799" i="1"/>
  <c r="D799" i="1"/>
  <c r="E799" i="1"/>
  <c r="A780" i="1"/>
  <c r="B780" i="1"/>
  <c r="C780" i="1"/>
  <c r="D780" i="1"/>
  <c r="E780" i="1"/>
  <c r="A887" i="1"/>
  <c r="B887" i="1"/>
  <c r="C887" i="1"/>
  <c r="D887" i="1"/>
  <c r="E887" i="1"/>
  <c r="A897" i="1"/>
  <c r="B897" i="1"/>
  <c r="C897" i="1"/>
  <c r="D897" i="1"/>
  <c r="E897" i="1"/>
  <c r="A898" i="1"/>
  <c r="B898" i="1"/>
  <c r="C898" i="1"/>
  <c r="D898" i="1"/>
  <c r="E898" i="1"/>
  <c r="A889" i="1"/>
  <c r="B889" i="1"/>
  <c r="C889" i="1"/>
  <c r="D889" i="1"/>
  <c r="E889" i="1"/>
  <c r="A891" i="1"/>
  <c r="B891" i="1"/>
  <c r="C891" i="1"/>
  <c r="D891" i="1"/>
  <c r="E891" i="1"/>
  <c r="A880" i="1"/>
  <c r="B880" i="1"/>
  <c r="C880" i="1"/>
  <c r="D880" i="1"/>
  <c r="E880" i="1"/>
  <c r="A1073" i="1"/>
  <c r="B1073" i="1"/>
  <c r="C1073" i="1"/>
  <c r="D1073" i="1"/>
  <c r="E1073" i="1"/>
  <c r="A1048" i="1"/>
  <c r="B1048" i="1"/>
  <c r="C1048" i="1"/>
  <c r="D1048" i="1"/>
  <c r="E1048" i="1"/>
  <c r="A1051" i="1"/>
  <c r="B1051" i="1"/>
  <c r="C1051" i="1"/>
  <c r="D1051" i="1"/>
  <c r="E1051" i="1"/>
  <c r="A1056" i="1"/>
  <c r="B1056" i="1"/>
  <c r="C1056" i="1"/>
  <c r="D1056" i="1"/>
  <c r="E1056" i="1"/>
  <c r="A973" i="1"/>
  <c r="B973" i="1"/>
  <c r="C973" i="1"/>
  <c r="D973" i="1"/>
  <c r="E973" i="1"/>
  <c r="A671" i="1"/>
  <c r="B671" i="1"/>
  <c r="C671" i="1"/>
  <c r="D671" i="1"/>
  <c r="E671" i="1"/>
  <c r="A672" i="1"/>
  <c r="B672" i="1"/>
  <c r="C672" i="1"/>
  <c r="D672" i="1"/>
  <c r="E672" i="1"/>
  <c r="A681" i="1"/>
  <c r="B681" i="1"/>
  <c r="C681" i="1"/>
  <c r="D681" i="1"/>
  <c r="E681" i="1"/>
  <c r="A701" i="1"/>
  <c r="B701" i="1"/>
  <c r="C701" i="1"/>
  <c r="D701" i="1"/>
  <c r="E701" i="1"/>
  <c r="A699" i="1"/>
  <c r="B699" i="1"/>
  <c r="C699" i="1"/>
  <c r="D699" i="1"/>
  <c r="E699" i="1"/>
  <c r="A1090" i="1"/>
  <c r="B1090" i="1"/>
  <c r="C1090" i="1"/>
  <c r="D1090" i="1"/>
  <c r="E1090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61" i="1"/>
  <c r="B1061" i="1"/>
  <c r="C1061" i="1"/>
  <c r="D1061" i="1"/>
  <c r="E1061" i="1"/>
  <c r="A1062" i="1"/>
  <c r="B1062" i="1"/>
  <c r="C1062" i="1"/>
  <c r="D1062" i="1"/>
  <c r="E1062" i="1"/>
  <c r="A1054" i="1"/>
  <c r="B1054" i="1"/>
  <c r="C1054" i="1"/>
  <c r="D1054" i="1"/>
  <c r="E1054" i="1"/>
  <c r="A1068" i="1"/>
  <c r="B1068" i="1"/>
  <c r="C1068" i="1"/>
  <c r="D1068" i="1"/>
  <c r="E1068" i="1"/>
  <c r="A1070" i="1"/>
  <c r="B1070" i="1"/>
  <c r="C1070" i="1"/>
  <c r="D1070" i="1"/>
  <c r="E1070" i="1"/>
  <c r="A913" i="1"/>
  <c r="B913" i="1"/>
  <c r="C913" i="1"/>
  <c r="D913" i="1"/>
  <c r="E913" i="1"/>
  <c r="A786" i="1"/>
  <c r="B786" i="1"/>
  <c r="C786" i="1"/>
  <c r="D786" i="1"/>
  <c r="E786" i="1"/>
  <c r="A788" i="1"/>
  <c r="B788" i="1"/>
  <c r="C788" i="1"/>
  <c r="D788" i="1"/>
  <c r="E788" i="1"/>
  <c r="A808" i="1"/>
  <c r="B808" i="1"/>
  <c r="C808" i="1"/>
  <c r="D808" i="1"/>
  <c r="E808" i="1"/>
  <c r="A647" i="1"/>
  <c r="B647" i="1"/>
  <c r="C647" i="1"/>
  <c r="D647" i="1"/>
  <c r="E647" i="1"/>
  <c r="A1053" i="1"/>
  <c r="B1053" i="1"/>
  <c r="C1053" i="1"/>
  <c r="D1053" i="1"/>
  <c r="E1053" i="1"/>
  <c r="A1063" i="1"/>
  <c r="B1063" i="1"/>
  <c r="C1063" i="1"/>
  <c r="D1063" i="1"/>
  <c r="E1063" i="1"/>
  <c r="A1085" i="1"/>
  <c r="B1085" i="1"/>
  <c r="C1085" i="1"/>
  <c r="D1085" i="1"/>
  <c r="E1085" i="1"/>
  <c r="A1111" i="1"/>
  <c r="B1111" i="1"/>
  <c r="C1111" i="1"/>
  <c r="D1111" i="1"/>
  <c r="E1111" i="1"/>
  <c r="A1077" i="1"/>
  <c r="B1077" i="1"/>
  <c r="C1077" i="1"/>
  <c r="D1077" i="1"/>
  <c r="E1077" i="1"/>
  <c r="A21" i="1"/>
  <c r="B21" i="1"/>
  <c r="C21" i="1"/>
  <c r="D21" i="1"/>
  <c r="E21" i="1"/>
  <c r="A193" i="1"/>
  <c r="B193" i="1"/>
  <c r="C193" i="1"/>
  <c r="D193" i="1"/>
  <c r="E193" i="1"/>
  <c r="A209" i="1"/>
  <c r="B209" i="1"/>
  <c r="C209" i="1"/>
  <c r="D209" i="1"/>
  <c r="E209" i="1"/>
  <c r="A235" i="1"/>
  <c r="B235" i="1"/>
  <c r="C235" i="1"/>
  <c r="D235" i="1"/>
  <c r="E235" i="1"/>
  <c r="A573" i="1"/>
  <c r="B573" i="1"/>
  <c r="C573" i="1"/>
  <c r="D573" i="1"/>
  <c r="E573" i="1"/>
  <c r="A454" i="1"/>
  <c r="B454" i="1"/>
  <c r="C454" i="1"/>
  <c r="D454" i="1"/>
  <c r="E454" i="1"/>
  <c r="A400" i="1"/>
  <c r="B400" i="1"/>
  <c r="C400" i="1"/>
  <c r="D400" i="1"/>
  <c r="E400" i="1"/>
  <c r="A401" i="1"/>
  <c r="B401" i="1"/>
  <c r="C401" i="1"/>
  <c r="D401" i="1"/>
  <c r="E401" i="1"/>
  <c r="A911" i="1"/>
  <c r="B911" i="1"/>
  <c r="C911" i="1"/>
  <c r="D911" i="1"/>
  <c r="E911" i="1"/>
  <c r="A912" i="1"/>
  <c r="B912" i="1"/>
  <c r="C912" i="1"/>
  <c r="D912" i="1"/>
  <c r="E912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658" i="1"/>
  <c r="B658" i="1"/>
  <c r="C658" i="1"/>
  <c r="D658" i="1"/>
  <c r="E658" i="1"/>
  <c r="A1126" i="1"/>
  <c r="B1126" i="1"/>
  <c r="C1126" i="1"/>
  <c r="D1126" i="1"/>
  <c r="E1126" i="1"/>
  <c r="A1087" i="1"/>
  <c r="B1087" i="1"/>
  <c r="C1087" i="1"/>
  <c r="D1087" i="1"/>
  <c r="E1087" i="1"/>
  <c r="A936" i="1"/>
  <c r="B936" i="1"/>
  <c r="C936" i="1"/>
  <c r="D936" i="1"/>
  <c r="E936" i="1"/>
  <c r="A955" i="1"/>
  <c r="B955" i="1"/>
  <c r="C955" i="1"/>
  <c r="D955" i="1"/>
  <c r="E955" i="1"/>
  <c r="A879" i="1"/>
  <c r="B879" i="1"/>
  <c r="C879" i="1"/>
  <c r="D879" i="1"/>
  <c r="E879" i="1"/>
  <c r="A888" i="1"/>
  <c r="B888" i="1"/>
  <c r="C888" i="1"/>
  <c r="D888" i="1"/>
  <c r="E888" i="1"/>
  <c r="A901" i="1"/>
  <c r="B901" i="1"/>
  <c r="C901" i="1"/>
  <c r="D901" i="1"/>
  <c r="E901" i="1"/>
  <c r="A905" i="1"/>
  <c r="B905" i="1"/>
  <c r="C905" i="1"/>
  <c r="D905" i="1"/>
  <c r="E905" i="1"/>
  <c r="A546" i="1"/>
  <c r="B546" i="1"/>
  <c r="C546" i="1"/>
  <c r="D546" i="1"/>
  <c r="E546" i="1"/>
  <c r="A295" i="1"/>
  <c r="B295" i="1"/>
  <c r="C295" i="1"/>
  <c r="D295" i="1"/>
  <c r="E295" i="1"/>
  <c r="A296" i="1"/>
  <c r="B296" i="1"/>
  <c r="C296" i="1"/>
  <c r="D296" i="1"/>
  <c r="E296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3" i="1"/>
  <c r="B343" i="1"/>
  <c r="C343" i="1"/>
  <c r="D343" i="1"/>
  <c r="E343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194" i="1"/>
  <c r="B194" i="1"/>
  <c r="C194" i="1"/>
  <c r="D194" i="1"/>
  <c r="E194" i="1"/>
  <c r="A294" i="1"/>
  <c r="B294" i="1"/>
  <c r="C294" i="1"/>
  <c r="D294" i="1"/>
  <c r="E294" i="1"/>
  <c r="A648" i="1"/>
  <c r="B648" i="1"/>
  <c r="C648" i="1"/>
  <c r="D648" i="1"/>
  <c r="E648" i="1"/>
  <c r="A652" i="1"/>
  <c r="B652" i="1"/>
  <c r="C652" i="1"/>
  <c r="D652" i="1"/>
  <c r="E652" i="1"/>
  <c r="A656" i="1"/>
  <c r="B656" i="1"/>
  <c r="C656" i="1"/>
  <c r="D656" i="1"/>
  <c r="E656" i="1"/>
  <c r="A985" i="1"/>
  <c r="B985" i="1"/>
  <c r="C985" i="1"/>
  <c r="D985" i="1"/>
  <c r="E985" i="1"/>
  <c r="A950" i="1"/>
  <c r="B950" i="1"/>
  <c r="C950" i="1"/>
  <c r="D950" i="1"/>
  <c r="E950" i="1"/>
  <c r="A1121" i="1"/>
  <c r="B1121" i="1"/>
  <c r="C1121" i="1"/>
  <c r="D1121" i="1"/>
  <c r="E1121" i="1"/>
  <c r="A626" i="1"/>
  <c r="B626" i="1"/>
  <c r="C626" i="1"/>
  <c r="D626" i="1"/>
  <c r="E626" i="1"/>
  <c r="A320" i="1"/>
  <c r="B320" i="1"/>
  <c r="C320" i="1"/>
  <c r="D320" i="1"/>
  <c r="E320" i="1"/>
  <c r="A327" i="1"/>
  <c r="B327" i="1"/>
  <c r="C327" i="1"/>
  <c r="D327" i="1"/>
  <c r="E327" i="1"/>
  <c r="A234" i="1"/>
  <c r="B234" i="1"/>
  <c r="C234" i="1"/>
  <c r="D234" i="1"/>
  <c r="E234" i="1"/>
  <c r="A354" i="1"/>
  <c r="B354" i="1"/>
  <c r="C354" i="1"/>
  <c r="D354" i="1"/>
  <c r="E354" i="1"/>
  <c r="A355" i="1"/>
  <c r="B355" i="1"/>
  <c r="C355" i="1"/>
  <c r="D355" i="1"/>
  <c r="E355" i="1"/>
  <c r="A792" i="1"/>
  <c r="B792" i="1"/>
  <c r="C792" i="1"/>
  <c r="D792" i="1"/>
  <c r="E792" i="1"/>
  <c r="A654" i="1"/>
  <c r="B654" i="1"/>
  <c r="C654" i="1"/>
  <c r="D654" i="1"/>
  <c r="E654" i="1"/>
  <c r="A655" i="1"/>
  <c r="B655" i="1"/>
  <c r="C655" i="1"/>
  <c r="D655" i="1"/>
  <c r="E655" i="1"/>
  <c r="A653" i="1"/>
  <c r="B653" i="1"/>
  <c r="C653" i="1"/>
  <c r="D653" i="1"/>
  <c r="E653" i="1"/>
  <c r="A646" i="1"/>
  <c r="B646" i="1"/>
  <c r="C646" i="1"/>
  <c r="D646" i="1"/>
  <c r="E646" i="1"/>
  <c r="A651" i="1"/>
  <c r="B651" i="1"/>
  <c r="C651" i="1"/>
  <c r="D651" i="1"/>
  <c r="E651" i="1"/>
  <c r="A650" i="1"/>
  <c r="B650" i="1"/>
  <c r="C650" i="1"/>
  <c r="D650" i="1"/>
  <c r="E650" i="1"/>
  <c r="A649" i="1"/>
  <c r="B649" i="1"/>
  <c r="C649" i="1"/>
  <c r="D649" i="1"/>
  <c r="E649" i="1"/>
  <c r="A210" i="1"/>
  <c r="B210" i="1"/>
  <c r="C210" i="1"/>
  <c r="D210" i="1"/>
  <c r="E210" i="1"/>
  <c r="A206" i="1"/>
  <c r="B206" i="1"/>
  <c r="C206" i="1"/>
  <c r="D206" i="1"/>
  <c r="E206" i="1"/>
  <c r="A208" i="1"/>
  <c r="B208" i="1"/>
  <c r="C208" i="1"/>
  <c r="D208" i="1"/>
  <c r="E208" i="1"/>
  <c r="A207" i="1"/>
  <c r="B207" i="1"/>
  <c r="C207" i="1"/>
  <c r="D207" i="1"/>
  <c r="E207" i="1"/>
  <c r="A376" i="1"/>
  <c r="B376" i="1"/>
  <c r="C376" i="1"/>
  <c r="D376" i="1"/>
  <c r="E376" i="1"/>
  <c r="A377" i="1"/>
  <c r="B377" i="1"/>
  <c r="C377" i="1"/>
  <c r="D377" i="1"/>
  <c r="E377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198" i="1"/>
  <c r="B198" i="1"/>
  <c r="C198" i="1"/>
  <c r="D198" i="1"/>
  <c r="E198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8" i="1"/>
  <c r="B48" i="1"/>
  <c r="C48" i="1"/>
  <c r="D48" i="1"/>
  <c r="E48" i="1"/>
  <c r="A41" i="1"/>
  <c r="B41" i="1"/>
  <c r="C41" i="1"/>
  <c r="D41" i="1"/>
  <c r="E41" i="1"/>
  <c r="A52" i="1"/>
  <c r="B52" i="1"/>
  <c r="C52" i="1"/>
  <c r="D52" i="1"/>
  <c r="E52" i="1"/>
  <c r="A492" i="1"/>
  <c r="B492" i="1"/>
  <c r="C492" i="1"/>
  <c r="D492" i="1"/>
  <c r="E492" i="1"/>
  <c r="A507" i="1"/>
  <c r="B507" i="1"/>
  <c r="C507" i="1"/>
  <c r="D507" i="1"/>
  <c r="E507" i="1"/>
  <c r="A226" i="1"/>
  <c r="B226" i="1"/>
  <c r="C226" i="1"/>
  <c r="D226" i="1"/>
  <c r="E226" i="1"/>
  <c r="A230" i="1"/>
  <c r="B230" i="1"/>
  <c r="C230" i="1"/>
  <c r="D230" i="1"/>
  <c r="E230" i="1"/>
  <c r="A225" i="1"/>
  <c r="B225" i="1"/>
  <c r="C225" i="1"/>
  <c r="D225" i="1"/>
  <c r="E225" i="1"/>
  <c r="A228" i="1"/>
  <c r="B228" i="1"/>
  <c r="C228" i="1"/>
  <c r="D228" i="1"/>
  <c r="E228" i="1"/>
  <c r="A224" i="1"/>
  <c r="B224" i="1"/>
  <c r="C224" i="1"/>
  <c r="D224" i="1"/>
  <c r="E224" i="1"/>
  <c r="A229" i="1"/>
  <c r="B229" i="1"/>
  <c r="C229" i="1"/>
  <c r="D229" i="1"/>
  <c r="E229" i="1"/>
  <c r="A308" i="1"/>
  <c r="B308" i="1"/>
  <c r="C308" i="1"/>
  <c r="D308" i="1"/>
  <c r="E308" i="1"/>
  <c r="A304" i="1"/>
  <c r="B304" i="1"/>
  <c r="C304" i="1"/>
  <c r="D304" i="1"/>
  <c r="E304" i="1"/>
  <c r="A32" i="1"/>
  <c r="B32" i="1"/>
  <c r="C32" i="1"/>
  <c r="D32" i="1"/>
  <c r="E32" i="1"/>
  <c r="A36" i="1"/>
  <c r="B36" i="1"/>
  <c r="C36" i="1"/>
  <c r="D36" i="1"/>
  <c r="E36" i="1"/>
  <c r="A7" i="1"/>
  <c r="B7" i="1"/>
  <c r="C7" i="1"/>
  <c r="D7" i="1"/>
  <c r="E7" i="1"/>
  <c r="A172" i="1"/>
  <c r="B172" i="1"/>
  <c r="C172" i="1"/>
  <c r="D172" i="1"/>
  <c r="E172" i="1"/>
  <c r="A217" i="1"/>
  <c r="B217" i="1"/>
  <c r="C217" i="1"/>
  <c r="D217" i="1"/>
  <c r="E217" i="1"/>
  <c r="A214" i="1"/>
  <c r="B214" i="1"/>
  <c r="C214" i="1"/>
  <c r="D214" i="1"/>
  <c r="E214" i="1"/>
  <c r="A323" i="1"/>
  <c r="B323" i="1"/>
  <c r="C323" i="1"/>
  <c r="D323" i="1"/>
  <c r="E323" i="1"/>
  <c r="A333" i="1"/>
  <c r="B333" i="1"/>
  <c r="C333" i="1"/>
  <c r="D333" i="1"/>
  <c r="E333" i="1"/>
  <c r="A331" i="1"/>
  <c r="B331" i="1"/>
  <c r="C331" i="1"/>
  <c r="D331" i="1"/>
  <c r="E331" i="1"/>
  <c r="A489" i="1"/>
  <c r="B489" i="1"/>
  <c r="C489" i="1"/>
  <c r="D489" i="1"/>
  <c r="E489" i="1"/>
  <c r="A986" i="1"/>
  <c r="B986" i="1"/>
  <c r="C986" i="1"/>
  <c r="D986" i="1"/>
  <c r="E986" i="1"/>
  <c r="A733" i="1"/>
  <c r="B733" i="1"/>
  <c r="C733" i="1"/>
  <c r="D733" i="1"/>
  <c r="E733" i="1"/>
  <c r="A744" i="1"/>
  <c r="B744" i="1"/>
  <c r="C744" i="1"/>
  <c r="D744" i="1"/>
  <c r="E744" i="1"/>
  <c r="A749" i="1"/>
  <c r="B749" i="1"/>
  <c r="C749" i="1"/>
  <c r="D749" i="1"/>
  <c r="E749" i="1"/>
  <c r="A753" i="1"/>
  <c r="B753" i="1"/>
  <c r="C753" i="1"/>
  <c r="D753" i="1"/>
  <c r="E753" i="1"/>
  <c r="A755" i="1"/>
  <c r="B755" i="1"/>
  <c r="C755" i="1"/>
  <c r="D755" i="1"/>
  <c r="E755" i="1"/>
  <c r="A764" i="1"/>
  <c r="B764" i="1"/>
  <c r="C764" i="1"/>
  <c r="D764" i="1"/>
  <c r="E764" i="1"/>
  <c r="A868" i="1"/>
  <c r="B868" i="1"/>
  <c r="C868" i="1"/>
  <c r="D868" i="1"/>
  <c r="E868" i="1"/>
  <c r="A499" i="1"/>
  <c r="B499" i="1"/>
  <c r="C499" i="1"/>
  <c r="D499" i="1"/>
  <c r="E499" i="1"/>
  <c r="A10" i="1"/>
  <c r="B10" i="1"/>
  <c r="C10" i="1"/>
  <c r="D10" i="1"/>
  <c r="E10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8" i="1"/>
  <c r="B258" i="1"/>
  <c r="C258" i="1"/>
  <c r="D258" i="1"/>
  <c r="E258" i="1"/>
  <c r="A105" i="1"/>
  <c r="B105" i="1"/>
  <c r="C105" i="1"/>
  <c r="D105" i="1"/>
  <c r="E105" i="1"/>
  <c r="A388" i="1"/>
  <c r="B388" i="1"/>
  <c r="C388" i="1"/>
  <c r="D388" i="1"/>
  <c r="E388" i="1"/>
  <c r="A547" i="1"/>
  <c r="B547" i="1"/>
  <c r="C547" i="1"/>
  <c r="D547" i="1"/>
  <c r="E547" i="1"/>
  <c r="A954" i="1"/>
  <c r="B954" i="1"/>
  <c r="C954" i="1"/>
  <c r="D954" i="1"/>
  <c r="E954" i="1"/>
  <c r="A999" i="1"/>
  <c r="B999" i="1"/>
  <c r="C999" i="1"/>
  <c r="D999" i="1"/>
  <c r="E999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74" i="1"/>
  <c r="B374" i="1"/>
  <c r="C374" i="1"/>
  <c r="D374" i="1"/>
  <c r="E374" i="1"/>
  <c r="A375" i="1"/>
  <c r="B375" i="1"/>
  <c r="C375" i="1"/>
  <c r="D375" i="1"/>
  <c r="E375" i="1"/>
  <c r="A1120" i="1"/>
  <c r="B1120" i="1"/>
  <c r="C1120" i="1"/>
  <c r="D1120" i="1"/>
  <c r="E1120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35" i="1"/>
  <c r="B335" i="1"/>
  <c r="C335" i="1"/>
  <c r="D335" i="1"/>
  <c r="E335" i="1"/>
  <c r="A336" i="1"/>
  <c r="B336" i="1"/>
  <c r="C336" i="1"/>
  <c r="D336" i="1"/>
  <c r="E336" i="1"/>
  <c r="A348" i="1"/>
  <c r="B348" i="1"/>
  <c r="C348" i="1"/>
  <c r="D348" i="1"/>
  <c r="E348" i="1"/>
  <c r="A322" i="1"/>
  <c r="B322" i="1"/>
  <c r="C322" i="1"/>
  <c r="D322" i="1"/>
  <c r="E322" i="1"/>
  <c r="A614" i="1"/>
  <c r="B614" i="1"/>
  <c r="C614" i="1"/>
  <c r="D614" i="1"/>
  <c r="E614" i="1"/>
  <c r="A615" i="1"/>
  <c r="B615" i="1"/>
  <c r="C615" i="1"/>
  <c r="D615" i="1"/>
  <c r="E615" i="1"/>
  <c r="A616" i="1"/>
  <c r="B616" i="1"/>
  <c r="C616" i="1"/>
  <c r="D616" i="1"/>
  <c r="E616" i="1"/>
  <c r="A303" i="1"/>
  <c r="B303" i="1"/>
  <c r="C303" i="1"/>
  <c r="D303" i="1"/>
  <c r="E303" i="1"/>
  <c r="A300" i="1"/>
  <c r="B300" i="1"/>
  <c r="C300" i="1"/>
  <c r="D300" i="1"/>
  <c r="E300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24" i="1"/>
  <c r="B1124" i="1"/>
  <c r="C1124" i="1"/>
  <c r="D1124" i="1"/>
  <c r="E1124" i="1"/>
  <c r="A710" i="1"/>
  <c r="B710" i="1"/>
  <c r="C710" i="1"/>
  <c r="D710" i="1"/>
  <c r="E710" i="1"/>
  <c r="A711" i="1"/>
  <c r="B711" i="1"/>
  <c r="C711" i="1"/>
  <c r="D711" i="1"/>
  <c r="E711" i="1"/>
  <c r="A196" i="1"/>
  <c r="B196" i="1"/>
  <c r="C196" i="1"/>
  <c r="D196" i="1"/>
  <c r="E196" i="1"/>
  <c r="A195" i="1"/>
  <c r="B195" i="1"/>
  <c r="C195" i="1"/>
  <c r="D195" i="1"/>
  <c r="E195" i="1"/>
  <c r="A309" i="1"/>
  <c r="B309" i="1"/>
  <c r="C309" i="1"/>
  <c r="D309" i="1"/>
  <c r="E309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<sst xmlns="http://schemas.openxmlformats.org/spreadsheetml/2006/main" count="49" uniqueCount="49">
  <si>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</si>
  <si>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</si>
  <si>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</si>
  <si>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</si>
  <si>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</si>
  <si>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</si>
  <si>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</si>
  <si>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</si>
  <si>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</si>
  <si>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</si>
  <si>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</si>
  <si>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</si>
  <si>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</si>
  <si>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</si>
  <si>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</si>
  <si>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</si>
  <si>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</si>
  <si>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</si>
  <si>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</si>
  <si>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</si>
  <si>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</si>
  <si>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</si>
  <si>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</si>
  <si>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</si>
  <si>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</si>
  <si>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</si>
  <si>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</si>
  <si>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</si>
  <si>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</si>
  <si>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</si>
  <si>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</si>
  <si>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</si>
  <si>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</si>
  <si>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</si>
  <si>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</si>
  <si>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</si>
  <si>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</si>
  <si>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</si>
  <si>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</si>
  <si>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</si>
  <si>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</si>
  <si>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</si>
  <si>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</si>
  <si>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</si>
  <si>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فوق العاده سختي کار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</si>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</sst>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42"/>
  <sheetViews>
    <sheetView rightToLeft="1" tabSelected="1" topLeftCell="AQ1" workbookViewId="0">
      <selection activeCell="AW2" sqref="AW2:AW1142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7.5703125" style="1" bestFit="1" customWidth="1"/>
    <col min="8" max="8" width="19" style="1" bestFit="1" customWidth="1"/>
    <col min="9" max="9" width="18" style="1" bestFit="1" customWidth="1"/>
    <col min="10" max="10" width="19.28515625" style="1" bestFit="1" customWidth="1"/>
    <col min="11" max="11" width="22.7109375" style="1" bestFit="1" customWidth="1"/>
    <col min="12" max="12" width="19.5703125" style="1" bestFit="1" customWidth="1"/>
    <col min="13" max="13" width="19" style="1" bestFit="1" customWidth="1"/>
    <col min="14" max="14" width="19.85546875" style="1" bestFit="1" customWidth="1"/>
    <col min="15" max="15" width="25.140625" style="1" bestFit="1" customWidth="1"/>
    <col min="16" max="16" width="19.5703125" style="1" bestFit="1" customWidth="1"/>
    <col min="17" max="17" width="18.42578125" style="1" bestFit="1" customWidth="1"/>
    <col min="18" max="18" width="20.28515625" style="1" bestFit="1" customWidth="1"/>
    <col min="19" max="19" width="27.7109375" style="1" bestFit="1" customWidth="1"/>
    <col min="20" max="20" width="20.140625" style="1" bestFit="1" customWidth="1"/>
    <col min="21" max="21" width="22.85546875" style="1" bestFit="1" customWidth="1"/>
    <col min="22" max="22" width="21.42578125" style="1" bestFit="1" customWidth="1"/>
    <col min="23" max="23" width="29.42578125" style="1" bestFit="1" customWidth="1"/>
    <col min="24" max="24" width="19.7109375" style="1" bestFit="1" customWidth="1"/>
    <col min="25" max="25" width="9" style="1" bestFit="1" customWidth="1"/>
    <col min="26" max="26" width="15" style="1" bestFit="1" customWidth="1"/>
    <col min="27" max="27" width="15.140625" style="1" bestFit="1" customWidth="1"/>
    <col min="28" max="28" width="19.140625" style="1" bestFit="1" customWidth="1"/>
    <col min="29" max="29" width="24.42578125" style="1" bestFit="1" customWidth="1"/>
    <col min="30" max="30" width="16.42578125" style="1" bestFit="1" customWidth="1"/>
    <col min="31" max="31" width="20.42578125" style="1" bestFit="1" customWidth="1"/>
    <col min="32" max="32" width="18.7109375" style="1" bestFit="1" customWidth="1"/>
    <col min="33" max="33" width="27.42578125" style="1" bestFit="1" customWidth="1"/>
    <col min="34" max="34" width="17.85546875" style="1" bestFit="1" customWidth="1"/>
    <col min="35" max="35" width="26.28515625" style="1" bestFit="1" customWidth="1"/>
    <col min="36" max="36" width="11.28515625" style="1" bestFit="1" customWidth="1"/>
    <col min="37" max="37" width="28.42578125" style="1" bestFit="1" customWidth="1"/>
    <col min="38" max="38" width="17.85546875" style="1" bestFit="1" customWidth="1"/>
    <col min="39" max="39" width="22.140625" style="1" bestFit="1" customWidth="1"/>
    <col min="40" max="40" width="23.7109375" style="1" bestFit="1" customWidth="1"/>
    <col min="41" max="41" width="12.42578125" style="1" bestFit="1" customWidth="1"/>
    <col min="42" max="42" width="18.7109375" style="1" bestFit="1" customWidth="1"/>
    <col min="43" max="43" width="28.5703125" style="1" bestFit="1" customWidth="1"/>
    <col min="44" max="44" width="24.5703125" style="1" bestFit="1" customWidth="1"/>
    <col min="45" max="45" width="17.140625" style="1" bestFit="1" customWidth="1"/>
    <col min="46" max="46" width="21.85546875" style="1" bestFit="1" customWidth="1"/>
    <col min="47" max="47" width="40.7109375" style="1" bestFit="1" customWidth="1"/>
    <col min="48" max="48" width="18.28515625" style="1" bestFit="1" customWidth="1"/>
    <col min="49" max="49" width="11.28515625" style="1" bestFit="1" customWidth="1"/>
    <col min="50" max="16384" width="9.140625" style="1"/>
  </cols>
  <sheetData>
    <row r="1" spans="1:4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45</v>
      </c>
      <c r="AS1" s="2" t="s">
        <v>46</v>
      </c>
      <c r="AT1" s="2" t="s">
        <v>47</v>
      </c>
      <c r="AU1" s="2" t="s">
        <v>5</v>
      </c>
      <c r="AV1" s="2" t="s">
        <v>6</v>
      </c>
      <c r="AW1" s="1" t="s">
        <v>48</v>
      </c>
    </row>
    <row r="2" spans="1:49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21703482</v>
      </c>
      <c r="G2" s="1">
        <v>0</v>
      </c>
      <c r="H2" s="1">
        <v>0</v>
      </c>
      <c r="I2" s="1">
        <v>0</v>
      </c>
      <c r="J2" s="1">
        <v>0</v>
      </c>
      <c r="K2" s="1">
        <v>24653727</v>
      </c>
      <c r="L2" s="1">
        <v>0</v>
      </c>
      <c r="M2" s="1">
        <v>4620000</v>
      </c>
      <c r="N2" s="1">
        <v>0</v>
      </c>
      <c r="O2" s="1">
        <v>1000000</v>
      </c>
      <c r="P2" s="1">
        <v>4285273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1848000</v>
      </c>
      <c r="W2" s="1">
        <v>0</v>
      </c>
      <c r="X2" s="1">
        <v>28341799</v>
      </c>
      <c r="Y2" s="1">
        <v>4000000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3367000</v>
      </c>
      <c r="AH2" s="1">
        <v>3670854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10039782</v>
      </c>
      <c r="AO2" s="1">
        <v>0</v>
      </c>
      <c r="AP2" s="1">
        <v>0</v>
      </c>
      <c r="AQ2" s="1">
        <v>0</v>
      </c>
      <c r="AR2" s="1">
        <v>107529917</v>
      </c>
      <c r="AS2" s="1">
        <v>48956615</v>
      </c>
      <c r="AT2" s="1">
        <v>58573302</v>
      </c>
      <c r="AU2" s="1">
        <v>20771813</v>
      </c>
      <c r="AV2" s="1">
        <v>3115772</v>
      </c>
      <c r="AW2" s="1">
        <f>AR2+AU2+AV2</f>
        <v>131417502</v>
      </c>
    </row>
    <row r="3" spans="1:49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17" si="1">"قراردادي کارگري"</f>
        <v>قراردادي کارگري</v>
      </c>
      <c r="E3" s="1" t="str">
        <f t="shared" si="0"/>
        <v>پروژه تعميرات نيروگاه بوشهر</v>
      </c>
      <c r="F3" s="1">
        <v>0</v>
      </c>
      <c r="G3" s="1">
        <v>7973097</v>
      </c>
      <c r="H3" s="1">
        <v>3986548</v>
      </c>
      <c r="I3" s="1">
        <v>6361002</v>
      </c>
      <c r="J3" s="1">
        <v>0</v>
      </c>
      <c r="K3" s="1">
        <v>11242066</v>
      </c>
      <c r="L3" s="1">
        <v>0</v>
      </c>
      <c r="M3" s="1">
        <v>0</v>
      </c>
      <c r="N3" s="1">
        <v>11331151</v>
      </c>
      <c r="O3" s="1">
        <v>2000000</v>
      </c>
      <c r="P3" s="1">
        <v>6378477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2640000</v>
      </c>
      <c r="W3" s="1">
        <v>0</v>
      </c>
      <c r="X3" s="1">
        <v>15428964</v>
      </c>
      <c r="Y3" s="1">
        <v>4000000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71341305</v>
      </c>
      <c r="AS3" s="1">
        <v>9466970</v>
      </c>
      <c r="AT3" s="1">
        <v>61874335</v>
      </c>
      <c r="AU3" s="1">
        <v>14268261</v>
      </c>
      <c r="AV3" s="1">
        <v>2140239</v>
      </c>
      <c r="AW3" s="1">
        <f t="shared" ref="AW3:AW66" si="2">AR3+AU3+AV3</f>
        <v>87749805</v>
      </c>
    </row>
    <row r="4" spans="1:49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0</v>
      </c>
      <c r="G4" s="1">
        <v>5970319</v>
      </c>
      <c r="H4" s="1">
        <v>3104566</v>
      </c>
      <c r="I4" s="1">
        <v>9235195</v>
      </c>
      <c r="J4" s="1">
        <v>0</v>
      </c>
      <c r="K4" s="1">
        <v>8802638</v>
      </c>
      <c r="L4" s="1">
        <v>0</v>
      </c>
      <c r="M4" s="1">
        <v>0</v>
      </c>
      <c r="N4" s="1">
        <v>11572430</v>
      </c>
      <c r="O4" s="1">
        <v>2000000</v>
      </c>
      <c r="P4" s="1">
        <v>4776255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9399094</v>
      </c>
      <c r="Y4" s="1">
        <v>4000000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5133931</v>
      </c>
      <c r="AG4" s="1">
        <v>0</v>
      </c>
      <c r="AH4" s="1">
        <v>3670854</v>
      </c>
      <c r="AI4" s="1">
        <v>0</v>
      </c>
      <c r="AJ4" s="1">
        <v>0</v>
      </c>
      <c r="AK4" s="1">
        <v>0</v>
      </c>
      <c r="AL4" s="1">
        <v>3940350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71605632</v>
      </c>
      <c r="AS4" s="1">
        <v>11739156</v>
      </c>
      <c r="AT4" s="1">
        <v>59866476</v>
      </c>
      <c r="AU4" s="1">
        <v>13586956</v>
      </c>
      <c r="AV4" s="1">
        <v>2038043</v>
      </c>
      <c r="AW4" s="1">
        <f t="shared" si="2"/>
        <v>87230631</v>
      </c>
    </row>
    <row r="5" spans="1:49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0</v>
      </c>
      <c r="G5" s="1">
        <v>5909493</v>
      </c>
      <c r="H5" s="1">
        <v>3545695</v>
      </c>
      <c r="I5" s="1">
        <v>3271932</v>
      </c>
      <c r="J5" s="1">
        <v>0</v>
      </c>
      <c r="K5" s="1">
        <v>7942358</v>
      </c>
      <c r="L5" s="1">
        <v>0</v>
      </c>
      <c r="M5" s="1">
        <v>0</v>
      </c>
      <c r="N5" s="1">
        <v>11550467</v>
      </c>
      <c r="O5" s="1">
        <v>2000000</v>
      </c>
      <c r="P5" s="1">
        <v>4727594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17844335</v>
      </c>
      <c r="Y5" s="1">
        <v>4000000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5051341</v>
      </c>
      <c r="AG5" s="1">
        <v>0</v>
      </c>
      <c r="AH5" s="1">
        <v>3670854</v>
      </c>
      <c r="AI5" s="1">
        <v>0</v>
      </c>
      <c r="AJ5" s="1">
        <v>0</v>
      </c>
      <c r="AK5" s="1">
        <v>0</v>
      </c>
      <c r="AL5" s="1">
        <v>4653414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74167483</v>
      </c>
      <c r="AS5" s="1">
        <v>21262836</v>
      </c>
      <c r="AT5" s="1">
        <v>52904647</v>
      </c>
      <c r="AU5" s="1">
        <v>14099326</v>
      </c>
      <c r="AV5" s="1">
        <v>2114899</v>
      </c>
      <c r="AW5" s="1">
        <f t="shared" si="2"/>
        <v>90381708</v>
      </c>
    </row>
    <row r="6" spans="1:49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0</v>
      </c>
      <c r="G6" s="1">
        <v>6424175</v>
      </c>
      <c r="H6" s="1">
        <v>3340571</v>
      </c>
      <c r="I6" s="1">
        <v>2682723</v>
      </c>
      <c r="J6" s="1">
        <v>0</v>
      </c>
      <c r="K6" s="1">
        <v>9178862</v>
      </c>
      <c r="L6" s="1">
        <v>0</v>
      </c>
      <c r="M6" s="1">
        <v>0</v>
      </c>
      <c r="N6" s="1">
        <v>11521166</v>
      </c>
      <c r="O6" s="1">
        <v>2000000</v>
      </c>
      <c r="P6" s="1">
        <v>5139340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18707342</v>
      </c>
      <c r="Y6" s="1">
        <v>4000000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5340617</v>
      </c>
      <c r="AG6" s="1">
        <v>0</v>
      </c>
      <c r="AH6" s="1">
        <v>5506281</v>
      </c>
      <c r="AI6" s="1">
        <v>0</v>
      </c>
      <c r="AJ6" s="1">
        <v>0</v>
      </c>
      <c r="AK6" s="1">
        <v>0</v>
      </c>
      <c r="AL6" s="1">
        <v>4905551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78746628</v>
      </c>
      <c r="AS6" s="1">
        <v>17391084</v>
      </c>
      <c r="AT6" s="1">
        <v>61355544</v>
      </c>
      <c r="AU6" s="1">
        <v>14648069</v>
      </c>
      <c r="AV6" s="1">
        <v>2197210</v>
      </c>
      <c r="AW6" s="1">
        <f t="shared" si="2"/>
        <v>95591907</v>
      </c>
    </row>
    <row r="7" spans="1:49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0</v>
      </c>
      <c r="G7" s="1">
        <v>6138761</v>
      </c>
      <c r="H7" s="1">
        <v>3069380</v>
      </c>
      <c r="I7" s="1">
        <v>10099453</v>
      </c>
      <c r="J7" s="1">
        <v>0</v>
      </c>
      <c r="K7" s="1">
        <v>8379409</v>
      </c>
      <c r="L7" s="1">
        <v>0</v>
      </c>
      <c r="M7" s="1">
        <v>0</v>
      </c>
      <c r="N7" s="1">
        <v>11521166</v>
      </c>
      <c r="O7" s="1">
        <v>2000000</v>
      </c>
      <c r="P7" s="1">
        <v>4911009</v>
      </c>
      <c r="Q7" s="1">
        <v>0</v>
      </c>
      <c r="R7" s="1">
        <v>0</v>
      </c>
      <c r="S7" s="1">
        <v>0</v>
      </c>
      <c r="T7" s="1">
        <v>4271177</v>
      </c>
      <c r="U7" s="1">
        <v>0</v>
      </c>
      <c r="V7" s="1">
        <v>0</v>
      </c>
      <c r="W7" s="1">
        <v>0</v>
      </c>
      <c r="X7" s="1">
        <v>9351086</v>
      </c>
      <c r="Y7" s="1">
        <v>4000000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5102959</v>
      </c>
      <c r="AG7" s="1">
        <v>0</v>
      </c>
      <c r="AH7" s="1">
        <v>3670854</v>
      </c>
      <c r="AI7" s="1">
        <v>0</v>
      </c>
      <c r="AJ7" s="1">
        <v>0</v>
      </c>
      <c r="AK7" s="1">
        <v>0</v>
      </c>
      <c r="AL7" s="1">
        <v>3917363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76432617</v>
      </c>
      <c r="AS7" s="1">
        <v>13483588</v>
      </c>
      <c r="AT7" s="1">
        <v>62949029</v>
      </c>
      <c r="AU7" s="1">
        <v>13698117</v>
      </c>
      <c r="AV7" s="1">
        <v>2054718</v>
      </c>
      <c r="AW7" s="1">
        <f t="shared" si="2"/>
        <v>92185452</v>
      </c>
    </row>
    <row r="8" spans="1:49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0</v>
      </c>
      <c r="G8" s="1">
        <v>8403364</v>
      </c>
      <c r="H8" s="1">
        <v>4621850</v>
      </c>
      <c r="I8" s="1">
        <v>6541983</v>
      </c>
      <c r="J8" s="1">
        <v>0</v>
      </c>
      <c r="K8" s="1">
        <v>10941180</v>
      </c>
      <c r="L8" s="1">
        <v>0</v>
      </c>
      <c r="M8" s="1">
        <v>0</v>
      </c>
      <c r="N8" s="1">
        <v>11521166</v>
      </c>
      <c r="O8" s="1">
        <v>2000000</v>
      </c>
      <c r="P8" s="1">
        <v>6722691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2640000</v>
      </c>
      <c r="W8" s="1">
        <v>0</v>
      </c>
      <c r="X8" s="1">
        <v>17724343</v>
      </c>
      <c r="Y8" s="1">
        <v>4000000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1871573</v>
      </c>
      <c r="AF8" s="1">
        <v>0</v>
      </c>
      <c r="AG8" s="1">
        <v>0</v>
      </c>
      <c r="AH8" s="1">
        <v>3670854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80659004</v>
      </c>
      <c r="AS8" s="1">
        <v>22322090</v>
      </c>
      <c r="AT8" s="1">
        <v>58336914</v>
      </c>
      <c r="AU8" s="1">
        <v>15397630</v>
      </c>
      <c r="AV8" s="1">
        <v>2309645</v>
      </c>
      <c r="AW8" s="1">
        <f t="shared" si="2"/>
        <v>98366279</v>
      </c>
    </row>
    <row r="9" spans="1:49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0</v>
      </c>
      <c r="G9" s="1">
        <v>6265092</v>
      </c>
      <c r="H9" s="1">
        <v>3195197</v>
      </c>
      <c r="I9" s="1">
        <v>0</v>
      </c>
      <c r="J9" s="1">
        <v>0</v>
      </c>
      <c r="K9" s="1">
        <v>8703465</v>
      </c>
      <c r="L9" s="1">
        <v>0</v>
      </c>
      <c r="M9" s="1">
        <v>0</v>
      </c>
      <c r="N9" s="1">
        <v>11521166</v>
      </c>
      <c r="O9" s="1">
        <v>2000000</v>
      </c>
      <c r="P9" s="1">
        <v>5012074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2640000</v>
      </c>
      <c r="W9" s="1">
        <v>0</v>
      </c>
      <c r="X9" s="1">
        <v>13393765</v>
      </c>
      <c r="Y9" s="1">
        <v>4000000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1835427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58566186</v>
      </c>
      <c r="AS9" s="1">
        <v>15889835</v>
      </c>
      <c r="AT9" s="1">
        <v>42676351</v>
      </c>
      <c r="AU9" s="1">
        <v>11346152</v>
      </c>
      <c r="AV9" s="1">
        <v>1701923</v>
      </c>
      <c r="AW9" s="1">
        <f t="shared" si="2"/>
        <v>71614261</v>
      </c>
    </row>
    <row r="10" spans="1:49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0</v>
      </c>
      <c r="G10" s="1">
        <v>6611333</v>
      </c>
      <c r="H10" s="1">
        <v>3371780</v>
      </c>
      <c r="I10" s="1">
        <v>8185371</v>
      </c>
      <c r="J10" s="1">
        <v>0</v>
      </c>
      <c r="K10" s="1">
        <v>9683619</v>
      </c>
      <c r="L10" s="1">
        <v>0</v>
      </c>
      <c r="M10" s="1">
        <v>0</v>
      </c>
      <c r="N10" s="1">
        <v>11521166</v>
      </c>
      <c r="O10" s="1">
        <v>2000000</v>
      </c>
      <c r="P10" s="1">
        <v>5289066</v>
      </c>
      <c r="Q10" s="1">
        <v>0</v>
      </c>
      <c r="R10" s="1">
        <v>0</v>
      </c>
      <c r="S10" s="1">
        <v>0</v>
      </c>
      <c r="T10" s="1">
        <v>4579682</v>
      </c>
      <c r="U10" s="1">
        <v>0</v>
      </c>
      <c r="V10" s="1">
        <v>0</v>
      </c>
      <c r="W10" s="1">
        <v>0</v>
      </c>
      <c r="X10" s="1">
        <v>9922394</v>
      </c>
      <c r="Y10" s="1">
        <v>4000000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5471544</v>
      </c>
      <c r="AG10" s="1">
        <v>0</v>
      </c>
      <c r="AH10" s="1">
        <v>7341708</v>
      </c>
      <c r="AI10" s="1">
        <v>0</v>
      </c>
      <c r="AJ10" s="1">
        <v>0</v>
      </c>
      <c r="AK10" s="1">
        <v>0</v>
      </c>
      <c r="AL10" s="1">
        <v>6286365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84264028</v>
      </c>
      <c r="AS10" s="1">
        <v>12073191</v>
      </c>
      <c r="AT10" s="1">
        <v>72190837</v>
      </c>
      <c r="AU10" s="1">
        <v>14468528</v>
      </c>
      <c r="AV10" s="1">
        <v>2170279</v>
      </c>
      <c r="AW10" s="1">
        <f t="shared" si="2"/>
        <v>100902835</v>
      </c>
    </row>
    <row r="11" spans="1:49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0</v>
      </c>
      <c r="G11" s="1">
        <v>5918851</v>
      </c>
      <c r="H11" s="1">
        <v>3077802</v>
      </c>
      <c r="I11" s="1">
        <v>0</v>
      </c>
      <c r="J11" s="1">
        <v>0</v>
      </c>
      <c r="K11" s="1">
        <v>8366888</v>
      </c>
      <c r="L11" s="1">
        <v>0</v>
      </c>
      <c r="M11" s="1">
        <v>0</v>
      </c>
      <c r="N11" s="1">
        <v>11572430</v>
      </c>
      <c r="O11" s="1">
        <v>2000000</v>
      </c>
      <c r="P11" s="1">
        <v>4735081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2640000</v>
      </c>
      <c r="W11" s="1">
        <v>0</v>
      </c>
      <c r="X11" s="1">
        <v>13057769</v>
      </c>
      <c r="Y11" s="1">
        <v>4000000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3670854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59039675</v>
      </c>
      <c r="AS11" s="1">
        <v>59039675</v>
      </c>
      <c r="AT11" s="1">
        <v>0</v>
      </c>
      <c r="AU11" s="1">
        <v>11073764</v>
      </c>
      <c r="AV11" s="1">
        <v>1661065</v>
      </c>
      <c r="AW11" s="1">
        <f t="shared" si="2"/>
        <v>71774504</v>
      </c>
    </row>
    <row r="12" spans="1:49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0</v>
      </c>
      <c r="G12" s="1">
        <v>6101329</v>
      </c>
      <c r="H12" s="1">
        <v>3294717</v>
      </c>
      <c r="I12" s="1">
        <v>0</v>
      </c>
      <c r="J12" s="1">
        <v>0</v>
      </c>
      <c r="K12" s="1">
        <v>8644363</v>
      </c>
      <c r="L12" s="1">
        <v>0</v>
      </c>
      <c r="M12" s="1">
        <v>0</v>
      </c>
      <c r="N12" s="1">
        <v>11521166</v>
      </c>
      <c r="O12" s="1">
        <v>2000000</v>
      </c>
      <c r="P12" s="1">
        <v>4881064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2640000</v>
      </c>
      <c r="W12" s="1">
        <v>0</v>
      </c>
      <c r="X12" s="1">
        <v>13513677</v>
      </c>
      <c r="Y12" s="1">
        <v>4000000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56596316</v>
      </c>
      <c r="AS12" s="1">
        <v>9434534</v>
      </c>
      <c r="AT12" s="1">
        <v>47161782</v>
      </c>
      <c r="AU12" s="1">
        <v>11319263</v>
      </c>
      <c r="AV12" s="1">
        <v>1697889</v>
      </c>
      <c r="AW12" s="1">
        <f t="shared" si="2"/>
        <v>69613468</v>
      </c>
    </row>
    <row r="13" spans="1:49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0</v>
      </c>
      <c r="G13" s="1">
        <v>7695324</v>
      </c>
      <c r="H13" s="1">
        <v>3847662</v>
      </c>
      <c r="I13" s="1">
        <v>2694377</v>
      </c>
      <c r="J13" s="1">
        <v>0</v>
      </c>
      <c r="K13" s="1">
        <v>10273257</v>
      </c>
      <c r="L13" s="1">
        <v>0</v>
      </c>
      <c r="M13" s="1">
        <v>0</v>
      </c>
      <c r="N13" s="1">
        <v>11331151</v>
      </c>
      <c r="O13" s="1">
        <v>2000000</v>
      </c>
      <c r="P13" s="1">
        <v>6156259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2640000</v>
      </c>
      <c r="W13" s="1">
        <v>0</v>
      </c>
      <c r="X13" s="1">
        <v>15243724</v>
      </c>
      <c r="Y13" s="1">
        <v>4000000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3670854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69552608</v>
      </c>
      <c r="AS13" s="1">
        <v>11329812</v>
      </c>
      <c r="AT13" s="1">
        <v>58222796</v>
      </c>
      <c r="AU13" s="1">
        <v>13176351</v>
      </c>
      <c r="AV13" s="1">
        <v>1976453</v>
      </c>
      <c r="AW13" s="1">
        <f t="shared" si="2"/>
        <v>84705412</v>
      </c>
    </row>
    <row r="14" spans="1:49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0</v>
      </c>
      <c r="G14" s="1">
        <v>7793059</v>
      </c>
      <c r="H14" s="1">
        <v>3896530</v>
      </c>
      <c r="I14" s="1">
        <v>0</v>
      </c>
      <c r="J14" s="1">
        <v>0</v>
      </c>
      <c r="K14" s="1">
        <v>7948920</v>
      </c>
      <c r="L14" s="1">
        <v>0</v>
      </c>
      <c r="M14" s="1">
        <v>0</v>
      </c>
      <c r="N14" s="1">
        <v>11331151</v>
      </c>
      <c r="O14" s="1">
        <v>2000000</v>
      </c>
      <c r="P14" s="1">
        <v>6234448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2640000</v>
      </c>
      <c r="W14" s="1">
        <v>0</v>
      </c>
      <c r="X14" s="1">
        <v>14431866</v>
      </c>
      <c r="Y14" s="1">
        <v>4000000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60275974</v>
      </c>
      <c r="AS14" s="1">
        <v>18616237</v>
      </c>
      <c r="AT14" s="1">
        <v>41659737</v>
      </c>
      <c r="AU14" s="1">
        <v>12055195</v>
      </c>
      <c r="AV14" s="1">
        <v>1808279</v>
      </c>
      <c r="AW14" s="1">
        <f t="shared" si="2"/>
        <v>74139448</v>
      </c>
    </row>
    <row r="15" spans="1:49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0</v>
      </c>
      <c r="G15" s="1">
        <v>5886098</v>
      </c>
      <c r="H15" s="1">
        <v>3531658</v>
      </c>
      <c r="I15" s="1">
        <v>0</v>
      </c>
      <c r="J15" s="1">
        <v>0</v>
      </c>
      <c r="K15" s="1">
        <v>8946869</v>
      </c>
      <c r="L15" s="1">
        <v>0</v>
      </c>
      <c r="M15" s="1">
        <v>0</v>
      </c>
      <c r="N15" s="1">
        <v>11572430</v>
      </c>
      <c r="O15" s="1">
        <v>2000000</v>
      </c>
      <c r="P15" s="1">
        <v>4708878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2640000</v>
      </c>
      <c r="W15" s="1">
        <v>0</v>
      </c>
      <c r="X15" s="1">
        <v>9825027</v>
      </c>
      <c r="Y15" s="1">
        <v>4000000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1871573</v>
      </c>
      <c r="AF15" s="1">
        <v>0</v>
      </c>
      <c r="AG15" s="1">
        <v>0</v>
      </c>
      <c r="AH15" s="1">
        <v>1835427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56817960</v>
      </c>
      <c r="AS15" s="1">
        <v>11399024</v>
      </c>
      <c r="AT15" s="1">
        <v>45418936</v>
      </c>
      <c r="AU15" s="1">
        <v>10996507</v>
      </c>
      <c r="AV15" s="1">
        <v>1649476</v>
      </c>
      <c r="AW15" s="1">
        <f t="shared" si="2"/>
        <v>69463943</v>
      </c>
    </row>
    <row r="16" spans="1:49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0</v>
      </c>
      <c r="G16" s="1">
        <v>4664897</v>
      </c>
      <c r="H16" s="1">
        <v>2798938</v>
      </c>
      <c r="I16" s="1">
        <v>2688073</v>
      </c>
      <c r="J16" s="1">
        <v>0</v>
      </c>
      <c r="K16" s="1">
        <v>6418897</v>
      </c>
      <c r="L16" s="1">
        <v>0</v>
      </c>
      <c r="M16" s="1">
        <v>0</v>
      </c>
      <c r="N16" s="1">
        <v>11572430</v>
      </c>
      <c r="O16" s="1">
        <v>2000000</v>
      </c>
      <c r="P16" s="1">
        <v>3498673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2640000</v>
      </c>
      <c r="W16" s="1">
        <v>0</v>
      </c>
      <c r="X16" s="1">
        <v>9139997</v>
      </c>
      <c r="Y16" s="1">
        <v>4000000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3670854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53092759</v>
      </c>
      <c r="AS16" s="1">
        <v>13631233</v>
      </c>
      <c r="AT16" s="1">
        <v>39461526</v>
      </c>
      <c r="AU16" s="1">
        <v>9884381</v>
      </c>
      <c r="AV16" s="1">
        <v>1482657</v>
      </c>
      <c r="AW16" s="1">
        <f t="shared" si="2"/>
        <v>64459797</v>
      </c>
    </row>
    <row r="17" spans="1:49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0</v>
      </c>
      <c r="G17" s="1">
        <v>6573901</v>
      </c>
      <c r="H17" s="1">
        <v>3418429</v>
      </c>
      <c r="I17" s="1">
        <v>3204887</v>
      </c>
      <c r="J17" s="1">
        <v>0</v>
      </c>
      <c r="K17" s="1">
        <v>8993097</v>
      </c>
      <c r="L17" s="1">
        <v>0</v>
      </c>
      <c r="M17" s="1">
        <v>0</v>
      </c>
      <c r="N17" s="1">
        <v>11521166</v>
      </c>
      <c r="O17" s="1">
        <v>2000000</v>
      </c>
      <c r="P17" s="1">
        <v>5259121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2640000</v>
      </c>
      <c r="W17" s="1">
        <v>0</v>
      </c>
      <c r="X17" s="1">
        <v>9652115</v>
      </c>
      <c r="Y17" s="1">
        <v>4000000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3670854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60933570</v>
      </c>
      <c r="AS17" s="1">
        <v>6036908</v>
      </c>
      <c r="AT17" s="1">
        <v>54896662</v>
      </c>
      <c r="AU17" s="1">
        <v>11452543</v>
      </c>
      <c r="AV17" s="1">
        <v>1717881</v>
      </c>
      <c r="AW17" s="1">
        <f t="shared" si="2"/>
        <v>74103994</v>
      </c>
    </row>
    <row r="18" spans="1:49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 t="shared" si="0"/>
        <v>پروژه تعميرات نيروگاه بوشهر</v>
      </c>
      <c r="F18" s="1">
        <v>14410205</v>
      </c>
      <c r="G18" s="1">
        <v>0</v>
      </c>
      <c r="H18" s="1">
        <v>0</v>
      </c>
      <c r="I18" s="1">
        <v>6602385</v>
      </c>
      <c r="J18" s="1">
        <v>0</v>
      </c>
      <c r="K18" s="1">
        <v>9212658</v>
      </c>
      <c r="L18" s="1">
        <v>0</v>
      </c>
      <c r="M18" s="1">
        <v>4620000</v>
      </c>
      <c r="N18" s="1">
        <v>0</v>
      </c>
      <c r="O18" s="1">
        <v>1000000</v>
      </c>
      <c r="P18" s="1">
        <v>2420386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1848000</v>
      </c>
      <c r="W18" s="1">
        <v>0</v>
      </c>
      <c r="X18" s="1">
        <v>7669280</v>
      </c>
      <c r="Y18" s="1">
        <v>4000000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1901731</v>
      </c>
      <c r="AH18" s="1">
        <v>1835427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6915387</v>
      </c>
      <c r="AO18" s="1">
        <v>0</v>
      </c>
      <c r="AP18" s="1">
        <v>0</v>
      </c>
      <c r="AQ18" s="1">
        <v>0</v>
      </c>
      <c r="AR18" s="1">
        <v>62435459</v>
      </c>
      <c r="AS18" s="1">
        <v>9281020</v>
      </c>
      <c r="AT18" s="1">
        <v>53154439</v>
      </c>
      <c r="AU18" s="1">
        <v>12120006</v>
      </c>
      <c r="AV18" s="1">
        <v>1818001</v>
      </c>
      <c r="AW18" s="1">
        <f t="shared" si="2"/>
        <v>76373466</v>
      </c>
    </row>
    <row r="19" spans="1:49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 t="shared" si="0"/>
        <v>پروژه تعميرات نيروگاه بوشهر</v>
      </c>
      <c r="F19" s="1">
        <v>0</v>
      </c>
      <c r="G19" s="1">
        <v>7032437</v>
      </c>
      <c r="H19" s="1">
        <v>3516218</v>
      </c>
      <c r="I19" s="1">
        <v>4076646</v>
      </c>
      <c r="J19" s="1">
        <v>0</v>
      </c>
      <c r="K19" s="1">
        <v>10337682</v>
      </c>
      <c r="L19" s="1">
        <v>0</v>
      </c>
      <c r="M19" s="1">
        <v>0</v>
      </c>
      <c r="N19" s="1">
        <v>11521166</v>
      </c>
      <c r="O19" s="1">
        <v>2000000</v>
      </c>
      <c r="P19" s="1">
        <v>5625949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2640000</v>
      </c>
      <c r="W19" s="1">
        <v>0</v>
      </c>
      <c r="X19" s="1">
        <v>14486456</v>
      </c>
      <c r="Y19" s="1">
        <v>4000000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3670854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68907408</v>
      </c>
      <c r="AS19" s="1">
        <v>11858903</v>
      </c>
      <c r="AT19" s="1">
        <v>57048505</v>
      </c>
      <c r="AU19" s="1">
        <v>13047311</v>
      </c>
      <c r="AV19" s="1">
        <v>1957097</v>
      </c>
      <c r="AW19" s="1">
        <f t="shared" si="2"/>
        <v>83911816</v>
      </c>
    </row>
    <row r="20" spans="1:49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 t="shared" si="0"/>
        <v>پروژه تعميرات نيروگاه بوشهر</v>
      </c>
      <c r="F20" s="1">
        <v>0</v>
      </c>
      <c r="G20" s="1">
        <v>7289778</v>
      </c>
      <c r="H20" s="1">
        <v>3717787</v>
      </c>
      <c r="I20" s="1">
        <v>0</v>
      </c>
      <c r="J20" s="1">
        <v>0</v>
      </c>
      <c r="K20" s="1">
        <v>10016884</v>
      </c>
      <c r="L20" s="1">
        <v>0</v>
      </c>
      <c r="M20" s="1">
        <v>0</v>
      </c>
      <c r="N20" s="1">
        <v>11521166</v>
      </c>
      <c r="O20" s="1">
        <v>2000000</v>
      </c>
      <c r="P20" s="1">
        <v>5831822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2640000</v>
      </c>
      <c r="W20" s="1">
        <v>0</v>
      </c>
      <c r="X20" s="1">
        <v>11255802</v>
      </c>
      <c r="Y20" s="1">
        <v>4000000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1835427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60108666</v>
      </c>
      <c r="AS20" s="1">
        <v>19976734</v>
      </c>
      <c r="AT20" s="1">
        <v>40131932</v>
      </c>
      <c r="AU20" s="1">
        <v>11654648</v>
      </c>
      <c r="AV20" s="1">
        <v>1748197</v>
      </c>
      <c r="AW20" s="1">
        <f t="shared" si="2"/>
        <v>73511511</v>
      </c>
    </row>
    <row r="21" spans="1:49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20310328</v>
      </c>
      <c r="G21" s="1">
        <v>0</v>
      </c>
      <c r="H21" s="1">
        <v>0</v>
      </c>
      <c r="I21" s="1">
        <v>2360712</v>
      </c>
      <c r="J21" s="1">
        <v>0</v>
      </c>
      <c r="K21" s="1">
        <v>17560618</v>
      </c>
      <c r="L21" s="1">
        <v>0</v>
      </c>
      <c r="M21" s="1">
        <v>4620000</v>
      </c>
      <c r="N21" s="1">
        <v>0</v>
      </c>
      <c r="O21" s="1">
        <v>1000000</v>
      </c>
      <c r="P21" s="1">
        <v>3797668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1848000</v>
      </c>
      <c r="W21" s="1">
        <v>0</v>
      </c>
      <c r="X21" s="1">
        <v>12950189</v>
      </c>
      <c r="Y21" s="1">
        <v>4000000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2983882</v>
      </c>
      <c r="AH21" s="1">
        <v>1835427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9306625</v>
      </c>
      <c r="AO21" s="1">
        <v>0</v>
      </c>
      <c r="AP21" s="1">
        <v>0</v>
      </c>
      <c r="AQ21" s="1">
        <v>0</v>
      </c>
      <c r="AR21" s="1">
        <v>82573449</v>
      </c>
      <c r="AS21" s="1">
        <v>18255471</v>
      </c>
      <c r="AT21" s="1">
        <v>64317978</v>
      </c>
      <c r="AU21" s="1">
        <v>16147604</v>
      </c>
      <c r="AV21" s="1">
        <v>2422141</v>
      </c>
      <c r="AW21" s="1">
        <f t="shared" si="2"/>
        <v>101143194</v>
      </c>
    </row>
    <row r="22" spans="1:49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0</v>
      </c>
      <c r="G22" s="1">
        <v>7263234</v>
      </c>
      <c r="H22" s="1">
        <v>3631617</v>
      </c>
      <c r="I22" s="1">
        <v>2780409</v>
      </c>
      <c r="J22" s="1">
        <v>0</v>
      </c>
      <c r="K22" s="1">
        <v>8933777</v>
      </c>
      <c r="L22" s="1">
        <v>0</v>
      </c>
      <c r="M22" s="1">
        <v>0</v>
      </c>
      <c r="N22" s="1">
        <v>11331151</v>
      </c>
      <c r="O22" s="1">
        <v>2000000</v>
      </c>
      <c r="P22" s="1">
        <v>5810587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19318739</v>
      </c>
      <c r="Y22" s="1">
        <v>4000000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5545555</v>
      </c>
      <c r="AG22" s="1">
        <v>0</v>
      </c>
      <c r="AH22" s="1">
        <v>5506281</v>
      </c>
      <c r="AI22" s="1">
        <v>0</v>
      </c>
      <c r="AJ22" s="1">
        <v>0</v>
      </c>
      <c r="AK22" s="1">
        <v>0</v>
      </c>
      <c r="AL22" s="1">
        <v>7626266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83747616</v>
      </c>
      <c r="AS22" s="1">
        <v>11952765</v>
      </c>
      <c r="AT22" s="1">
        <v>71794851</v>
      </c>
      <c r="AU22" s="1">
        <v>15648267</v>
      </c>
      <c r="AV22" s="1">
        <v>2347240</v>
      </c>
      <c r="AW22" s="1">
        <f t="shared" si="2"/>
        <v>101743123</v>
      </c>
    </row>
    <row r="23" spans="1:49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0</v>
      </c>
      <c r="G23" s="1">
        <v>6414818</v>
      </c>
      <c r="H23" s="1">
        <v>3848891</v>
      </c>
      <c r="I23" s="1">
        <v>3962304</v>
      </c>
      <c r="J23" s="1">
        <v>0</v>
      </c>
      <c r="K23" s="1">
        <v>9955797</v>
      </c>
      <c r="L23" s="1">
        <v>0</v>
      </c>
      <c r="M23" s="1">
        <v>0</v>
      </c>
      <c r="N23" s="1">
        <v>11572430</v>
      </c>
      <c r="O23" s="1">
        <v>2000000</v>
      </c>
      <c r="P23" s="1">
        <v>5131854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2640000</v>
      </c>
      <c r="W23" s="1">
        <v>0</v>
      </c>
      <c r="X23" s="1">
        <v>14123041</v>
      </c>
      <c r="Y23" s="1">
        <v>4000000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3670854</v>
      </c>
      <c r="AI23" s="1">
        <v>0</v>
      </c>
      <c r="AJ23" s="1">
        <v>0</v>
      </c>
      <c r="AK23" s="1">
        <v>0</v>
      </c>
      <c r="AL23" s="1">
        <v>4610681</v>
      </c>
      <c r="AM23" s="1">
        <v>0</v>
      </c>
      <c r="AN23" s="1">
        <v>0</v>
      </c>
      <c r="AO23" s="1">
        <v>0</v>
      </c>
      <c r="AP23" s="1">
        <v>3692379</v>
      </c>
      <c r="AQ23" s="1">
        <v>0</v>
      </c>
      <c r="AR23" s="1">
        <v>75623049</v>
      </c>
      <c r="AS23" s="1">
        <v>14856748</v>
      </c>
      <c r="AT23" s="1">
        <v>60766301</v>
      </c>
      <c r="AU23" s="1">
        <v>14390439</v>
      </c>
      <c r="AV23" s="1">
        <v>2158566</v>
      </c>
      <c r="AW23" s="1">
        <f t="shared" si="2"/>
        <v>92172054</v>
      </c>
    </row>
    <row r="24" spans="1:49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18229414</v>
      </c>
      <c r="G24" s="1">
        <v>0</v>
      </c>
      <c r="H24" s="1">
        <v>0</v>
      </c>
      <c r="I24" s="1">
        <v>0</v>
      </c>
      <c r="J24" s="1">
        <v>0</v>
      </c>
      <c r="K24" s="1">
        <v>16788622</v>
      </c>
      <c r="L24" s="1">
        <v>0</v>
      </c>
      <c r="M24" s="1">
        <v>4620000</v>
      </c>
      <c r="N24" s="1">
        <v>0</v>
      </c>
      <c r="O24" s="1">
        <v>1000000</v>
      </c>
      <c r="P24" s="1">
        <v>3479359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1848000</v>
      </c>
      <c r="W24" s="1">
        <v>0</v>
      </c>
      <c r="X24" s="1">
        <v>17698123</v>
      </c>
      <c r="Y24" s="1">
        <v>4000000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2733783</v>
      </c>
      <c r="AH24" s="1">
        <v>3670854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6601587</v>
      </c>
      <c r="AO24" s="1">
        <v>0</v>
      </c>
      <c r="AP24" s="1">
        <v>0</v>
      </c>
      <c r="AQ24" s="1">
        <v>0</v>
      </c>
      <c r="AR24" s="1">
        <v>80669742</v>
      </c>
      <c r="AS24" s="1">
        <v>32490888</v>
      </c>
      <c r="AT24" s="1">
        <v>48178854</v>
      </c>
      <c r="AU24" s="1">
        <v>15399778</v>
      </c>
      <c r="AV24" s="1">
        <v>2309967</v>
      </c>
      <c r="AW24" s="1">
        <f t="shared" si="2"/>
        <v>98379487</v>
      </c>
    </row>
    <row r="25" spans="1:49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19499124</v>
      </c>
      <c r="G25" s="1">
        <v>0</v>
      </c>
      <c r="H25" s="1">
        <v>0</v>
      </c>
      <c r="I25" s="1">
        <v>496480</v>
      </c>
      <c r="J25" s="1">
        <v>0</v>
      </c>
      <c r="K25" s="1">
        <v>17342999</v>
      </c>
      <c r="L25" s="1">
        <v>0</v>
      </c>
      <c r="M25" s="1">
        <v>4620000</v>
      </c>
      <c r="N25" s="1">
        <v>0</v>
      </c>
      <c r="O25" s="1">
        <v>1000000</v>
      </c>
      <c r="P25" s="1">
        <v>3513748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1848000</v>
      </c>
      <c r="W25" s="1">
        <v>0</v>
      </c>
      <c r="X25" s="1">
        <v>18241040</v>
      </c>
      <c r="Y25" s="1">
        <v>4000000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2760801</v>
      </c>
      <c r="AH25" s="1">
        <v>1835427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9000584</v>
      </c>
      <c r="AO25" s="1">
        <v>0</v>
      </c>
      <c r="AP25" s="1">
        <v>0</v>
      </c>
      <c r="AQ25" s="1">
        <v>0</v>
      </c>
      <c r="AR25" s="1">
        <v>84158203</v>
      </c>
      <c r="AS25" s="1">
        <v>35120461</v>
      </c>
      <c r="AT25" s="1">
        <v>49037742</v>
      </c>
      <c r="AU25" s="1">
        <v>16464555</v>
      </c>
      <c r="AV25" s="1">
        <v>2469683</v>
      </c>
      <c r="AW25" s="1">
        <f t="shared" si="2"/>
        <v>103092441</v>
      </c>
    </row>
    <row r="26" spans="1:49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0</v>
      </c>
      <c r="G26" s="1">
        <v>6382065</v>
      </c>
      <c r="H26" s="1">
        <v>3318674</v>
      </c>
      <c r="I26" s="1">
        <v>2227548</v>
      </c>
      <c r="J26" s="1">
        <v>0</v>
      </c>
      <c r="K26" s="1">
        <v>8051613</v>
      </c>
      <c r="L26" s="1">
        <v>0</v>
      </c>
      <c r="M26" s="1">
        <v>0</v>
      </c>
      <c r="N26" s="1">
        <v>11572430</v>
      </c>
      <c r="O26" s="1">
        <v>2000000</v>
      </c>
      <c r="P26" s="1">
        <v>5105652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18182119</v>
      </c>
      <c r="Y26" s="1">
        <v>4000000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5164565</v>
      </c>
      <c r="AG26" s="1">
        <v>0</v>
      </c>
      <c r="AH26" s="1">
        <v>7341708</v>
      </c>
      <c r="AI26" s="1">
        <v>0</v>
      </c>
      <c r="AJ26" s="1">
        <v>0</v>
      </c>
      <c r="AK26" s="1">
        <v>0</v>
      </c>
      <c r="AL26" s="1">
        <v>4752102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78098476</v>
      </c>
      <c r="AS26" s="1">
        <v>13263524</v>
      </c>
      <c r="AT26" s="1">
        <v>64834952</v>
      </c>
      <c r="AU26" s="1">
        <v>14151354</v>
      </c>
      <c r="AV26" s="1">
        <v>2122703</v>
      </c>
      <c r="AW26" s="1">
        <f t="shared" si="2"/>
        <v>94372533</v>
      </c>
    </row>
    <row r="27" spans="1:49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0</v>
      </c>
      <c r="G27" s="1">
        <v>4992422</v>
      </c>
      <c r="H27" s="1">
        <v>2995454</v>
      </c>
      <c r="I27" s="1">
        <v>0</v>
      </c>
      <c r="J27" s="1">
        <v>0</v>
      </c>
      <c r="K27" s="1">
        <v>7029330</v>
      </c>
      <c r="L27" s="1">
        <v>0</v>
      </c>
      <c r="M27" s="1">
        <v>0</v>
      </c>
      <c r="N27" s="1">
        <v>11572430</v>
      </c>
      <c r="O27" s="1">
        <v>2000000</v>
      </c>
      <c r="P27" s="1">
        <v>3993938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2640000</v>
      </c>
      <c r="W27" s="1">
        <v>0</v>
      </c>
      <c r="X27" s="1">
        <v>12046620</v>
      </c>
      <c r="Y27" s="1">
        <v>4000000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1835427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53105621</v>
      </c>
      <c r="AS27" s="1">
        <v>10492585</v>
      </c>
      <c r="AT27" s="1">
        <v>42613036</v>
      </c>
      <c r="AU27" s="1">
        <v>10254039</v>
      </c>
      <c r="AV27" s="1">
        <v>1538106</v>
      </c>
      <c r="AW27" s="1">
        <f t="shared" si="2"/>
        <v>64897766</v>
      </c>
    </row>
    <row r="28" spans="1:49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0</v>
      </c>
      <c r="G28" s="1">
        <v>5881419</v>
      </c>
      <c r="H28" s="1">
        <v>3528852</v>
      </c>
      <c r="I28" s="1">
        <v>2993864</v>
      </c>
      <c r="J28" s="1">
        <v>0</v>
      </c>
      <c r="K28" s="1">
        <v>9033860</v>
      </c>
      <c r="L28" s="1">
        <v>0</v>
      </c>
      <c r="M28" s="1">
        <v>0</v>
      </c>
      <c r="N28" s="1">
        <v>11572430</v>
      </c>
      <c r="O28" s="1">
        <v>2000000</v>
      </c>
      <c r="P28" s="1">
        <v>4705136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18312460</v>
      </c>
      <c r="Y28" s="1">
        <v>4000000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5208255</v>
      </c>
      <c r="AG28" s="1">
        <v>0</v>
      </c>
      <c r="AH28" s="1">
        <v>1835427</v>
      </c>
      <c r="AI28" s="1">
        <v>0</v>
      </c>
      <c r="AJ28" s="1">
        <v>0</v>
      </c>
      <c r="AK28" s="1">
        <v>0</v>
      </c>
      <c r="AL28" s="1">
        <v>4790182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73861885</v>
      </c>
      <c r="AS28" s="1">
        <v>14134173</v>
      </c>
      <c r="AT28" s="1">
        <v>59727712</v>
      </c>
      <c r="AU28" s="1">
        <v>14405292</v>
      </c>
      <c r="AV28" s="1">
        <v>2160794</v>
      </c>
      <c r="AW28" s="1">
        <f t="shared" si="2"/>
        <v>90427971</v>
      </c>
    </row>
    <row r="29" spans="1:49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0</v>
      </c>
      <c r="G29" s="1">
        <v>5544536</v>
      </c>
      <c r="H29" s="1">
        <v>2994049</v>
      </c>
      <c r="I29" s="1">
        <v>6405056</v>
      </c>
      <c r="J29" s="1">
        <v>0</v>
      </c>
      <c r="K29" s="1">
        <v>8111656</v>
      </c>
      <c r="L29" s="1">
        <v>0</v>
      </c>
      <c r="M29" s="1">
        <v>0</v>
      </c>
      <c r="N29" s="1">
        <v>11572430</v>
      </c>
      <c r="O29" s="1">
        <v>2000000</v>
      </c>
      <c r="P29" s="1">
        <v>4435629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2640000</v>
      </c>
      <c r="W29" s="1">
        <v>0</v>
      </c>
      <c r="X29" s="1">
        <v>12726093</v>
      </c>
      <c r="Y29" s="1">
        <v>4000000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3670854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64100303</v>
      </c>
      <c r="AS29" s="1">
        <v>6553085</v>
      </c>
      <c r="AT29" s="1">
        <v>57547218</v>
      </c>
      <c r="AU29" s="1">
        <v>12085890</v>
      </c>
      <c r="AV29" s="1">
        <v>1812883</v>
      </c>
      <c r="AW29" s="1">
        <f t="shared" si="2"/>
        <v>77999076</v>
      </c>
    </row>
    <row r="30" spans="1:49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18365454</v>
      </c>
      <c r="G30" s="1">
        <v>0</v>
      </c>
      <c r="H30" s="1">
        <v>0</v>
      </c>
      <c r="I30" s="1">
        <v>12393924</v>
      </c>
      <c r="J30" s="1">
        <v>0</v>
      </c>
      <c r="K30" s="1">
        <v>16099248</v>
      </c>
      <c r="L30" s="1">
        <v>0</v>
      </c>
      <c r="M30" s="1">
        <v>3465000</v>
      </c>
      <c r="N30" s="1">
        <v>0</v>
      </c>
      <c r="O30" s="1">
        <v>1000000</v>
      </c>
      <c r="P30" s="1">
        <v>3526973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12743394</v>
      </c>
      <c r="Y30" s="1">
        <v>4000000</v>
      </c>
      <c r="Z30" s="1">
        <v>2665953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2771193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14047431</v>
      </c>
      <c r="AO30" s="1">
        <v>0</v>
      </c>
      <c r="AP30" s="1">
        <v>0</v>
      </c>
      <c r="AQ30" s="1">
        <v>0</v>
      </c>
      <c r="AR30" s="1">
        <v>91078570</v>
      </c>
      <c r="AS30" s="1">
        <v>31459415</v>
      </c>
      <c r="AT30" s="1">
        <v>59619155</v>
      </c>
      <c r="AU30" s="1">
        <v>18215714</v>
      </c>
      <c r="AV30" s="1">
        <v>2732357</v>
      </c>
      <c r="AW30" s="1">
        <f t="shared" si="2"/>
        <v>112026641</v>
      </c>
    </row>
    <row r="31" spans="1:49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19101080</v>
      </c>
      <c r="G31" s="1">
        <v>0</v>
      </c>
      <c r="H31" s="1">
        <v>0</v>
      </c>
      <c r="I31" s="1">
        <v>7597498</v>
      </c>
      <c r="J31" s="1">
        <v>0</v>
      </c>
      <c r="K31" s="1">
        <v>17946015</v>
      </c>
      <c r="L31" s="1">
        <v>0</v>
      </c>
      <c r="M31" s="1">
        <v>4620000</v>
      </c>
      <c r="N31" s="1">
        <v>0</v>
      </c>
      <c r="O31" s="1">
        <v>1000000</v>
      </c>
      <c r="P31" s="1">
        <v>3784443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18753841</v>
      </c>
      <c r="Y31" s="1">
        <v>4000000</v>
      </c>
      <c r="Z31" s="1">
        <v>2772737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2973490</v>
      </c>
      <c r="AH31" s="1">
        <v>1835427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14346418</v>
      </c>
      <c r="AO31" s="1">
        <v>0</v>
      </c>
      <c r="AP31" s="1">
        <v>0</v>
      </c>
      <c r="AQ31" s="1">
        <v>0</v>
      </c>
      <c r="AR31" s="1">
        <v>98730949</v>
      </c>
      <c r="AS31" s="1">
        <v>36200489</v>
      </c>
      <c r="AT31" s="1">
        <v>62530460</v>
      </c>
      <c r="AU31" s="1">
        <v>19379104</v>
      </c>
      <c r="AV31" s="1">
        <v>2906866</v>
      </c>
      <c r="AW31" s="1">
        <f t="shared" si="2"/>
        <v>121016919</v>
      </c>
    </row>
    <row r="32" spans="1:49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0</v>
      </c>
      <c r="G32" s="1">
        <v>6648764</v>
      </c>
      <c r="H32" s="1">
        <v>3390870</v>
      </c>
      <c r="I32" s="1">
        <v>8408523</v>
      </c>
      <c r="J32" s="1">
        <v>0</v>
      </c>
      <c r="K32" s="1">
        <v>9136067</v>
      </c>
      <c r="L32" s="1">
        <v>0</v>
      </c>
      <c r="M32" s="1">
        <v>0</v>
      </c>
      <c r="N32" s="1">
        <v>11521166</v>
      </c>
      <c r="O32" s="1">
        <v>2000000</v>
      </c>
      <c r="P32" s="1">
        <v>5319011</v>
      </c>
      <c r="Q32" s="1">
        <v>0</v>
      </c>
      <c r="R32" s="1">
        <v>0</v>
      </c>
      <c r="S32" s="1">
        <v>0</v>
      </c>
      <c r="T32" s="1">
        <v>4521793</v>
      </c>
      <c r="U32" s="1">
        <v>0</v>
      </c>
      <c r="V32" s="1">
        <v>0</v>
      </c>
      <c r="W32" s="1">
        <v>0</v>
      </c>
      <c r="X32" s="1">
        <v>9815192</v>
      </c>
      <c r="Y32" s="1">
        <v>4000000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5402382</v>
      </c>
      <c r="AG32" s="1">
        <v>0</v>
      </c>
      <c r="AH32" s="1">
        <v>1835427</v>
      </c>
      <c r="AI32" s="1">
        <v>0</v>
      </c>
      <c r="AJ32" s="1">
        <v>0</v>
      </c>
      <c r="AK32" s="1">
        <v>0</v>
      </c>
      <c r="AL32" s="1">
        <v>4139580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76138775</v>
      </c>
      <c r="AS32" s="1">
        <v>9537136</v>
      </c>
      <c r="AT32" s="1">
        <v>66601639</v>
      </c>
      <c r="AU32" s="1">
        <v>13956311</v>
      </c>
      <c r="AV32" s="1">
        <v>2093447</v>
      </c>
      <c r="AW32" s="1">
        <f t="shared" si="2"/>
        <v>92188533</v>
      </c>
    </row>
    <row r="33" spans="1:49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0</v>
      </c>
      <c r="G33" s="1">
        <v>6330597</v>
      </c>
      <c r="H33" s="1">
        <v>3291911</v>
      </c>
      <c r="I33" s="1">
        <v>677194</v>
      </c>
      <c r="J33" s="1">
        <v>0</v>
      </c>
      <c r="K33" s="1">
        <v>8179131</v>
      </c>
      <c r="L33" s="1">
        <v>0</v>
      </c>
      <c r="M33" s="1">
        <v>0</v>
      </c>
      <c r="N33" s="1">
        <v>11521166</v>
      </c>
      <c r="O33" s="1">
        <v>2000000</v>
      </c>
      <c r="P33" s="1">
        <v>5064477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2640000</v>
      </c>
      <c r="W33" s="1">
        <v>0</v>
      </c>
      <c r="X33" s="1">
        <v>13596740</v>
      </c>
      <c r="Y33" s="1">
        <v>4000000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1835427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59136643</v>
      </c>
      <c r="AS33" s="1">
        <v>9899154</v>
      </c>
      <c r="AT33" s="1">
        <v>49237489</v>
      </c>
      <c r="AU33" s="1">
        <v>11460243</v>
      </c>
      <c r="AV33" s="1">
        <v>1719036</v>
      </c>
      <c r="AW33" s="1">
        <f t="shared" si="2"/>
        <v>72315922</v>
      </c>
    </row>
    <row r="34" spans="1:49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0</v>
      </c>
      <c r="G34" s="1">
        <v>6589379</v>
      </c>
      <c r="H34" s="1">
        <v>3426477</v>
      </c>
      <c r="I34" s="1">
        <v>13011976</v>
      </c>
      <c r="J34" s="1">
        <v>0</v>
      </c>
      <c r="K34" s="1">
        <v>9615221</v>
      </c>
      <c r="L34" s="1">
        <v>0</v>
      </c>
      <c r="M34" s="1">
        <v>0</v>
      </c>
      <c r="N34" s="1">
        <v>11331151</v>
      </c>
      <c r="O34" s="1">
        <v>2000000</v>
      </c>
      <c r="P34" s="1">
        <v>5271502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9865842</v>
      </c>
      <c r="Y34" s="1">
        <v>4000000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5435060</v>
      </c>
      <c r="AG34" s="1">
        <v>0</v>
      </c>
      <c r="AH34" s="1">
        <v>3670854</v>
      </c>
      <c r="AI34" s="1">
        <v>0</v>
      </c>
      <c r="AJ34" s="1">
        <v>0</v>
      </c>
      <c r="AK34" s="1">
        <v>0</v>
      </c>
      <c r="AL34" s="1">
        <v>6245748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80463210</v>
      </c>
      <c r="AS34" s="1">
        <v>12548590</v>
      </c>
      <c r="AT34" s="1">
        <v>67914620</v>
      </c>
      <c r="AU34" s="1">
        <v>15358471</v>
      </c>
      <c r="AV34" s="1">
        <v>2303771</v>
      </c>
      <c r="AW34" s="1">
        <f t="shared" si="2"/>
        <v>98125452</v>
      </c>
    </row>
    <row r="35" spans="1:49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0</v>
      </c>
      <c r="G35" s="1">
        <v>5956282</v>
      </c>
      <c r="H35" s="1">
        <v>3573769</v>
      </c>
      <c r="I35" s="1">
        <v>0</v>
      </c>
      <c r="J35" s="1">
        <v>0</v>
      </c>
      <c r="K35" s="1">
        <v>8862948</v>
      </c>
      <c r="L35" s="1">
        <v>0</v>
      </c>
      <c r="M35" s="1">
        <v>0</v>
      </c>
      <c r="N35" s="1">
        <v>11572430</v>
      </c>
      <c r="O35" s="1">
        <v>2000000</v>
      </c>
      <c r="P35" s="1">
        <v>4765026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2640000</v>
      </c>
      <c r="W35" s="1">
        <v>0</v>
      </c>
      <c r="X35" s="1">
        <v>14427986</v>
      </c>
      <c r="Y35" s="1">
        <v>4000000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3670854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61469295</v>
      </c>
      <c r="AS35" s="1">
        <v>12723574</v>
      </c>
      <c r="AT35" s="1">
        <v>48745721</v>
      </c>
      <c r="AU35" s="1">
        <v>11559688</v>
      </c>
      <c r="AV35" s="1">
        <v>1733953</v>
      </c>
      <c r="AW35" s="1">
        <f t="shared" si="2"/>
        <v>74762936</v>
      </c>
    </row>
    <row r="36" spans="1:49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0</v>
      </c>
      <c r="G36" s="1">
        <v>7079226</v>
      </c>
      <c r="H36" s="1">
        <v>3610406</v>
      </c>
      <c r="I36" s="1">
        <v>3076610</v>
      </c>
      <c r="J36" s="1">
        <v>0</v>
      </c>
      <c r="K36" s="1">
        <v>10262046</v>
      </c>
      <c r="L36" s="1">
        <v>0</v>
      </c>
      <c r="M36" s="1">
        <v>0</v>
      </c>
      <c r="N36" s="1">
        <v>11521166</v>
      </c>
      <c r="O36" s="1">
        <v>2000000</v>
      </c>
      <c r="P36" s="1">
        <v>5663381</v>
      </c>
      <c r="Q36" s="1">
        <v>0</v>
      </c>
      <c r="R36" s="1">
        <v>0</v>
      </c>
      <c r="S36" s="1">
        <v>0</v>
      </c>
      <c r="T36" s="1">
        <v>4788004</v>
      </c>
      <c r="U36" s="1">
        <v>0</v>
      </c>
      <c r="V36" s="1">
        <v>0</v>
      </c>
      <c r="W36" s="1">
        <v>0</v>
      </c>
      <c r="X36" s="1">
        <v>10308172</v>
      </c>
      <c r="Y36" s="1">
        <v>4000000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5720434</v>
      </c>
      <c r="AG36" s="1">
        <v>0</v>
      </c>
      <c r="AH36" s="1">
        <v>1835427</v>
      </c>
      <c r="AI36" s="1">
        <v>0</v>
      </c>
      <c r="AJ36" s="1">
        <v>0</v>
      </c>
      <c r="AK36" s="1">
        <v>0</v>
      </c>
      <c r="AL36" s="1">
        <v>2187811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72052683</v>
      </c>
      <c r="AS36" s="1">
        <v>18310767</v>
      </c>
      <c r="AT36" s="1">
        <v>53741916</v>
      </c>
      <c r="AU36" s="1">
        <v>13085850</v>
      </c>
      <c r="AV36" s="1">
        <v>1962878</v>
      </c>
      <c r="AW36" s="1">
        <f t="shared" si="2"/>
        <v>87101411</v>
      </c>
    </row>
    <row r="37" spans="1:49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0</v>
      </c>
      <c r="G37" s="1">
        <v>5956282</v>
      </c>
      <c r="H37" s="1">
        <v>3097267</v>
      </c>
      <c r="I37" s="1">
        <v>2872490</v>
      </c>
      <c r="J37" s="1">
        <v>0</v>
      </c>
      <c r="K37" s="1">
        <v>9234620</v>
      </c>
      <c r="L37" s="1">
        <v>0</v>
      </c>
      <c r="M37" s="1">
        <v>0</v>
      </c>
      <c r="N37" s="1">
        <v>11521166</v>
      </c>
      <c r="O37" s="1">
        <v>2000000</v>
      </c>
      <c r="P37" s="1">
        <v>4765026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16309744</v>
      </c>
      <c r="Y37" s="1">
        <v>4000000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5186154</v>
      </c>
      <c r="AG37" s="1">
        <v>0</v>
      </c>
      <c r="AH37" s="1">
        <v>3670854</v>
      </c>
      <c r="AI37" s="1">
        <v>0</v>
      </c>
      <c r="AJ37" s="1">
        <v>0</v>
      </c>
      <c r="AK37" s="1">
        <v>0</v>
      </c>
      <c r="AL37" s="1">
        <v>6893975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75507578</v>
      </c>
      <c r="AS37" s="1">
        <v>10782478</v>
      </c>
      <c r="AT37" s="1">
        <v>64725100</v>
      </c>
      <c r="AU37" s="1">
        <v>14367345</v>
      </c>
      <c r="AV37" s="1">
        <v>2155102</v>
      </c>
      <c r="AW37" s="1">
        <f t="shared" si="2"/>
        <v>92030025</v>
      </c>
    </row>
    <row r="38" spans="1:49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0</v>
      </c>
      <c r="G38" s="1">
        <v>7103772</v>
      </c>
      <c r="H38" s="1">
        <v>3551886</v>
      </c>
      <c r="I38" s="1">
        <v>10845907</v>
      </c>
      <c r="J38" s="1">
        <v>0</v>
      </c>
      <c r="K38" s="1">
        <v>8950753</v>
      </c>
      <c r="L38" s="1">
        <v>0</v>
      </c>
      <c r="M38" s="1">
        <v>0</v>
      </c>
      <c r="N38" s="1">
        <v>11331151</v>
      </c>
      <c r="O38" s="1">
        <v>2000000</v>
      </c>
      <c r="P38" s="1">
        <v>5683017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9955784</v>
      </c>
      <c r="Y38" s="1">
        <v>4000000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5493087</v>
      </c>
      <c r="AG38" s="1">
        <v>0</v>
      </c>
      <c r="AH38" s="1">
        <v>5506281</v>
      </c>
      <c r="AI38" s="1">
        <v>0</v>
      </c>
      <c r="AJ38" s="1">
        <v>0</v>
      </c>
      <c r="AK38" s="1">
        <v>0</v>
      </c>
      <c r="AL38" s="1">
        <v>4206897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78628535</v>
      </c>
      <c r="AS38" s="1">
        <v>14607794</v>
      </c>
      <c r="AT38" s="1">
        <v>64020741</v>
      </c>
      <c r="AU38" s="1">
        <v>14624451</v>
      </c>
      <c r="AV38" s="1">
        <v>2193668</v>
      </c>
      <c r="AW38" s="1">
        <f t="shared" si="2"/>
        <v>95446654</v>
      </c>
    </row>
    <row r="39" spans="1:49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0</v>
      </c>
      <c r="G39" s="1">
        <v>8497778</v>
      </c>
      <c r="H39" s="1">
        <v>4418844</v>
      </c>
      <c r="I39" s="1">
        <v>0</v>
      </c>
      <c r="J39" s="1">
        <v>0</v>
      </c>
      <c r="K39" s="1">
        <v>12141625</v>
      </c>
      <c r="L39" s="1">
        <v>0</v>
      </c>
      <c r="M39" s="1">
        <v>0</v>
      </c>
      <c r="N39" s="1">
        <v>11331151</v>
      </c>
      <c r="O39" s="1">
        <v>2000000</v>
      </c>
      <c r="P39" s="1">
        <v>6798223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2640000</v>
      </c>
      <c r="W39" s="1">
        <v>0</v>
      </c>
      <c r="X39" s="1">
        <v>16174445</v>
      </c>
      <c r="Y39" s="1">
        <v>4000000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3670854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71672920</v>
      </c>
      <c r="AS39" s="1">
        <v>9796223</v>
      </c>
      <c r="AT39" s="1">
        <v>61876697</v>
      </c>
      <c r="AU39" s="1">
        <v>13600413</v>
      </c>
      <c r="AV39" s="1">
        <v>2040062</v>
      </c>
      <c r="AW39" s="1">
        <f t="shared" si="2"/>
        <v>87313395</v>
      </c>
    </row>
    <row r="40" spans="1:49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0</v>
      </c>
      <c r="G40" s="1">
        <v>6840601</v>
      </c>
      <c r="H40" s="1">
        <v>3488706</v>
      </c>
      <c r="I40" s="1">
        <v>2184505</v>
      </c>
      <c r="J40" s="1">
        <v>0</v>
      </c>
      <c r="K40" s="1">
        <v>8056860</v>
      </c>
      <c r="L40" s="1">
        <v>0</v>
      </c>
      <c r="M40" s="1">
        <v>0</v>
      </c>
      <c r="N40" s="1">
        <v>11521166</v>
      </c>
      <c r="O40" s="1">
        <v>2000000</v>
      </c>
      <c r="P40" s="1">
        <v>5472481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2640000</v>
      </c>
      <c r="W40" s="1">
        <v>0</v>
      </c>
      <c r="X40" s="1">
        <v>16216127</v>
      </c>
      <c r="Y40" s="1">
        <v>4000000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7341708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69762154</v>
      </c>
      <c r="AS40" s="1">
        <v>7244704</v>
      </c>
      <c r="AT40" s="1">
        <v>62517450</v>
      </c>
      <c r="AU40" s="1">
        <v>12484089</v>
      </c>
      <c r="AV40" s="1">
        <v>1872613</v>
      </c>
      <c r="AW40" s="1">
        <f t="shared" si="2"/>
        <v>84118856</v>
      </c>
    </row>
    <row r="41" spans="1:49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0</v>
      </c>
      <c r="G41" s="1">
        <v>5722335</v>
      </c>
      <c r="H41" s="1">
        <v>3032837</v>
      </c>
      <c r="I41" s="1">
        <v>318339</v>
      </c>
      <c r="J41" s="1">
        <v>0</v>
      </c>
      <c r="K41" s="1">
        <v>7967208</v>
      </c>
      <c r="L41" s="1">
        <v>0</v>
      </c>
      <c r="M41" s="1">
        <v>0</v>
      </c>
      <c r="N41" s="1">
        <v>11521166</v>
      </c>
      <c r="O41" s="1">
        <v>2000000</v>
      </c>
      <c r="P41" s="1">
        <v>4577868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2640000</v>
      </c>
      <c r="W41" s="1">
        <v>0</v>
      </c>
      <c r="X41" s="1">
        <v>12291746</v>
      </c>
      <c r="Y41" s="1">
        <v>4000000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5506281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59577780</v>
      </c>
      <c r="AS41" s="1">
        <v>9048283</v>
      </c>
      <c r="AT41" s="1">
        <v>50529497</v>
      </c>
      <c r="AU41" s="1">
        <v>10814300</v>
      </c>
      <c r="AV41" s="1">
        <v>1622145</v>
      </c>
      <c r="AW41" s="1">
        <f t="shared" si="2"/>
        <v>72014225</v>
      </c>
    </row>
    <row r="42" spans="1:49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0</v>
      </c>
      <c r="G42" s="1">
        <v>6162155</v>
      </c>
      <c r="H42" s="1">
        <v>3204321</v>
      </c>
      <c r="I42" s="1">
        <v>2364382</v>
      </c>
      <c r="J42" s="1">
        <v>0</v>
      </c>
      <c r="K42" s="1">
        <v>8710822</v>
      </c>
      <c r="L42" s="1">
        <v>0</v>
      </c>
      <c r="M42" s="1">
        <v>0</v>
      </c>
      <c r="N42" s="1">
        <v>11521166</v>
      </c>
      <c r="O42" s="1">
        <v>2000000</v>
      </c>
      <c r="P42" s="1">
        <v>4929724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2640000</v>
      </c>
      <c r="W42" s="1">
        <v>0</v>
      </c>
      <c r="X42" s="1">
        <v>13338482</v>
      </c>
      <c r="Y42" s="1">
        <v>4000000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1835427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60706479</v>
      </c>
      <c r="AS42" s="1">
        <v>10262725</v>
      </c>
      <c r="AT42" s="1">
        <v>50443754</v>
      </c>
      <c r="AU42" s="1">
        <v>11774210</v>
      </c>
      <c r="AV42" s="1">
        <v>1766132</v>
      </c>
      <c r="AW42" s="1">
        <f t="shared" si="2"/>
        <v>74246821</v>
      </c>
    </row>
    <row r="43" spans="1:49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0</v>
      </c>
      <c r="G43" s="1">
        <v>5287195</v>
      </c>
      <c r="H43" s="1">
        <v>3172317</v>
      </c>
      <c r="I43" s="1">
        <v>2551339</v>
      </c>
      <c r="J43" s="1">
        <v>0</v>
      </c>
      <c r="K43" s="1">
        <v>8036536</v>
      </c>
      <c r="L43" s="1">
        <v>0</v>
      </c>
      <c r="M43" s="1">
        <v>0</v>
      </c>
      <c r="N43" s="1">
        <v>11572430</v>
      </c>
      <c r="O43" s="1">
        <v>2000000</v>
      </c>
      <c r="P43" s="1">
        <v>4229756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2640000</v>
      </c>
      <c r="W43" s="1">
        <v>0</v>
      </c>
      <c r="X43" s="1">
        <v>12896908</v>
      </c>
      <c r="Y43" s="1">
        <v>4000000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4844735</v>
      </c>
      <c r="AG43" s="1">
        <v>0</v>
      </c>
      <c r="AH43" s="1">
        <v>3670854</v>
      </c>
      <c r="AI43" s="1">
        <v>0</v>
      </c>
      <c r="AJ43" s="1">
        <v>0</v>
      </c>
      <c r="AK43" s="1">
        <v>0</v>
      </c>
      <c r="AL43" s="1">
        <v>4082142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68984212</v>
      </c>
      <c r="AS43" s="1">
        <v>14440676</v>
      </c>
      <c r="AT43" s="1">
        <v>54543536</v>
      </c>
      <c r="AU43" s="1">
        <v>13062672</v>
      </c>
      <c r="AV43" s="1">
        <v>1959401</v>
      </c>
      <c r="AW43" s="1">
        <f t="shared" si="2"/>
        <v>84006285</v>
      </c>
    </row>
    <row r="44" spans="1:49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0</v>
      </c>
      <c r="G44" s="1">
        <v>8702816</v>
      </c>
      <c r="H44" s="1">
        <v>4438436</v>
      </c>
      <c r="I44" s="1">
        <v>2611616</v>
      </c>
      <c r="J44" s="1">
        <v>0</v>
      </c>
      <c r="K44" s="1">
        <v>12089952</v>
      </c>
      <c r="L44" s="1">
        <v>0</v>
      </c>
      <c r="M44" s="1">
        <v>0</v>
      </c>
      <c r="N44" s="1">
        <v>11521166</v>
      </c>
      <c r="O44" s="1">
        <v>2000000</v>
      </c>
      <c r="P44" s="1">
        <v>6962253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2640000</v>
      </c>
      <c r="W44" s="1">
        <v>0</v>
      </c>
      <c r="X44" s="1">
        <v>17969264</v>
      </c>
      <c r="Y44" s="1">
        <v>4000000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3670854</v>
      </c>
      <c r="AI44" s="1">
        <v>0</v>
      </c>
      <c r="AJ44" s="1">
        <v>0</v>
      </c>
      <c r="AK44" s="1">
        <v>0</v>
      </c>
      <c r="AL44" s="1">
        <v>8357172</v>
      </c>
      <c r="AM44" s="1">
        <v>0</v>
      </c>
      <c r="AN44" s="1">
        <v>0</v>
      </c>
      <c r="AO44" s="1">
        <v>0</v>
      </c>
      <c r="AP44" s="1">
        <v>4371462</v>
      </c>
      <c r="AQ44" s="1">
        <v>0</v>
      </c>
      <c r="AR44" s="1">
        <v>89334991</v>
      </c>
      <c r="AS44" s="1">
        <v>18340034</v>
      </c>
      <c r="AT44" s="1">
        <v>70994957</v>
      </c>
      <c r="AU44" s="1">
        <v>17132827</v>
      </c>
      <c r="AV44" s="1">
        <v>2569924</v>
      </c>
      <c r="AW44" s="1">
        <f t="shared" si="2"/>
        <v>109037742</v>
      </c>
    </row>
    <row r="45" spans="1:49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0</v>
      </c>
      <c r="G45" s="1">
        <v>6826564</v>
      </c>
      <c r="H45" s="1">
        <v>3413282</v>
      </c>
      <c r="I45" s="1">
        <v>2742354</v>
      </c>
      <c r="J45" s="1">
        <v>0</v>
      </c>
      <c r="K45" s="1">
        <v>9215861</v>
      </c>
      <c r="L45" s="1">
        <v>0</v>
      </c>
      <c r="M45" s="1">
        <v>0</v>
      </c>
      <c r="N45" s="1">
        <v>11521166</v>
      </c>
      <c r="O45" s="1">
        <v>2000000</v>
      </c>
      <c r="P45" s="1">
        <v>5461251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19080560</v>
      </c>
      <c r="Y45" s="1">
        <v>4000000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5465718</v>
      </c>
      <c r="AG45" s="1">
        <v>0</v>
      </c>
      <c r="AH45" s="1">
        <v>3670854</v>
      </c>
      <c r="AI45" s="1">
        <v>0</v>
      </c>
      <c r="AJ45" s="1">
        <v>0</v>
      </c>
      <c r="AK45" s="1">
        <v>0</v>
      </c>
      <c r="AL45" s="1">
        <v>7521886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80919496</v>
      </c>
      <c r="AS45" s="1">
        <v>13695744</v>
      </c>
      <c r="AT45" s="1">
        <v>67223752</v>
      </c>
      <c r="AU45" s="1">
        <v>15449728</v>
      </c>
      <c r="AV45" s="1">
        <v>2317459</v>
      </c>
      <c r="AW45" s="1">
        <f t="shared" si="2"/>
        <v>98686683</v>
      </c>
    </row>
    <row r="46" spans="1:49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0</v>
      </c>
      <c r="G46" s="1">
        <v>5974998</v>
      </c>
      <c r="H46" s="1">
        <v>3584999</v>
      </c>
      <c r="I46" s="1">
        <v>2718508</v>
      </c>
      <c r="J46" s="1">
        <v>0</v>
      </c>
      <c r="K46" s="1">
        <v>8603997</v>
      </c>
      <c r="L46" s="1">
        <v>0</v>
      </c>
      <c r="M46" s="1">
        <v>0</v>
      </c>
      <c r="N46" s="1">
        <v>11572430</v>
      </c>
      <c r="O46" s="1">
        <v>2000000</v>
      </c>
      <c r="P46" s="1">
        <v>4779999</v>
      </c>
      <c r="Q46" s="1">
        <v>0</v>
      </c>
      <c r="R46" s="1">
        <v>0</v>
      </c>
      <c r="S46" s="1">
        <v>0</v>
      </c>
      <c r="T46" s="1">
        <v>4000000</v>
      </c>
      <c r="U46" s="1">
        <v>0</v>
      </c>
      <c r="V46" s="1">
        <v>2640000</v>
      </c>
      <c r="W46" s="1">
        <v>0</v>
      </c>
      <c r="X46" s="1">
        <v>13640001</v>
      </c>
      <c r="Y46" s="1">
        <v>4000000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3670854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67185786</v>
      </c>
      <c r="AS46" s="1">
        <v>17283395</v>
      </c>
      <c r="AT46" s="1">
        <v>49902391</v>
      </c>
      <c r="AU46" s="1">
        <v>11902986</v>
      </c>
      <c r="AV46" s="1">
        <v>1785448</v>
      </c>
      <c r="AW46" s="1">
        <f t="shared" si="2"/>
        <v>80874220</v>
      </c>
    </row>
    <row r="47" spans="1:49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20695776</v>
      </c>
      <c r="G47" s="1">
        <v>0</v>
      </c>
      <c r="H47" s="1">
        <v>0</v>
      </c>
      <c r="I47" s="1">
        <v>0</v>
      </c>
      <c r="J47" s="1">
        <v>0</v>
      </c>
      <c r="K47" s="1">
        <v>19374621</v>
      </c>
      <c r="L47" s="1">
        <v>0</v>
      </c>
      <c r="M47" s="1">
        <v>4620000</v>
      </c>
      <c r="N47" s="1">
        <v>0</v>
      </c>
      <c r="O47" s="1">
        <v>1000000</v>
      </c>
      <c r="P47" s="1">
        <v>3932575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1848000</v>
      </c>
      <c r="W47" s="1">
        <v>0</v>
      </c>
      <c r="X47" s="1">
        <v>20085023</v>
      </c>
      <c r="Y47" s="1">
        <v>4000000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3089881</v>
      </c>
      <c r="AH47" s="1">
        <v>1835427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7190995</v>
      </c>
      <c r="AO47" s="1">
        <v>0</v>
      </c>
      <c r="AP47" s="1">
        <v>0</v>
      </c>
      <c r="AQ47" s="1">
        <v>0</v>
      </c>
      <c r="AR47" s="1">
        <v>87672298</v>
      </c>
      <c r="AS47" s="1">
        <v>17439003</v>
      </c>
      <c r="AT47" s="1">
        <v>70233295</v>
      </c>
      <c r="AU47" s="1">
        <v>17167374</v>
      </c>
      <c r="AV47" s="1">
        <v>2575106</v>
      </c>
      <c r="AW47" s="1">
        <f t="shared" si="2"/>
        <v>107414778</v>
      </c>
    </row>
    <row r="48" spans="1:49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0</v>
      </c>
      <c r="G48" s="1">
        <v>10004950</v>
      </c>
      <c r="H48" s="1">
        <v>5002475</v>
      </c>
      <c r="I48" s="1">
        <v>0</v>
      </c>
      <c r="J48" s="1">
        <v>0</v>
      </c>
      <c r="K48" s="1">
        <v>12606238</v>
      </c>
      <c r="L48" s="1">
        <v>0</v>
      </c>
      <c r="M48" s="1">
        <v>0</v>
      </c>
      <c r="N48" s="1">
        <v>11331151</v>
      </c>
      <c r="O48" s="1">
        <v>2000000</v>
      </c>
      <c r="P48" s="1">
        <v>8003959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2640000</v>
      </c>
      <c r="W48" s="1">
        <v>0</v>
      </c>
      <c r="X48" s="1">
        <v>17406223</v>
      </c>
      <c r="Y48" s="1">
        <v>4000000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1835427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74830423</v>
      </c>
      <c r="AS48" s="1">
        <v>17050020</v>
      </c>
      <c r="AT48" s="1">
        <v>57780403</v>
      </c>
      <c r="AU48" s="1">
        <v>14598999</v>
      </c>
      <c r="AV48" s="1">
        <v>2189850</v>
      </c>
      <c r="AW48" s="1">
        <f t="shared" si="2"/>
        <v>91619272</v>
      </c>
    </row>
    <row r="49" spans="1:49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5942245</v>
      </c>
      <c r="H49" s="1">
        <v>3208812</v>
      </c>
      <c r="I49" s="1">
        <v>1993358</v>
      </c>
      <c r="J49" s="1">
        <v>0</v>
      </c>
      <c r="K49" s="1">
        <v>8510484</v>
      </c>
      <c r="L49" s="1">
        <v>0</v>
      </c>
      <c r="M49" s="1">
        <v>0</v>
      </c>
      <c r="N49" s="1">
        <v>11521166</v>
      </c>
      <c r="O49" s="1">
        <v>2000000</v>
      </c>
      <c r="P49" s="1">
        <v>4753796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2640000</v>
      </c>
      <c r="W49" s="1">
        <v>0</v>
      </c>
      <c r="X49" s="1">
        <v>13144705</v>
      </c>
      <c r="Y49" s="1">
        <v>4000000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3670854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61385420</v>
      </c>
      <c r="AS49" s="1">
        <v>8161387</v>
      </c>
      <c r="AT49" s="1">
        <v>53224033</v>
      </c>
      <c r="AU49" s="1">
        <v>11542913</v>
      </c>
      <c r="AV49" s="1">
        <v>1731437</v>
      </c>
      <c r="AW49" s="1">
        <f t="shared" si="2"/>
        <v>74659770</v>
      </c>
    </row>
    <row r="50" spans="1:49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0</v>
      </c>
      <c r="G50" s="1">
        <v>6106008</v>
      </c>
      <c r="H50" s="1">
        <v>3419364</v>
      </c>
      <c r="I50" s="1">
        <v>1675763</v>
      </c>
      <c r="J50" s="1">
        <v>0</v>
      </c>
      <c r="K50" s="1">
        <v>8287074</v>
      </c>
      <c r="L50" s="1">
        <v>0</v>
      </c>
      <c r="M50" s="1">
        <v>0</v>
      </c>
      <c r="N50" s="1">
        <v>11551640</v>
      </c>
      <c r="O50" s="1">
        <v>2000000</v>
      </c>
      <c r="P50" s="1">
        <v>4884806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2640000</v>
      </c>
      <c r="W50" s="1">
        <v>0</v>
      </c>
      <c r="X50" s="1">
        <v>13247012</v>
      </c>
      <c r="Y50" s="1">
        <v>4000000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1835427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59647094</v>
      </c>
      <c r="AS50" s="1">
        <v>8858845</v>
      </c>
      <c r="AT50" s="1">
        <v>50788249</v>
      </c>
      <c r="AU50" s="1">
        <v>11562333</v>
      </c>
      <c r="AV50" s="1">
        <v>1734350</v>
      </c>
      <c r="AW50" s="1">
        <f t="shared" si="2"/>
        <v>72943777</v>
      </c>
    </row>
    <row r="51" spans="1:49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82558383</v>
      </c>
      <c r="G51" s="1">
        <v>0</v>
      </c>
      <c r="H51" s="1">
        <v>0</v>
      </c>
      <c r="I51" s="1">
        <v>26215615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1600000</v>
      </c>
      <c r="S51" s="1">
        <v>0</v>
      </c>
      <c r="T51" s="1">
        <v>0</v>
      </c>
      <c r="U51" s="1">
        <v>0</v>
      </c>
      <c r="V51" s="1">
        <v>2640000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113013998</v>
      </c>
      <c r="AS51" s="1">
        <v>31151513</v>
      </c>
      <c r="AT51" s="1">
        <v>81862485</v>
      </c>
      <c r="AU51" s="1">
        <v>0</v>
      </c>
      <c r="AV51" s="1">
        <v>0</v>
      </c>
      <c r="AW51" s="1">
        <f t="shared" si="2"/>
        <v>113013998</v>
      </c>
    </row>
    <row r="52" spans="1:49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0</v>
      </c>
      <c r="G52" s="1">
        <v>7434825</v>
      </c>
      <c r="H52" s="1">
        <v>3866109</v>
      </c>
      <c r="I52" s="1">
        <v>0</v>
      </c>
      <c r="J52" s="1">
        <v>0</v>
      </c>
      <c r="K52" s="1">
        <v>8701720</v>
      </c>
      <c r="L52" s="1">
        <v>0</v>
      </c>
      <c r="M52" s="1">
        <v>0</v>
      </c>
      <c r="N52" s="1">
        <v>11521166</v>
      </c>
      <c r="O52" s="1">
        <v>2000000</v>
      </c>
      <c r="P52" s="1">
        <v>5947860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2640000</v>
      </c>
      <c r="W52" s="1">
        <v>0</v>
      </c>
      <c r="X52" s="1">
        <v>10372023</v>
      </c>
      <c r="Y52" s="1">
        <v>4000000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56483703</v>
      </c>
      <c r="AS52" s="1">
        <v>7551644</v>
      </c>
      <c r="AT52" s="1">
        <v>48932059</v>
      </c>
      <c r="AU52" s="1">
        <v>11296741</v>
      </c>
      <c r="AV52" s="1">
        <v>1694511</v>
      </c>
      <c r="AW52" s="1">
        <f t="shared" si="2"/>
        <v>69474955</v>
      </c>
    </row>
    <row r="53" spans="1:49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23827224</v>
      </c>
      <c r="G53" s="1">
        <v>0</v>
      </c>
      <c r="H53" s="1">
        <v>0</v>
      </c>
      <c r="I53" s="1">
        <v>30687682</v>
      </c>
      <c r="J53" s="1">
        <v>0</v>
      </c>
      <c r="K53" s="1">
        <v>21893193</v>
      </c>
      <c r="L53" s="1">
        <v>0</v>
      </c>
      <c r="M53" s="1">
        <v>0</v>
      </c>
      <c r="N53" s="1">
        <v>0</v>
      </c>
      <c r="O53" s="1">
        <v>1000000</v>
      </c>
      <c r="P53" s="1">
        <v>0</v>
      </c>
      <c r="Q53" s="1">
        <v>0</v>
      </c>
      <c r="R53" s="1">
        <v>1600000</v>
      </c>
      <c r="S53" s="1">
        <v>0</v>
      </c>
      <c r="T53" s="1">
        <v>0</v>
      </c>
      <c r="U53" s="1">
        <v>0</v>
      </c>
      <c r="V53" s="1">
        <v>3120000</v>
      </c>
      <c r="W53" s="1">
        <v>0</v>
      </c>
      <c r="X53" s="1">
        <v>5415794</v>
      </c>
      <c r="Y53" s="1">
        <v>4000000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3401010</v>
      </c>
      <c r="AF53" s="1">
        <v>0</v>
      </c>
      <c r="AG53" s="1">
        <v>0</v>
      </c>
      <c r="AH53" s="1">
        <v>1835427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5036518</v>
      </c>
      <c r="AO53" s="1">
        <v>0</v>
      </c>
      <c r="AP53" s="1">
        <v>0</v>
      </c>
      <c r="AQ53" s="1">
        <v>0</v>
      </c>
      <c r="AR53" s="1">
        <v>101816848</v>
      </c>
      <c r="AS53" s="1">
        <v>39128134</v>
      </c>
      <c r="AT53" s="1">
        <v>62688714</v>
      </c>
      <c r="AU53" s="1">
        <v>19996284</v>
      </c>
      <c r="AV53" s="1">
        <v>2999443</v>
      </c>
      <c r="AW53" s="1">
        <f t="shared" si="2"/>
        <v>124812575</v>
      </c>
    </row>
    <row r="54" spans="1:49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0</v>
      </c>
      <c r="G54" s="1">
        <v>6692257</v>
      </c>
      <c r="H54" s="1">
        <v>4015355</v>
      </c>
      <c r="I54" s="1">
        <v>1767852</v>
      </c>
      <c r="J54" s="1">
        <v>0</v>
      </c>
      <c r="K54" s="1">
        <v>9743926</v>
      </c>
      <c r="L54" s="1">
        <v>0</v>
      </c>
      <c r="M54" s="1">
        <v>0</v>
      </c>
      <c r="N54" s="1">
        <v>11521166</v>
      </c>
      <c r="O54" s="1">
        <v>2000000</v>
      </c>
      <c r="P54" s="1">
        <v>0</v>
      </c>
      <c r="Q54" s="1">
        <v>0</v>
      </c>
      <c r="R54" s="1">
        <v>1600000</v>
      </c>
      <c r="S54" s="1">
        <v>0</v>
      </c>
      <c r="T54" s="1">
        <v>0</v>
      </c>
      <c r="U54" s="1">
        <v>0</v>
      </c>
      <c r="V54" s="1">
        <v>2040000</v>
      </c>
      <c r="W54" s="1">
        <v>0</v>
      </c>
      <c r="X54" s="1">
        <v>3817271</v>
      </c>
      <c r="Y54" s="1">
        <v>4000000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47197827</v>
      </c>
      <c r="AS54" s="1">
        <v>9194046</v>
      </c>
      <c r="AT54" s="1">
        <v>38003781</v>
      </c>
      <c r="AU54" s="1">
        <v>9439565</v>
      </c>
      <c r="AV54" s="1">
        <v>1415935</v>
      </c>
      <c r="AW54" s="1">
        <f t="shared" si="2"/>
        <v>58053327</v>
      </c>
    </row>
    <row r="55" spans="1:49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0</v>
      </c>
      <c r="G55" s="1">
        <v>5619399</v>
      </c>
      <c r="H55" s="1">
        <v>2922088</v>
      </c>
      <c r="I55" s="1">
        <v>2671834</v>
      </c>
      <c r="J55" s="1">
        <v>0</v>
      </c>
      <c r="K55" s="1">
        <v>6235285</v>
      </c>
      <c r="L55" s="1">
        <v>0</v>
      </c>
      <c r="M55" s="1">
        <v>0</v>
      </c>
      <c r="N55" s="1">
        <v>11572430</v>
      </c>
      <c r="O55" s="1">
        <v>2000000</v>
      </c>
      <c r="P55" s="1">
        <v>4495519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16484901</v>
      </c>
      <c r="Y55" s="1">
        <v>4000000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4626708</v>
      </c>
      <c r="AG55" s="1">
        <v>0</v>
      </c>
      <c r="AH55" s="1">
        <v>1835427</v>
      </c>
      <c r="AI55" s="1">
        <v>0</v>
      </c>
      <c r="AJ55" s="1">
        <v>0</v>
      </c>
      <c r="AK55" s="1">
        <v>0</v>
      </c>
      <c r="AL55" s="1">
        <v>4274934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66738525</v>
      </c>
      <c r="AS55" s="1">
        <v>10418748</v>
      </c>
      <c r="AT55" s="1">
        <v>56319777</v>
      </c>
      <c r="AU55" s="1">
        <v>12980620</v>
      </c>
      <c r="AV55" s="1">
        <v>1947093</v>
      </c>
      <c r="AW55" s="1">
        <f t="shared" si="2"/>
        <v>81666238</v>
      </c>
    </row>
    <row r="56" spans="1:49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26379241</v>
      </c>
      <c r="G56" s="1">
        <v>0</v>
      </c>
      <c r="H56" s="1">
        <v>0</v>
      </c>
      <c r="I56" s="1">
        <v>3203897</v>
      </c>
      <c r="J56" s="1">
        <v>0</v>
      </c>
      <c r="K56" s="1">
        <v>26022831</v>
      </c>
      <c r="L56" s="1">
        <v>0</v>
      </c>
      <c r="M56" s="1">
        <v>5500000</v>
      </c>
      <c r="N56" s="1">
        <v>0</v>
      </c>
      <c r="O56" s="1">
        <v>1000000</v>
      </c>
      <c r="P56" s="1">
        <v>4140667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1848000</v>
      </c>
      <c r="W56" s="1">
        <v>0</v>
      </c>
      <c r="X56" s="1">
        <v>6879363</v>
      </c>
      <c r="Y56" s="1">
        <v>4000000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3892267</v>
      </c>
      <c r="AF56" s="1">
        <v>0</v>
      </c>
      <c r="AG56" s="1">
        <v>3253381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5105243</v>
      </c>
      <c r="AO56" s="1">
        <v>0</v>
      </c>
      <c r="AP56" s="1">
        <v>0</v>
      </c>
      <c r="AQ56" s="1">
        <v>0</v>
      </c>
      <c r="AR56" s="1">
        <v>91224890</v>
      </c>
      <c r="AS56" s="1">
        <v>38419312</v>
      </c>
      <c r="AT56" s="1">
        <v>52805578</v>
      </c>
      <c r="AU56" s="1">
        <v>18244978</v>
      </c>
      <c r="AV56" s="1">
        <v>2736747</v>
      </c>
      <c r="AW56" s="1">
        <f t="shared" si="2"/>
        <v>112206615</v>
      </c>
    </row>
    <row r="57" spans="1:49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18735786</v>
      </c>
      <c r="G57" s="1">
        <v>0</v>
      </c>
      <c r="H57" s="1">
        <v>0</v>
      </c>
      <c r="I57" s="1">
        <v>3659388</v>
      </c>
      <c r="J57" s="1">
        <v>0</v>
      </c>
      <c r="K57" s="1">
        <v>19002838</v>
      </c>
      <c r="L57" s="1">
        <v>0</v>
      </c>
      <c r="M57" s="1">
        <v>4620000</v>
      </c>
      <c r="N57" s="1">
        <v>0</v>
      </c>
      <c r="O57" s="1">
        <v>1000000</v>
      </c>
      <c r="P57" s="1">
        <v>3656590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1848000</v>
      </c>
      <c r="W57" s="1">
        <v>0</v>
      </c>
      <c r="X57" s="1">
        <v>26617236</v>
      </c>
      <c r="Y57" s="1">
        <v>4000000</v>
      </c>
      <c r="Z57" s="1">
        <v>2719711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2873035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15545765</v>
      </c>
      <c r="AO57" s="1">
        <v>0</v>
      </c>
      <c r="AP57" s="1">
        <v>0</v>
      </c>
      <c r="AQ57" s="1">
        <v>0</v>
      </c>
      <c r="AR57" s="1">
        <v>104278349</v>
      </c>
      <c r="AS57" s="1">
        <v>43824560</v>
      </c>
      <c r="AT57" s="1">
        <v>60453789</v>
      </c>
      <c r="AU57" s="1">
        <v>20855670</v>
      </c>
      <c r="AV57" s="1">
        <v>3128350</v>
      </c>
      <c r="AW57" s="1">
        <f t="shared" si="2"/>
        <v>128262369</v>
      </c>
    </row>
    <row r="58" spans="1:49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28855680</v>
      </c>
      <c r="G58" s="1">
        <v>0</v>
      </c>
      <c r="H58" s="1">
        <v>0</v>
      </c>
      <c r="I58" s="1">
        <v>12333021</v>
      </c>
      <c r="J58" s="1">
        <v>0</v>
      </c>
      <c r="K58" s="1">
        <v>30056227</v>
      </c>
      <c r="L58" s="1">
        <v>0</v>
      </c>
      <c r="M58" s="1">
        <v>5500000</v>
      </c>
      <c r="N58" s="1">
        <v>0</v>
      </c>
      <c r="O58" s="1">
        <v>1000000</v>
      </c>
      <c r="P58" s="1">
        <v>4727026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1848000</v>
      </c>
      <c r="W58" s="1">
        <v>0</v>
      </c>
      <c r="X58" s="1">
        <v>28915233</v>
      </c>
      <c r="Y58" s="1">
        <v>4000000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5403827</v>
      </c>
      <c r="AF58" s="1">
        <v>0</v>
      </c>
      <c r="AG58" s="1">
        <v>3714091</v>
      </c>
      <c r="AH58" s="1">
        <v>1835427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7563242</v>
      </c>
      <c r="AO58" s="1">
        <v>0</v>
      </c>
      <c r="AP58" s="1">
        <v>0</v>
      </c>
      <c r="AQ58" s="1">
        <v>0</v>
      </c>
      <c r="AR58" s="1">
        <v>135751774</v>
      </c>
      <c r="AS58" s="1">
        <v>39466492</v>
      </c>
      <c r="AT58" s="1">
        <v>96285282</v>
      </c>
      <c r="AU58" s="1">
        <v>26783269</v>
      </c>
      <c r="AV58" s="1">
        <v>4017490</v>
      </c>
      <c r="AW58" s="1">
        <f t="shared" si="2"/>
        <v>166552533</v>
      </c>
    </row>
    <row r="59" spans="1:49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18481340</v>
      </c>
      <c r="G59" s="1">
        <v>0</v>
      </c>
      <c r="H59" s="1">
        <v>0</v>
      </c>
      <c r="I59" s="1">
        <v>3592987</v>
      </c>
      <c r="J59" s="1">
        <v>0</v>
      </c>
      <c r="K59" s="1">
        <v>18649031</v>
      </c>
      <c r="L59" s="1">
        <v>0</v>
      </c>
      <c r="M59" s="1">
        <v>4620000</v>
      </c>
      <c r="N59" s="1">
        <v>0</v>
      </c>
      <c r="O59" s="1">
        <v>1000000</v>
      </c>
      <c r="P59" s="1">
        <v>3567534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1848000</v>
      </c>
      <c r="W59" s="1">
        <v>0</v>
      </c>
      <c r="X59" s="1">
        <v>26134260</v>
      </c>
      <c r="Y59" s="1">
        <v>4000000</v>
      </c>
      <c r="Z59" s="1">
        <v>2682775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2803062</v>
      </c>
      <c r="AH59" s="1">
        <v>3670854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15227707</v>
      </c>
      <c r="AO59" s="1">
        <v>0</v>
      </c>
      <c r="AP59" s="1">
        <v>0</v>
      </c>
      <c r="AQ59" s="1">
        <v>0</v>
      </c>
      <c r="AR59" s="1">
        <v>106277550</v>
      </c>
      <c r="AS59" s="1">
        <v>52307173</v>
      </c>
      <c r="AT59" s="1">
        <v>53970377</v>
      </c>
      <c r="AU59" s="1">
        <v>20521339</v>
      </c>
      <c r="AV59" s="1">
        <v>3078201</v>
      </c>
      <c r="AW59" s="1">
        <f t="shared" si="2"/>
        <v>129877090</v>
      </c>
    </row>
    <row r="60" spans="1:49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37781442</v>
      </c>
      <c r="G60" s="1">
        <v>0</v>
      </c>
      <c r="H60" s="1">
        <v>0</v>
      </c>
      <c r="I60" s="1">
        <v>17646508</v>
      </c>
      <c r="J60" s="1">
        <v>0</v>
      </c>
      <c r="K60" s="1">
        <v>44978474</v>
      </c>
      <c r="L60" s="1">
        <v>0</v>
      </c>
      <c r="M60" s="1">
        <v>0</v>
      </c>
      <c r="N60" s="1">
        <v>0</v>
      </c>
      <c r="O60" s="1">
        <v>1000000</v>
      </c>
      <c r="P60" s="1">
        <v>6313282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1848000</v>
      </c>
      <c r="W60" s="1">
        <v>0</v>
      </c>
      <c r="X60" s="1">
        <v>10333728</v>
      </c>
      <c r="Y60" s="1">
        <v>4000000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3892267</v>
      </c>
      <c r="AF60" s="1">
        <v>0</v>
      </c>
      <c r="AG60" s="1">
        <v>4960436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5411385</v>
      </c>
      <c r="AO60" s="1">
        <v>0</v>
      </c>
      <c r="AP60" s="1">
        <v>0</v>
      </c>
      <c r="AQ60" s="1">
        <v>0</v>
      </c>
      <c r="AR60" s="1">
        <v>138165522</v>
      </c>
      <c r="AS60" s="1">
        <v>76552424</v>
      </c>
      <c r="AT60" s="1">
        <v>61613098</v>
      </c>
      <c r="AU60" s="1">
        <v>27633104</v>
      </c>
      <c r="AV60" s="1">
        <v>4144966</v>
      </c>
      <c r="AW60" s="1">
        <f t="shared" si="2"/>
        <v>169943592</v>
      </c>
    </row>
    <row r="61" spans="1:49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29435112</v>
      </c>
      <c r="G61" s="1">
        <v>0</v>
      </c>
      <c r="H61" s="1">
        <v>0</v>
      </c>
      <c r="I61" s="1">
        <v>6362647</v>
      </c>
      <c r="J61" s="1">
        <v>0</v>
      </c>
      <c r="K61" s="1">
        <v>27847805</v>
      </c>
      <c r="L61" s="1">
        <v>0</v>
      </c>
      <c r="M61" s="1">
        <v>5500000</v>
      </c>
      <c r="N61" s="1">
        <v>0</v>
      </c>
      <c r="O61" s="1">
        <v>1000000</v>
      </c>
      <c r="P61" s="1">
        <v>4929827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1848000</v>
      </c>
      <c r="W61" s="1">
        <v>0</v>
      </c>
      <c r="X61" s="1">
        <v>27057653</v>
      </c>
      <c r="Y61" s="1">
        <v>4000000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3873436</v>
      </c>
      <c r="AH61" s="1">
        <v>1835427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7042610</v>
      </c>
      <c r="AO61" s="1">
        <v>0</v>
      </c>
      <c r="AP61" s="1">
        <v>0</v>
      </c>
      <c r="AQ61" s="1">
        <v>0</v>
      </c>
      <c r="AR61" s="1">
        <v>120732517</v>
      </c>
      <c r="AS61" s="1">
        <v>41962276</v>
      </c>
      <c r="AT61" s="1">
        <v>78770241</v>
      </c>
      <c r="AU61" s="1">
        <v>23779418</v>
      </c>
      <c r="AV61" s="1">
        <v>3566913</v>
      </c>
      <c r="AW61" s="1">
        <f t="shared" si="2"/>
        <v>148078848</v>
      </c>
    </row>
    <row r="62" spans="1:49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21257572</v>
      </c>
      <c r="G62" s="1">
        <v>0</v>
      </c>
      <c r="H62" s="1">
        <v>0</v>
      </c>
      <c r="I62" s="1">
        <v>12636988</v>
      </c>
      <c r="J62" s="1">
        <v>0</v>
      </c>
      <c r="K62" s="1">
        <v>20875978</v>
      </c>
      <c r="L62" s="1">
        <v>0</v>
      </c>
      <c r="M62" s="1">
        <v>4620000</v>
      </c>
      <c r="N62" s="1">
        <v>0</v>
      </c>
      <c r="O62" s="1">
        <v>1000000</v>
      </c>
      <c r="P62" s="1">
        <v>4129204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1848000</v>
      </c>
      <c r="W62" s="1">
        <v>0</v>
      </c>
      <c r="X62" s="1">
        <v>15489430</v>
      </c>
      <c r="Y62" s="1">
        <v>4000000</v>
      </c>
      <c r="Z62" s="1">
        <v>3085777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3244374</v>
      </c>
      <c r="AH62" s="1">
        <v>3670854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16405338</v>
      </c>
      <c r="AO62" s="1">
        <v>0</v>
      </c>
      <c r="AP62" s="1">
        <v>0</v>
      </c>
      <c r="AQ62" s="1">
        <v>0</v>
      </c>
      <c r="AR62" s="1">
        <v>112263515</v>
      </c>
      <c r="AS62" s="1">
        <v>40285280</v>
      </c>
      <c r="AT62" s="1">
        <v>71978235</v>
      </c>
      <c r="AU62" s="1">
        <v>21718532</v>
      </c>
      <c r="AV62" s="1">
        <v>3257780</v>
      </c>
      <c r="AW62" s="1">
        <f t="shared" si="2"/>
        <v>137239827</v>
      </c>
    </row>
    <row r="63" spans="1:49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29908734</v>
      </c>
      <c r="G63" s="1">
        <v>0</v>
      </c>
      <c r="H63" s="1">
        <v>0</v>
      </c>
      <c r="I63" s="1">
        <v>1319400</v>
      </c>
      <c r="J63" s="1">
        <v>0</v>
      </c>
      <c r="K63" s="1">
        <v>29108379</v>
      </c>
      <c r="L63" s="1">
        <v>0</v>
      </c>
      <c r="M63" s="1">
        <v>5500000</v>
      </c>
      <c r="N63" s="1">
        <v>0</v>
      </c>
      <c r="O63" s="1">
        <v>1000000</v>
      </c>
      <c r="P63" s="1">
        <v>5095595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1848000</v>
      </c>
      <c r="W63" s="1">
        <v>0</v>
      </c>
      <c r="X63" s="1">
        <v>16384653</v>
      </c>
      <c r="Y63" s="1">
        <v>4000000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3892267</v>
      </c>
      <c r="AF63" s="1">
        <v>0</v>
      </c>
      <c r="AG63" s="1">
        <v>4003682</v>
      </c>
      <c r="AH63" s="1">
        <v>1835427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5095595</v>
      </c>
      <c r="AO63" s="1">
        <v>0</v>
      </c>
      <c r="AP63" s="1">
        <v>0</v>
      </c>
      <c r="AQ63" s="1">
        <v>0</v>
      </c>
      <c r="AR63" s="1">
        <v>108991732</v>
      </c>
      <c r="AS63" s="1">
        <v>34440367</v>
      </c>
      <c r="AT63" s="1">
        <v>74551365</v>
      </c>
      <c r="AU63" s="1">
        <v>21431261</v>
      </c>
      <c r="AV63" s="1">
        <v>3214689</v>
      </c>
      <c r="AW63" s="1">
        <f t="shared" si="2"/>
        <v>133637682</v>
      </c>
    </row>
    <row r="64" spans="1:49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27422218</v>
      </c>
      <c r="G64" s="1">
        <v>0</v>
      </c>
      <c r="H64" s="1">
        <v>0</v>
      </c>
      <c r="I64" s="1">
        <v>6751165</v>
      </c>
      <c r="J64" s="1">
        <v>0</v>
      </c>
      <c r="K64" s="1">
        <v>23160566</v>
      </c>
      <c r="L64" s="1">
        <v>0</v>
      </c>
      <c r="M64" s="1">
        <v>5500000</v>
      </c>
      <c r="N64" s="1">
        <v>0</v>
      </c>
      <c r="O64" s="1">
        <v>1000000</v>
      </c>
      <c r="P64" s="1">
        <v>4225314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1848000</v>
      </c>
      <c r="W64" s="1">
        <v>0</v>
      </c>
      <c r="X64" s="1">
        <v>15945607</v>
      </c>
      <c r="Y64" s="1">
        <v>4000000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3319889</v>
      </c>
      <c r="AH64" s="1">
        <v>1835427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5654443</v>
      </c>
      <c r="AO64" s="1">
        <v>0</v>
      </c>
      <c r="AP64" s="1">
        <v>0</v>
      </c>
      <c r="AQ64" s="1">
        <v>0</v>
      </c>
      <c r="AR64" s="1">
        <v>100662629</v>
      </c>
      <c r="AS64" s="1">
        <v>38884420</v>
      </c>
      <c r="AT64" s="1">
        <v>61778209</v>
      </c>
      <c r="AU64" s="1">
        <v>19765440</v>
      </c>
      <c r="AV64" s="1">
        <v>2964816</v>
      </c>
      <c r="AW64" s="1">
        <f t="shared" si="2"/>
        <v>123392885</v>
      </c>
    </row>
    <row r="65" spans="1:49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17614713</v>
      </c>
      <c r="G65" s="1">
        <v>0</v>
      </c>
      <c r="H65" s="1">
        <v>0</v>
      </c>
      <c r="I65" s="1">
        <v>3682005</v>
      </c>
      <c r="J65" s="1">
        <v>0</v>
      </c>
      <c r="K65" s="1">
        <v>16132358</v>
      </c>
      <c r="L65" s="1">
        <v>0</v>
      </c>
      <c r="M65" s="1">
        <v>3465000</v>
      </c>
      <c r="N65" s="1">
        <v>0</v>
      </c>
      <c r="O65" s="1">
        <v>1000000</v>
      </c>
      <c r="P65" s="1">
        <v>3264214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1848000</v>
      </c>
      <c r="W65" s="1">
        <v>0</v>
      </c>
      <c r="X65" s="1">
        <v>22686641</v>
      </c>
      <c r="Y65" s="1">
        <v>4000000</v>
      </c>
      <c r="Z65" s="1">
        <v>2556974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2564740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12279158</v>
      </c>
      <c r="AO65" s="1">
        <v>0</v>
      </c>
      <c r="AP65" s="1">
        <v>0</v>
      </c>
      <c r="AQ65" s="1">
        <v>0</v>
      </c>
      <c r="AR65" s="1">
        <v>91093803</v>
      </c>
      <c r="AS65" s="1">
        <v>11456951</v>
      </c>
      <c r="AT65" s="1">
        <v>79636852</v>
      </c>
      <c r="AU65" s="1">
        <v>18218761</v>
      </c>
      <c r="AV65" s="1">
        <v>2732814</v>
      </c>
      <c r="AW65" s="1">
        <f t="shared" si="2"/>
        <v>112045378</v>
      </c>
    </row>
    <row r="66" spans="1:49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28744833</v>
      </c>
      <c r="G66" s="1">
        <v>0</v>
      </c>
      <c r="H66" s="1">
        <v>0</v>
      </c>
      <c r="I66" s="1">
        <v>4973855</v>
      </c>
      <c r="J66" s="1">
        <v>0</v>
      </c>
      <c r="K66" s="1">
        <v>26189108</v>
      </c>
      <c r="L66" s="1">
        <v>0</v>
      </c>
      <c r="M66" s="1">
        <v>5500000</v>
      </c>
      <c r="N66" s="1">
        <v>0</v>
      </c>
      <c r="O66" s="1">
        <v>1000000</v>
      </c>
      <c r="P66" s="1">
        <v>4688229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1848000</v>
      </c>
      <c r="W66" s="1">
        <v>0</v>
      </c>
      <c r="X66" s="1">
        <v>16765545</v>
      </c>
      <c r="Y66" s="1">
        <v>4000000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3683609</v>
      </c>
      <c r="AH66" s="1">
        <v>3670854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8036965</v>
      </c>
      <c r="AO66" s="1">
        <v>0</v>
      </c>
      <c r="AP66" s="1">
        <v>0</v>
      </c>
      <c r="AQ66" s="1">
        <v>0</v>
      </c>
      <c r="AR66" s="1">
        <v>109100998</v>
      </c>
      <c r="AS66" s="1">
        <v>45668987</v>
      </c>
      <c r="AT66" s="1">
        <v>63432011</v>
      </c>
      <c r="AU66" s="1">
        <v>21086029</v>
      </c>
      <c r="AV66" s="1">
        <v>3162904</v>
      </c>
      <c r="AW66" s="1">
        <f t="shared" si="2"/>
        <v>133349931</v>
      </c>
    </row>
    <row r="67" spans="1:49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24169844</v>
      </c>
      <c r="G67" s="1">
        <v>0</v>
      </c>
      <c r="H67" s="1">
        <v>0</v>
      </c>
      <c r="I67" s="1">
        <v>0</v>
      </c>
      <c r="J67" s="1">
        <v>0</v>
      </c>
      <c r="K67" s="1">
        <v>21081706</v>
      </c>
      <c r="L67" s="1">
        <v>2530000</v>
      </c>
      <c r="M67" s="1">
        <v>4125000</v>
      </c>
      <c r="N67" s="1">
        <v>0</v>
      </c>
      <c r="O67" s="1">
        <v>1000000</v>
      </c>
      <c r="P67" s="1">
        <v>3367378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1848000</v>
      </c>
      <c r="W67" s="1">
        <v>0</v>
      </c>
      <c r="X67" s="1">
        <v>5577598</v>
      </c>
      <c r="Y67" s="1">
        <v>4000000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2645797</v>
      </c>
      <c r="AH67" s="1">
        <v>3670854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4511251</v>
      </c>
      <c r="AO67" s="1">
        <v>0</v>
      </c>
      <c r="AP67" s="1">
        <v>0</v>
      </c>
      <c r="AQ67" s="1">
        <v>0</v>
      </c>
      <c r="AR67" s="1">
        <v>78527428</v>
      </c>
      <c r="AS67" s="1">
        <v>56685466</v>
      </c>
      <c r="AT67" s="1">
        <v>21841962</v>
      </c>
      <c r="AU67" s="1">
        <v>14465315</v>
      </c>
      <c r="AV67" s="1">
        <v>2169797</v>
      </c>
      <c r="AW67" s="1">
        <f t="shared" ref="AW67:AW130" si="7">AR67+AU67+AV67</f>
        <v>95162540</v>
      </c>
    </row>
    <row r="68" spans="1:49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28656658</v>
      </c>
      <c r="G68" s="1">
        <v>0</v>
      </c>
      <c r="H68" s="1">
        <v>0</v>
      </c>
      <c r="I68" s="1">
        <v>6134012</v>
      </c>
      <c r="J68" s="1">
        <v>0</v>
      </c>
      <c r="K68" s="1">
        <v>27213602</v>
      </c>
      <c r="L68" s="1">
        <v>0</v>
      </c>
      <c r="M68" s="1">
        <v>4125000</v>
      </c>
      <c r="N68" s="1">
        <v>0</v>
      </c>
      <c r="O68" s="1">
        <v>1000000</v>
      </c>
      <c r="P68" s="1">
        <v>4657369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1848000</v>
      </c>
      <c r="W68" s="1">
        <v>0</v>
      </c>
      <c r="X68" s="1">
        <v>15821198</v>
      </c>
      <c r="Y68" s="1">
        <v>4000000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3659361</v>
      </c>
      <c r="AH68" s="1">
        <v>1835427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6919518</v>
      </c>
      <c r="AO68" s="1">
        <v>0</v>
      </c>
      <c r="AP68" s="1">
        <v>0</v>
      </c>
      <c r="AQ68" s="1">
        <v>0</v>
      </c>
      <c r="AR68" s="1">
        <v>105870145</v>
      </c>
      <c r="AS68" s="1">
        <v>31231229</v>
      </c>
      <c r="AT68" s="1">
        <v>74638916</v>
      </c>
      <c r="AU68" s="1">
        <v>20806944</v>
      </c>
      <c r="AV68" s="1">
        <v>3121042</v>
      </c>
      <c r="AW68" s="1">
        <f t="shared" si="7"/>
        <v>129798131</v>
      </c>
    </row>
    <row r="69" spans="1:49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18919693</v>
      </c>
      <c r="G69" s="1">
        <v>0</v>
      </c>
      <c r="H69" s="1">
        <v>0</v>
      </c>
      <c r="I69" s="1">
        <v>4617096</v>
      </c>
      <c r="J69" s="1">
        <v>0</v>
      </c>
      <c r="K69" s="1">
        <v>18338460</v>
      </c>
      <c r="L69" s="1">
        <v>0</v>
      </c>
      <c r="M69" s="1">
        <v>4620000</v>
      </c>
      <c r="N69" s="1">
        <v>0</v>
      </c>
      <c r="O69" s="1">
        <v>1000000</v>
      </c>
      <c r="P69" s="1">
        <v>3720957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1848000</v>
      </c>
      <c r="W69" s="1">
        <v>0</v>
      </c>
      <c r="X69" s="1">
        <v>13833783</v>
      </c>
      <c r="Y69" s="1">
        <v>4000000</v>
      </c>
      <c r="Z69" s="1">
        <v>2746407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2923609</v>
      </c>
      <c r="AH69" s="1">
        <v>1835427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14964444</v>
      </c>
      <c r="AO69" s="1">
        <v>0</v>
      </c>
      <c r="AP69" s="1">
        <v>0</v>
      </c>
      <c r="AQ69" s="1">
        <v>0</v>
      </c>
      <c r="AR69" s="1">
        <v>93367876</v>
      </c>
      <c r="AS69" s="1">
        <v>19919424</v>
      </c>
      <c r="AT69" s="1">
        <v>73448452</v>
      </c>
      <c r="AU69" s="1">
        <v>18306490</v>
      </c>
      <c r="AV69" s="1">
        <v>2745973</v>
      </c>
      <c r="AW69" s="1">
        <f t="shared" si="7"/>
        <v>114420339</v>
      </c>
    </row>
    <row r="70" spans="1:49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29986831</v>
      </c>
      <c r="G70" s="1">
        <v>0</v>
      </c>
      <c r="H70" s="1">
        <v>0</v>
      </c>
      <c r="I70" s="1">
        <v>2761603</v>
      </c>
      <c r="J70" s="1">
        <v>0</v>
      </c>
      <c r="K70" s="1">
        <v>28515137</v>
      </c>
      <c r="L70" s="1">
        <v>0</v>
      </c>
      <c r="M70" s="1">
        <v>5500000</v>
      </c>
      <c r="N70" s="1">
        <v>0</v>
      </c>
      <c r="O70" s="1">
        <v>1000000</v>
      </c>
      <c r="P70" s="1">
        <v>5122929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1848000</v>
      </c>
      <c r="W70" s="1">
        <v>0</v>
      </c>
      <c r="X70" s="1">
        <v>22578379</v>
      </c>
      <c r="Y70" s="1">
        <v>4000000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4025159</v>
      </c>
      <c r="AH70" s="1">
        <v>1835427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7611209</v>
      </c>
      <c r="AO70" s="1">
        <v>0</v>
      </c>
      <c r="AP70" s="1">
        <v>0</v>
      </c>
      <c r="AQ70" s="1">
        <v>0</v>
      </c>
      <c r="AR70" s="1">
        <v>114784674</v>
      </c>
      <c r="AS70" s="1">
        <v>47632874</v>
      </c>
      <c r="AT70" s="1">
        <v>67151800</v>
      </c>
      <c r="AU70" s="1">
        <v>22589849</v>
      </c>
      <c r="AV70" s="1">
        <v>3388477</v>
      </c>
      <c r="AW70" s="1">
        <f t="shared" si="7"/>
        <v>140763000</v>
      </c>
    </row>
    <row r="71" spans="1:49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19244678</v>
      </c>
      <c r="G71" s="1">
        <v>0</v>
      </c>
      <c r="H71" s="1">
        <v>0</v>
      </c>
      <c r="I71" s="1">
        <v>4185088</v>
      </c>
      <c r="J71" s="1">
        <v>0</v>
      </c>
      <c r="K71" s="1">
        <v>18764760</v>
      </c>
      <c r="L71" s="1">
        <v>0</v>
      </c>
      <c r="M71" s="1">
        <v>4620000</v>
      </c>
      <c r="N71" s="1">
        <v>0</v>
      </c>
      <c r="O71" s="1">
        <v>1000000</v>
      </c>
      <c r="P71" s="1">
        <v>3834702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14106821</v>
      </c>
      <c r="Y71" s="1">
        <v>4000000</v>
      </c>
      <c r="Z71" s="1">
        <v>2615680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3012980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15171905</v>
      </c>
      <c r="AO71" s="1">
        <v>0</v>
      </c>
      <c r="AP71" s="1">
        <v>0</v>
      </c>
      <c r="AQ71" s="1">
        <v>0</v>
      </c>
      <c r="AR71" s="1">
        <v>90556614</v>
      </c>
      <c r="AS71" s="1">
        <v>38851814</v>
      </c>
      <c r="AT71" s="1">
        <v>51704800</v>
      </c>
      <c r="AU71" s="1">
        <v>18111323</v>
      </c>
      <c r="AV71" s="1">
        <v>2716698</v>
      </c>
      <c r="AW71" s="1">
        <f t="shared" si="7"/>
        <v>111384635</v>
      </c>
    </row>
    <row r="72" spans="1:49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28334192</v>
      </c>
      <c r="G72" s="1">
        <v>0</v>
      </c>
      <c r="H72" s="1">
        <v>0</v>
      </c>
      <c r="I72" s="1">
        <v>14742504</v>
      </c>
      <c r="J72" s="1">
        <v>0</v>
      </c>
      <c r="K72" s="1">
        <v>27589781</v>
      </c>
      <c r="L72" s="1">
        <v>0</v>
      </c>
      <c r="M72" s="1">
        <v>5500000</v>
      </c>
      <c r="N72" s="1">
        <v>0</v>
      </c>
      <c r="O72" s="1">
        <v>1000000</v>
      </c>
      <c r="P72" s="1">
        <v>4544505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1848000</v>
      </c>
      <c r="W72" s="1">
        <v>0</v>
      </c>
      <c r="X72" s="1">
        <v>37846710</v>
      </c>
      <c r="Y72" s="1">
        <v>4000000</v>
      </c>
      <c r="Z72" s="1">
        <v>4113028</v>
      </c>
      <c r="AA72" s="1">
        <v>0</v>
      </c>
      <c r="AB72" s="1">
        <v>0</v>
      </c>
      <c r="AC72" s="1">
        <v>0</v>
      </c>
      <c r="AD72" s="1">
        <v>0</v>
      </c>
      <c r="AE72" s="1">
        <v>4459102</v>
      </c>
      <c r="AF72" s="1">
        <v>0</v>
      </c>
      <c r="AG72" s="1">
        <v>3570682</v>
      </c>
      <c r="AH72" s="1">
        <v>1835427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16550524</v>
      </c>
      <c r="AO72" s="1">
        <v>0</v>
      </c>
      <c r="AP72" s="1">
        <v>0</v>
      </c>
      <c r="AQ72" s="1">
        <v>0</v>
      </c>
      <c r="AR72" s="1">
        <v>155934455</v>
      </c>
      <c r="AS72" s="1">
        <v>50582402</v>
      </c>
      <c r="AT72" s="1">
        <v>105352053</v>
      </c>
      <c r="AU72" s="1">
        <v>27637511</v>
      </c>
      <c r="AV72" s="1">
        <v>4145627</v>
      </c>
      <c r="AW72" s="1">
        <f t="shared" si="7"/>
        <v>187717593</v>
      </c>
    </row>
    <row r="73" spans="1:49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27701856</v>
      </c>
      <c r="G73" s="1">
        <v>0</v>
      </c>
      <c r="H73" s="1">
        <v>0</v>
      </c>
      <c r="I73" s="1">
        <v>545316</v>
      </c>
      <c r="J73" s="1">
        <v>0</v>
      </c>
      <c r="K73" s="1">
        <v>25630264</v>
      </c>
      <c r="L73" s="1">
        <v>0</v>
      </c>
      <c r="M73" s="1">
        <v>4125000</v>
      </c>
      <c r="N73" s="1">
        <v>0</v>
      </c>
      <c r="O73" s="1">
        <v>1000000</v>
      </c>
      <c r="P73" s="1">
        <v>4323188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1848000</v>
      </c>
      <c r="W73" s="1">
        <v>0</v>
      </c>
      <c r="X73" s="1">
        <v>10802445</v>
      </c>
      <c r="Y73" s="1">
        <v>4000000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3396790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5424485</v>
      </c>
      <c r="AO73" s="1">
        <v>0</v>
      </c>
      <c r="AP73" s="1">
        <v>0</v>
      </c>
      <c r="AQ73" s="1">
        <v>0</v>
      </c>
      <c r="AR73" s="1">
        <v>88797344</v>
      </c>
      <c r="AS73" s="1">
        <v>16387568</v>
      </c>
      <c r="AT73" s="1">
        <v>72409776</v>
      </c>
      <c r="AU73" s="1">
        <v>17759469</v>
      </c>
      <c r="AV73" s="1">
        <v>2663920</v>
      </c>
      <c r="AW73" s="1">
        <f t="shared" si="7"/>
        <v>109220733</v>
      </c>
    </row>
    <row r="74" spans="1:49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27739645</v>
      </c>
      <c r="G74" s="1">
        <v>0</v>
      </c>
      <c r="H74" s="1">
        <v>0</v>
      </c>
      <c r="I74" s="1">
        <v>0</v>
      </c>
      <c r="J74" s="1">
        <v>0</v>
      </c>
      <c r="K74" s="1">
        <v>24980550</v>
      </c>
      <c r="L74" s="1">
        <v>0</v>
      </c>
      <c r="M74" s="1">
        <v>5500000</v>
      </c>
      <c r="N74" s="1">
        <v>0</v>
      </c>
      <c r="O74" s="1">
        <v>1000000</v>
      </c>
      <c r="P74" s="1">
        <v>4336413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1848000</v>
      </c>
      <c r="W74" s="1">
        <v>0</v>
      </c>
      <c r="X74" s="1">
        <v>13927408</v>
      </c>
      <c r="Y74" s="1">
        <v>4000000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3407182</v>
      </c>
      <c r="AH74" s="1">
        <v>1835427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5076953</v>
      </c>
      <c r="AO74" s="1">
        <v>0</v>
      </c>
      <c r="AP74" s="1">
        <v>0</v>
      </c>
      <c r="AQ74" s="1">
        <v>0</v>
      </c>
      <c r="AR74" s="1">
        <v>93651578</v>
      </c>
      <c r="AS74" s="1">
        <v>30592124</v>
      </c>
      <c r="AT74" s="1">
        <v>63059454</v>
      </c>
      <c r="AU74" s="1">
        <v>18363230</v>
      </c>
      <c r="AV74" s="1">
        <v>2754485</v>
      </c>
      <c r="AW74" s="1">
        <f t="shared" si="7"/>
        <v>114769293</v>
      </c>
    </row>
    <row r="75" spans="1:49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18131162</v>
      </c>
      <c r="G75" s="1">
        <v>0</v>
      </c>
      <c r="H75" s="1">
        <v>0</v>
      </c>
      <c r="I75" s="1">
        <v>4287923</v>
      </c>
      <c r="J75" s="1">
        <v>0</v>
      </c>
      <c r="K75" s="1">
        <v>16782438</v>
      </c>
      <c r="L75" s="1">
        <v>0</v>
      </c>
      <c r="M75" s="1">
        <v>3465000</v>
      </c>
      <c r="N75" s="1">
        <v>0</v>
      </c>
      <c r="O75" s="1">
        <v>1000000</v>
      </c>
      <c r="P75" s="1">
        <v>3444971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1848000</v>
      </c>
      <c r="W75" s="1">
        <v>0</v>
      </c>
      <c r="X75" s="1">
        <v>12847510</v>
      </c>
      <c r="Y75" s="1">
        <v>4000000</v>
      </c>
      <c r="Z75" s="1">
        <v>2631943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2706763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13604921</v>
      </c>
      <c r="AO75" s="1">
        <v>0</v>
      </c>
      <c r="AP75" s="1">
        <v>0</v>
      </c>
      <c r="AQ75" s="1">
        <v>0</v>
      </c>
      <c r="AR75" s="1">
        <v>84750631</v>
      </c>
      <c r="AS75" s="1">
        <v>38747305</v>
      </c>
      <c r="AT75" s="1">
        <v>46003326</v>
      </c>
      <c r="AU75" s="1">
        <v>16950126</v>
      </c>
      <c r="AV75" s="1">
        <v>2542519</v>
      </c>
      <c r="AW75" s="1">
        <f t="shared" si="7"/>
        <v>104243276</v>
      </c>
    </row>
    <row r="76" spans="1:49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18294915</v>
      </c>
      <c r="G76" s="1">
        <v>0</v>
      </c>
      <c r="H76" s="1">
        <v>0</v>
      </c>
      <c r="I76" s="1">
        <v>2949728</v>
      </c>
      <c r="J76" s="1">
        <v>0</v>
      </c>
      <c r="K76" s="1">
        <v>16095650</v>
      </c>
      <c r="L76" s="1">
        <v>0</v>
      </c>
      <c r="M76" s="1">
        <v>4620000</v>
      </c>
      <c r="N76" s="1">
        <v>0</v>
      </c>
      <c r="O76" s="1">
        <v>1000000</v>
      </c>
      <c r="P76" s="1">
        <v>3502285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1848000</v>
      </c>
      <c r="W76" s="1">
        <v>0</v>
      </c>
      <c r="X76" s="1">
        <v>11363143</v>
      </c>
      <c r="Y76" s="1">
        <v>4000000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2751795</v>
      </c>
      <c r="AH76" s="1">
        <v>1835427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7709158</v>
      </c>
      <c r="AO76" s="1">
        <v>0</v>
      </c>
      <c r="AP76" s="1">
        <v>0</v>
      </c>
      <c r="AQ76" s="1">
        <v>0</v>
      </c>
      <c r="AR76" s="1">
        <v>75970101</v>
      </c>
      <c r="AS76" s="1">
        <v>32920968</v>
      </c>
      <c r="AT76" s="1">
        <v>43049133</v>
      </c>
      <c r="AU76" s="1">
        <v>14826935</v>
      </c>
      <c r="AV76" s="1">
        <v>2224040</v>
      </c>
      <c r="AW76" s="1">
        <f t="shared" si="7"/>
        <v>93021076</v>
      </c>
    </row>
    <row r="77" spans="1:49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18859230</v>
      </c>
      <c r="G77" s="1">
        <v>0</v>
      </c>
      <c r="H77" s="1">
        <v>0</v>
      </c>
      <c r="I77" s="1">
        <v>3251416</v>
      </c>
      <c r="J77" s="1">
        <v>0</v>
      </c>
      <c r="K77" s="1">
        <v>18603661</v>
      </c>
      <c r="L77" s="1">
        <v>0</v>
      </c>
      <c r="M77" s="1">
        <v>4620000</v>
      </c>
      <c r="N77" s="1">
        <v>0</v>
      </c>
      <c r="O77" s="1">
        <v>1000000</v>
      </c>
      <c r="P77" s="1">
        <v>3699795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1848000</v>
      </c>
      <c r="W77" s="1">
        <v>0</v>
      </c>
      <c r="X77" s="1">
        <v>12525325</v>
      </c>
      <c r="Y77" s="1">
        <v>4000000</v>
      </c>
      <c r="Z77" s="1">
        <v>2737630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2906982</v>
      </c>
      <c r="AH77" s="1">
        <v>1835427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9229586</v>
      </c>
      <c r="AO77" s="1">
        <v>0</v>
      </c>
      <c r="AP77" s="1">
        <v>0</v>
      </c>
      <c r="AQ77" s="1">
        <v>0</v>
      </c>
      <c r="AR77" s="1">
        <v>85117052</v>
      </c>
      <c r="AS77" s="1">
        <v>52184430</v>
      </c>
      <c r="AT77" s="1">
        <v>32932622</v>
      </c>
      <c r="AU77" s="1">
        <v>16656325</v>
      </c>
      <c r="AV77" s="1">
        <v>2498449</v>
      </c>
      <c r="AW77" s="1">
        <f t="shared" si="7"/>
        <v>104271826</v>
      </c>
    </row>
    <row r="78" spans="1:49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18070700</v>
      </c>
      <c r="G78" s="1">
        <v>0</v>
      </c>
      <c r="H78" s="1">
        <v>0</v>
      </c>
      <c r="I78" s="1">
        <v>0</v>
      </c>
      <c r="J78" s="1">
        <v>0</v>
      </c>
      <c r="K78" s="1">
        <v>15402692</v>
      </c>
      <c r="L78" s="1">
        <v>0</v>
      </c>
      <c r="M78" s="1">
        <v>4620000</v>
      </c>
      <c r="N78" s="1">
        <v>0</v>
      </c>
      <c r="O78" s="1">
        <v>1000000</v>
      </c>
      <c r="P78" s="1">
        <v>3423809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1848000</v>
      </c>
      <c r="W78" s="1">
        <v>0</v>
      </c>
      <c r="X78" s="1">
        <v>11044059</v>
      </c>
      <c r="Y78" s="1">
        <v>4000000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2690136</v>
      </c>
      <c r="AH78" s="1">
        <v>3670854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7408659</v>
      </c>
      <c r="AO78" s="1">
        <v>0</v>
      </c>
      <c r="AP78" s="1">
        <v>0</v>
      </c>
      <c r="AQ78" s="1">
        <v>0</v>
      </c>
      <c r="AR78" s="1">
        <v>73178909</v>
      </c>
      <c r="AS78" s="1">
        <v>11574899</v>
      </c>
      <c r="AT78" s="1">
        <v>61604010</v>
      </c>
      <c r="AU78" s="1">
        <v>13901611</v>
      </c>
      <c r="AV78" s="1">
        <v>2085242</v>
      </c>
      <c r="AW78" s="1">
        <f t="shared" si="7"/>
        <v>89165762</v>
      </c>
    </row>
    <row r="79" spans="1:49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15951997</v>
      </c>
      <c r="G79" s="1">
        <v>0</v>
      </c>
      <c r="H79" s="1">
        <v>0</v>
      </c>
      <c r="I79" s="1">
        <v>0</v>
      </c>
      <c r="J79" s="1">
        <v>0</v>
      </c>
      <c r="K79" s="1">
        <v>14932403</v>
      </c>
      <c r="L79" s="1">
        <v>0</v>
      </c>
      <c r="M79" s="1">
        <v>0</v>
      </c>
      <c r="N79" s="1">
        <v>0</v>
      </c>
      <c r="O79" s="1">
        <v>1000000</v>
      </c>
      <c r="P79" s="1">
        <v>2990874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1848000</v>
      </c>
      <c r="W79" s="1">
        <v>0</v>
      </c>
      <c r="X79" s="1">
        <v>7980001</v>
      </c>
      <c r="Y79" s="1">
        <v>4000000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2349972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5774764</v>
      </c>
      <c r="AO79" s="1">
        <v>0</v>
      </c>
      <c r="AP79" s="1">
        <v>0</v>
      </c>
      <c r="AQ79" s="1">
        <v>0</v>
      </c>
      <c r="AR79" s="1">
        <v>56828011</v>
      </c>
      <c r="AS79" s="1">
        <v>29057131</v>
      </c>
      <c r="AT79" s="1">
        <v>27770880</v>
      </c>
      <c r="AU79" s="1">
        <v>11365602</v>
      </c>
      <c r="AV79" s="1">
        <v>1704840</v>
      </c>
      <c r="AW79" s="1">
        <f t="shared" si="7"/>
        <v>69898453</v>
      </c>
    </row>
    <row r="80" spans="1:49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26013948</v>
      </c>
      <c r="G80" s="1">
        <v>0</v>
      </c>
      <c r="H80" s="1">
        <v>0</v>
      </c>
      <c r="I80" s="1">
        <v>0</v>
      </c>
      <c r="J80" s="1">
        <v>0</v>
      </c>
      <c r="K80" s="1">
        <v>24918976</v>
      </c>
      <c r="L80" s="1">
        <v>0</v>
      </c>
      <c r="M80" s="1">
        <v>5500000</v>
      </c>
      <c r="N80" s="1">
        <v>0</v>
      </c>
      <c r="O80" s="1">
        <v>1000000</v>
      </c>
      <c r="P80" s="1">
        <v>4012814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1848000</v>
      </c>
      <c r="W80" s="1">
        <v>0</v>
      </c>
      <c r="X80" s="1">
        <v>6299070</v>
      </c>
      <c r="Y80" s="1">
        <v>4000000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3152925</v>
      </c>
      <c r="AH80" s="1">
        <v>5506281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4892038</v>
      </c>
      <c r="AO80" s="1">
        <v>0</v>
      </c>
      <c r="AP80" s="1">
        <v>0</v>
      </c>
      <c r="AQ80" s="1">
        <v>0</v>
      </c>
      <c r="AR80" s="1">
        <v>87144052</v>
      </c>
      <c r="AS80" s="1">
        <v>38601260</v>
      </c>
      <c r="AT80" s="1">
        <v>48542792</v>
      </c>
      <c r="AU80" s="1">
        <v>16327554</v>
      </c>
      <c r="AV80" s="1">
        <v>2449133</v>
      </c>
      <c r="AW80" s="1">
        <f t="shared" si="7"/>
        <v>105920739</v>
      </c>
    </row>
    <row r="81" spans="1:49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28203190</v>
      </c>
      <c r="G81" s="1">
        <v>0</v>
      </c>
      <c r="H81" s="1">
        <v>0</v>
      </c>
      <c r="I81" s="1">
        <v>19739337</v>
      </c>
      <c r="J81" s="1">
        <v>0</v>
      </c>
      <c r="K81" s="1">
        <v>25289411</v>
      </c>
      <c r="L81" s="1">
        <v>0</v>
      </c>
      <c r="M81" s="1">
        <v>5500000</v>
      </c>
      <c r="N81" s="1">
        <v>0</v>
      </c>
      <c r="O81" s="1">
        <v>1000000</v>
      </c>
      <c r="P81" s="1">
        <v>4498655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1848000</v>
      </c>
      <c r="W81" s="1">
        <v>0</v>
      </c>
      <c r="X81" s="1">
        <v>14836454</v>
      </c>
      <c r="Y81" s="1">
        <v>4000000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3534657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5912517</v>
      </c>
      <c r="AO81" s="1">
        <v>0</v>
      </c>
      <c r="AP81" s="1">
        <v>0</v>
      </c>
      <c r="AQ81" s="1">
        <v>0</v>
      </c>
      <c r="AR81" s="1">
        <v>114362221</v>
      </c>
      <c r="AS81" s="1">
        <v>40610911</v>
      </c>
      <c r="AT81" s="1">
        <v>73751310</v>
      </c>
      <c r="AU81" s="1">
        <v>22872444</v>
      </c>
      <c r="AV81" s="1">
        <v>3430867</v>
      </c>
      <c r="AW81" s="1">
        <f t="shared" si="7"/>
        <v>140665532</v>
      </c>
    </row>
    <row r="82" spans="1:49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17957333</v>
      </c>
      <c r="G82" s="1">
        <v>0</v>
      </c>
      <c r="H82" s="1">
        <v>0</v>
      </c>
      <c r="I82" s="1">
        <v>11965865</v>
      </c>
      <c r="J82" s="1">
        <v>0</v>
      </c>
      <c r="K82" s="1">
        <v>17137213</v>
      </c>
      <c r="L82" s="1">
        <v>0</v>
      </c>
      <c r="M82" s="1">
        <v>4620000</v>
      </c>
      <c r="N82" s="1">
        <v>0</v>
      </c>
      <c r="O82" s="1">
        <v>1000000</v>
      </c>
      <c r="P82" s="1">
        <v>3384131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12906801</v>
      </c>
      <c r="Y82" s="1">
        <v>4000000</v>
      </c>
      <c r="Z82" s="1">
        <v>2606710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2658960</v>
      </c>
      <c r="AH82" s="1">
        <v>1835427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13784923</v>
      </c>
      <c r="AO82" s="1">
        <v>0</v>
      </c>
      <c r="AP82" s="1">
        <v>0</v>
      </c>
      <c r="AQ82" s="1">
        <v>0</v>
      </c>
      <c r="AR82" s="1">
        <v>93857363</v>
      </c>
      <c r="AS82" s="1">
        <v>43262391</v>
      </c>
      <c r="AT82" s="1">
        <v>50594972</v>
      </c>
      <c r="AU82" s="1">
        <v>18404387</v>
      </c>
      <c r="AV82" s="1">
        <v>2760658</v>
      </c>
      <c r="AW82" s="1">
        <f t="shared" si="7"/>
        <v>115022408</v>
      </c>
    </row>
    <row r="83" spans="1:49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35657700</v>
      </c>
      <c r="G83" s="1">
        <v>0</v>
      </c>
      <c r="H83" s="1">
        <v>0</v>
      </c>
      <c r="I83" s="1">
        <v>13725559</v>
      </c>
      <c r="J83" s="1">
        <v>0</v>
      </c>
      <c r="K83" s="1">
        <v>38035648</v>
      </c>
      <c r="L83" s="1">
        <v>0</v>
      </c>
      <c r="M83" s="1">
        <v>5500000</v>
      </c>
      <c r="N83" s="1">
        <v>0</v>
      </c>
      <c r="O83" s="1">
        <v>1000000</v>
      </c>
      <c r="P83" s="1">
        <v>5569973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1848000</v>
      </c>
      <c r="W83" s="1">
        <v>0</v>
      </c>
      <c r="X83" s="1">
        <v>8841399</v>
      </c>
      <c r="Y83" s="1">
        <v>4000000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4376407</v>
      </c>
      <c r="AH83" s="1">
        <v>1835427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4774262</v>
      </c>
      <c r="AO83" s="1">
        <v>0</v>
      </c>
      <c r="AP83" s="1">
        <v>0</v>
      </c>
      <c r="AQ83" s="1">
        <v>0</v>
      </c>
      <c r="AR83" s="1">
        <v>125164375</v>
      </c>
      <c r="AS83" s="1">
        <v>47949874</v>
      </c>
      <c r="AT83" s="1">
        <v>77214501</v>
      </c>
      <c r="AU83" s="1">
        <v>24665790</v>
      </c>
      <c r="AV83" s="1">
        <v>3699868</v>
      </c>
      <c r="AW83" s="1">
        <f t="shared" si="7"/>
        <v>153530033</v>
      </c>
    </row>
    <row r="84" spans="1:49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17962371</v>
      </c>
      <c r="G84" s="1">
        <v>0</v>
      </c>
      <c r="H84" s="1">
        <v>0</v>
      </c>
      <c r="I84" s="1">
        <v>820730</v>
      </c>
      <c r="J84" s="1">
        <v>0</v>
      </c>
      <c r="K84" s="1">
        <v>15726359</v>
      </c>
      <c r="L84" s="1">
        <v>2530000</v>
      </c>
      <c r="M84" s="1">
        <v>3465000</v>
      </c>
      <c r="N84" s="1">
        <v>0</v>
      </c>
      <c r="O84" s="1">
        <v>1000000</v>
      </c>
      <c r="P84" s="1">
        <v>3385894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1848000</v>
      </c>
      <c r="W84" s="1">
        <v>0</v>
      </c>
      <c r="X84" s="1">
        <v>11065847</v>
      </c>
      <c r="Y84" s="1">
        <v>4000000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2660346</v>
      </c>
      <c r="AH84" s="1">
        <v>1835427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7353739</v>
      </c>
      <c r="AO84" s="1">
        <v>0</v>
      </c>
      <c r="AP84" s="1">
        <v>0</v>
      </c>
      <c r="AQ84" s="1">
        <v>0</v>
      </c>
      <c r="AR84" s="1">
        <v>73653713</v>
      </c>
      <c r="AS84" s="1">
        <v>35070688</v>
      </c>
      <c r="AT84" s="1">
        <v>38583025</v>
      </c>
      <c r="AU84" s="1">
        <v>13857657</v>
      </c>
      <c r="AV84" s="1">
        <v>2078649</v>
      </c>
      <c r="AW84" s="1">
        <f t="shared" si="7"/>
        <v>89590019</v>
      </c>
    </row>
    <row r="85" spans="1:49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28447559</v>
      </c>
      <c r="G85" s="1">
        <v>0</v>
      </c>
      <c r="H85" s="1">
        <v>0</v>
      </c>
      <c r="I85" s="1">
        <v>686774</v>
      </c>
      <c r="J85" s="1">
        <v>0</v>
      </c>
      <c r="K85" s="1">
        <v>26548497</v>
      </c>
      <c r="L85" s="1">
        <v>0</v>
      </c>
      <c r="M85" s="1">
        <v>5500000</v>
      </c>
      <c r="N85" s="1">
        <v>0</v>
      </c>
      <c r="O85" s="1">
        <v>1000000</v>
      </c>
      <c r="P85" s="1">
        <v>4584184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1848000</v>
      </c>
      <c r="W85" s="1">
        <v>0</v>
      </c>
      <c r="X85" s="1">
        <v>26285058</v>
      </c>
      <c r="Y85" s="1">
        <v>4000000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3601859</v>
      </c>
      <c r="AH85" s="1">
        <v>1835427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7858600</v>
      </c>
      <c r="AO85" s="1">
        <v>0</v>
      </c>
      <c r="AP85" s="1">
        <v>0</v>
      </c>
      <c r="AQ85" s="1">
        <v>0</v>
      </c>
      <c r="AR85" s="1">
        <v>112195958</v>
      </c>
      <c r="AS85" s="1">
        <v>39288453</v>
      </c>
      <c r="AT85" s="1">
        <v>72907505</v>
      </c>
      <c r="AU85" s="1">
        <v>22072106</v>
      </c>
      <c r="AV85" s="1">
        <v>3310816</v>
      </c>
      <c r="AW85" s="1">
        <f t="shared" si="7"/>
        <v>137578880</v>
      </c>
    </row>
    <row r="86" spans="1:49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24719045</v>
      </c>
      <c r="G86" s="1">
        <v>0</v>
      </c>
      <c r="H86" s="1">
        <v>0</v>
      </c>
      <c r="I86" s="1">
        <v>0</v>
      </c>
      <c r="J86" s="1">
        <v>0</v>
      </c>
      <c r="K86" s="1">
        <v>21326561</v>
      </c>
      <c r="L86" s="1">
        <v>2530000</v>
      </c>
      <c r="M86" s="1">
        <v>4125000</v>
      </c>
      <c r="N86" s="1">
        <v>0</v>
      </c>
      <c r="O86" s="1">
        <v>1000000</v>
      </c>
      <c r="P86" s="1">
        <v>4353167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1848000</v>
      </c>
      <c r="W86" s="1">
        <v>0</v>
      </c>
      <c r="X86" s="1">
        <v>10125632</v>
      </c>
      <c r="Y86" s="1">
        <v>4000000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3420346</v>
      </c>
      <c r="AH86" s="1">
        <v>1835427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5743424</v>
      </c>
      <c r="AO86" s="1">
        <v>0</v>
      </c>
      <c r="AP86" s="1">
        <v>0</v>
      </c>
      <c r="AQ86" s="1">
        <v>0</v>
      </c>
      <c r="AR86" s="1">
        <v>85026602</v>
      </c>
      <c r="AS86" s="1">
        <v>20603168</v>
      </c>
      <c r="AT86" s="1">
        <v>64423434</v>
      </c>
      <c r="AU86" s="1">
        <v>16132235</v>
      </c>
      <c r="AV86" s="1">
        <v>2419835</v>
      </c>
      <c r="AW86" s="1">
        <f t="shared" si="7"/>
        <v>103578672</v>
      </c>
    </row>
    <row r="87" spans="1:49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18093373</v>
      </c>
      <c r="G87" s="1">
        <v>0</v>
      </c>
      <c r="H87" s="1">
        <v>0</v>
      </c>
      <c r="I87" s="1">
        <v>0</v>
      </c>
      <c r="J87" s="1">
        <v>0</v>
      </c>
      <c r="K87" s="1">
        <v>16256420</v>
      </c>
      <c r="L87" s="1">
        <v>0</v>
      </c>
      <c r="M87" s="1">
        <v>3465000</v>
      </c>
      <c r="N87" s="1">
        <v>0</v>
      </c>
      <c r="O87" s="1">
        <v>1000000</v>
      </c>
      <c r="P87" s="1">
        <v>3431745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1848000</v>
      </c>
      <c r="W87" s="1">
        <v>0</v>
      </c>
      <c r="X87" s="1">
        <v>11213322</v>
      </c>
      <c r="Y87" s="1">
        <v>4000000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2696371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7238357</v>
      </c>
      <c r="AO87" s="1">
        <v>0</v>
      </c>
      <c r="AP87" s="1">
        <v>0</v>
      </c>
      <c r="AQ87" s="1">
        <v>0</v>
      </c>
      <c r="AR87" s="1">
        <v>69242588</v>
      </c>
      <c r="AS87" s="1">
        <v>32072352</v>
      </c>
      <c r="AT87" s="1">
        <v>37170236</v>
      </c>
      <c r="AU87" s="1">
        <v>13848518</v>
      </c>
      <c r="AV87" s="1">
        <v>2077278</v>
      </c>
      <c r="AW87" s="1">
        <f t="shared" si="7"/>
        <v>85168384</v>
      </c>
    </row>
    <row r="88" spans="1:49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19118715</v>
      </c>
      <c r="G88" s="1">
        <v>0</v>
      </c>
      <c r="H88" s="1">
        <v>0</v>
      </c>
      <c r="I88" s="1">
        <v>3324705</v>
      </c>
      <c r="J88" s="1">
        <v>0</v>
      </c>
      <c r="K88" s="1">
        <v>19301397</v>
      </c>
      <c r="L88" s="1">
        <v>0</v>
      </c>
      <c r="M88" s="1">
        <v>4620000</v>
      </c>
      <c r="N88" s="1">
        <v>0</v>
      </c>
      <c r="O88" s="1">
        <v>1000000</v>
      </c>
      <c r="P88" s="1">
        <v>3790615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12807653</v>
      </c>
      <c r="Y88" s="1">
        <v>4000000</v>
      </c>
      <c r="Z88" s="1">
        <v>2775297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2978341</v>
      </c>
      <c r="AH88" s="1">
        <v>1835427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9311588</v>
      </c>
      <c r="AO88" s="1">
        <v>0</v>
      </c>
      <c r="AP88" s="1">
        <v>0</v>
      </c>
      <c r="AQ88" s="1">
        <v>0</v>
      </c>
      <c r="AR88" s="1">
        <v>84863738</v>
      </c>
      <c r="AS88" s="1">
        <v>22576232</v>
      </c>
      <c r="AT88" s="1">
        <v>62287506</v>
      </c>
      <c r="AU88" s="1">
        <v>16605662</v>
      </c>
      <c r="AV88" s="1">
        <v>2490849</v>
      </c>
      <c r="AW88" s="1">
        <f t="shared" si="7"/>
        <v>103960249</v>
      </c>
    </row>
    <row r="89" spans="1:49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17876716</v>
      </c>
      <c r="G89" s="1">
        <v>0</v>
      </c>
      <c r="H89" s="1">
        <v>0</v>
      </c>
      <c r="I89" s="1">
        <v>3271743</v>
      </c>
      <c r="J89" s="1">
        <v>0</v>
      </c>
      <c r="K89" s="1">
        <v>16500563</v>
      </c>
      <c r="L89" s="1">
        <v>0</v>
      </c>
      <c r="M89" s="1">
        <v>4620000</v>
      </c>
      <c r="N89" s="1">
        <v>0</v>
      </c>
      <c r="O89" s="1">
        <v>1000000</v>
      </c>
      <c r="P89" s="1">
        <v>3355915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1848000</v>
      </c>
      <c r="W89" s="1">
        <v>0</v>
      </c>
      <c r="X89" s="1">
        <v>17172321</v>
      </c>
      <c r="Y89" s="1">
        <v>4000000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2636791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8693788</v>
      </c>
      <c r="AO89" s="1">
        <v>0</v>
      </c>
      <c r="AP89" s="1">
        <v>0</v>
      </c>
      <c r="AQ89" s="1">
        <v>0</v>
      </c>
      <c r="AR89" s="1">
        <v>80975837</v>
      </c>
      <c r="AS89" s="1">
        <v>12715462</v>
      </c>
      <c r="AT89" s="1">
        <v>68260375</v>
      </c>
      <c r="AU89" s="1">
        <v>16195167</v>
      </c>
      <c r="AV89" s="1">
        <v>2429275</v>
      </c>
      <c r="AW89" s="1">
        <f t="shared" si="7"/>
        <v>99600279</v>
      </c>
    </row>
    <row r="90" spans="1:49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26668957</v>
      </c>
      <c r="G90" s="1">
        <v>0</v>
      </c>
      <c r="H90" s="1">
        <v>0</v>
      </c>
      <c r="I90" s="1">
        <v>0</v>
      </c>
      <c r="J90" s="1">
        <v>0</v>
      </c>
      <c r="K90" s="1">
        <v>25536931</v>
      </c>
      <c r="L90" s="1">
        <v>0</v>
      </c>
      <c r="M90" s="1">
        <v>5500000</v>
      </c>
      <c r="N90" s="1">
        <v>0</v>
      </c>
      <c r="O90" s="1">
        <v>1000000</v>
      </c>
      <c r="P90" s="1">
        <v>3961673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1848000</v>
      </c>
      <c r="W90" s="1">
        <v>0</v>
      </c>
      <c r="X90" s="1">
        <v>22794752</v>
      </c>
      <c r="Y90" s="1">
        <v>4000000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3112743</v>
      </c>
      <c r="AH90" s="1">
        <v>1835427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6791439</v>
      </c>
      <c r="AO90" s="1">
        <v>0</v>
      </c>
      <c r="AP90" s="1">
        <v>0</v>
      </c>
      <c r="AQ90" s="1">
        <v>0</v>
      </c>
      <c r="AR90" s="1">
        <v>103049922</v>
      </c>
      <c r="AS90" s="1">
        <v>16667751</v>
      </c>
      <c r="AT90" s="1">
        <v>86382171</v>
      </c>
      <c r="AU90" s="1">
        <v>20242899</v>
      </c>
      <c r="AV90" s="1">
        <v>3036435</v>
      </c>
      <c r="AW90" s="1">
        <f t="shared" si="7"/>
        <v>126329256</v>
      </c>
    </row>
    <row r="91" spans="1:49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30445338</v>
      </c>
      <c r="G91" s="1">
        <v>0</v>
      </c>
      <c r="H91" s="1">
        <v>0</v>
      </c>
      <c r="I91" s="1">
        <v>9756067</v>
      </c>
      <c r="J91" s="1">
        <v>0</v>
      </c>
      <c r="K91" s="1">
        <v>37940882</v>
      </c>
      <c r="L91" s="1">
        <v>0</v>
      </c>
      <c r="M91" s="1">
        <v>5500000</v>
      </c>
      <c r="N91" s="1">
        <v>0</v>
      </c>
      <c r="O91" s="1">
        <v>1000000</v>
      </c>
      <c r="P91" s="1">
        <v>4473084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1848000</v>
      </c>
      <c r="W91" s="1">
        <v>0</v>
      </c>
      <c r="X91" s="1">
        <v>16630309</v>
      </c>
      <c r="Y91" s="1">
        <v>4000000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3514566</v>
      </c>
      <c r="AH91" s="1">
        <v>1835427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5751108</v>
      </c>
      <c r="AO91" s="1">
        <v>0</v>
      </c>
      <c r="AP91" s="1">
        <v>0</v>
      </c>
      <c r="AQ91" s="1">
        <v>0</v>
      </c>
      <c r="AR91" s="1">
        <v>122694781</v>
      </c>
      <c r="AS91" s="1">
        <v>44785524</v>
      </c>
      <c r="AT91" s="1">
        <v>77909257</v>
      </c>
      <c r="AU91" s="1">
        <v>24171871</v>
      </c>
      <c r="AV91" s="1">
        <v>3625781</v>
      </c>
      <c r="AW91" s="1">
        <f t="shared" si="7"/>
        <v>150492433</v>
      </c>
    </row>
    <row r="92" spans="1:49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28989202</v>
      </c>
      <c r="G92" s="1">
        <v>0</v>
      </c>
      <c r="H92" s="1">
        <v>0</v>
      </c>
      <c r="I92" s="1">
        <v>8290844</v>
      </c>
      <c r="J92" s="1">
        <v>0</v>
      </c>
      <c r="K92" s="1">
        <v>27265056</v>
      </c>
      <c r="L92" s="1">
        <v>0</v>
      </c>
      <c r="M92" s="1">
        <v>5500000</v>
      </c>
      <c r="N92" s="1">
        <v>0</v>
      </c>
      <c r="O92" s="1">
        <v>1000000</v>
      </c>
      <c r="P92" s="1">
        <v>4773758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1848000</v>
      </c>
      <c r="W92" s="1">
        <v>0</v>
      </c>
      <c r="X92" s="1">
        <v>26312441</v>
      </c>
      <c r="Y92" s="1">
        <v>4000000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3750810</v>
      </c>
      <c r="AH92" s="1">
        <v>1835427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6819655</v>
      </c>
      <c r="AO92" s="1">
        <v>0</v>
      </c>
      <c r="AP92" s="1">
        <v>0</v>
      </c>
      <c r="AQ92" s="1">
        <v>0</v>
      </c>
      <c r="AR92" s="1">
        <v>120385193</v>
      </c>
      <c r="AS92" s="1">
        <v>41383833</v>
      </c>
      <c r="AT92" s="1">
        <v>79001360</v>
      </c>
      <c r="AU92" s="1">
        <v>23709953</v>
      </c>
      <c r="AV92" s="1">
        <v>3556493</v>
      </c>
      <c r="AW92" s="1">
        <f t="shared" si="7"/>
        <v>147651639</v>
      </c>
    </row>
    <row r="93" spans="1:49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28984163</v>
      </c>
      <c r="G93" s="1">
        <v>0</v>
      </c>
      <c r="H93" s="1">
        <v>0</v>
      </c>
      <c r="I93" s="1">
        <v>31053247</v>
      </c>
      <c r="J93" s="1">
        <v>0</v>
      </c>
      <c r="K93" s="1">
        <v>28554351</v>
      </c>
      <c r="L93" s="1">
        <v>0</v>
      </c>
      <c r="M93" s="1">
        <v>4125000</v>
      </c>
      <c r="N93" s="1">
        <v>0</v>
      </c>
      <c r="O93" s="1">
        <v>1000000</v>
      </c>
      <c r="P93" s="1">
        <v>4771995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1848000</v>
      </c>
      <c r="W93" s="1">
        <v>0</v>
      </c>
      <c r="X93" s="1">
        <v>12948722</v>
      </c>
      <c r="Y93" s="1">
        <v>4000000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3892267</v>
      </c>
      <c r="AF93" s="1">
        <v>0</v>
      </c>
      <c r="AG93" s="1">
        <v>3749424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5112852</v>
      </c>
      <c r="AO93" s="1">
        <v>0</v>
      </c>
      <c r="AP93" s="1">
        <v>0</v>
      </c>
      <c r="AQ93" s="1">
        <v>0</v>
      </c>
      <c r="AR93" s="1">
        <v>130040021</v>
      </c>
      <c r="AS93" s="1">
        <v>25252644</v>
      </c>
      <c r="AT93" s="1">
        <v>104787377</v>
      </c>
      <c r="AU93" s="1">
        <v>26008004</v>
      </c>
      <c r="AV93" s="1">
        <v>3901201</v>
      </c>
      <c r="AW93" s="1">
        <f t="shared" si="7"/>
        <v>159949226</v>
      </c>
    </row>
    <row r="94" spans="1:49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17274612</v>
      </c>
      <c r="G94" s="1">
        <v>0</v>
      </c>
      <c r="H94" s="1">
        <v>0</v>
      </c>
      <c r="I94" s="1">
        <v>4097821</v>
      </c>
      <c r="J94" s="1">
        <v>0</v>
      </c>
      <c r="K94" s="1">
        <v>15569939</v>
      </c>
      <c r="L94" s="1">
        <v>0</v>
      </c>
      <c r="M94" s="1">
        <v>4620000</v>
      </c>
      <c r="N94" s="1">
        <v>0</v>
      </c>
      <c r="O94" s="1">
        <v>1000000</v>
      </c>
      <c r="P94" s="1">
        <v>3145178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12277926</v>
      </c>
      <c r="Y94" s="1">
        <v>4000000</v>
      </c>
      <c r="Z94" s="1">
        <v>2507605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2471212</v>
      </c>
      <c r="AH94" s="1">
        <v>1835427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13785553</v>
      </c>
      <c r="AO94" s="1">
        <v>0</v>
      </c>
      <c r="AP94" s="1">
        <v>0</v>
      </c>
      <c r="AQ94" s="1">
        <v>0</v>
      </c>
      <c r="AR94" s="1">
        <v>82585273</v>
      </c>
      <c r="AS94" s="1">
        <v>27989764</v>
      </c>
      <c r="AT94" s="1">
        <v>54595509</v>
      </c>
      <c r="AU94" s="1">
        <v>16149969</v>
      </c>
      <c r="AV94" s="1">
        <v>2422495</v>
      </c>
      <c r="AW94" s="1">
        <f t="shared" si="7"/>
        <v>101157737</v>
      </c>
    </row>
    <row r="95" spans="1:49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17806177</v>
      </c>
      <c r="G95" s="1">
        <v>0</v>
      </c>
      <c r="H95" s="1">
        <v>0</v>
      </c>
      <c r="I95" s="1">
        <v>7117919</v>
      </c>
      <c r="J95" s="1">
        <v>0</v>
      </c>
      <c r="K95" s="1">
        <v>16624791</v>
      </c>
      <c r="L95" s="1">
        <v>0</v>
      </c>
      <c r="M95" s="1">
        <v>4620000</v>
      </c>
      <c r="N95" s="1">
        <v>0</v>
      </c>
      <c r="O95" s="1">
        <v>1000000</v>
      </c>
      <c r="P95" s="1">
        <v>3331226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1848000</v>
      </c>
      <c r="W95" s="1">
        <v>0</v>
      </c>
      <c r="X95" s="1">
        <v>15101896</v>
      </c>
      <c r="Y95" s="1">
        <v>4000000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2617392</v>
      </c>
      <c r="AH95" s="1">
        <v>1835427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7562940</v>
      </c>
      <c r="AO95" s="1">
        <v>0</v>
      </c>
      <c r="AP95" s="1">
        <v>0</v>
      </c>
      <c r="AQ95" s="1">
        <v>0</v>
      </c>
      <c r="AR95" s="1">
        <v>83465768</v>
      </c>
      <c r="AS95" s="1">
        <v>24561691</v>
      </c>
      <c r="AT95" s="1">
        <v>58904077</v>
      </c>
      <c r="AU95" s="1">
        <v>16326068</v>
      </c>
      <c r="AV95" s="1">
        <v>2448910</v>
      </c>
      <c r="AW95" s="1">
        <f t="shared" si="7"/>
        <v>102240746</v>
      </c>
    </row>
    <row r="96" spans="1:49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0</v>
      </c>
      <c r="G96" s="1">
        <v>7196199</v>
      </c>
      <c r="H96" s="1">
        <v>3742023</v>
      </c>
      <c r="I96" s="1">
        <v>1303060</v>
      </c>
      <c r="J96" s="1">
        <v>0</v>
      </c>
      <c r="K96" s="1">
        <v>7984903</v>
      </c>
      <c r="L96" s="1">
        <v>0</v>
      </c>
      <c r="M96" s="1">
        <v>0</v>
      </c>
      <c r="N96" s="1">
        <v>11521166</v>
      </c>
      <c r="O96" s="1">
        <v>2000000</v>
      </c>
      <c r="P96" s="1">
        <v>5756959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9964294</v>
      </c>
      <c r="Y96" s="1">
        <v>4000000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5430188</v>
      </c>
      <c r="AG96" s="1">
        <v>0</v>
      </c>
      <c r="AH96" s="1">
        <v>1835427</v>
      </c>
      <c r="AI96" s="1">
        <v>0</v>
      </c>
      <c r="AJ96" s="1">
        <v>0</v>
      </c>
      <c r="AK96" s="1">
        <v>0</v>
      </c>
      <c r="AL96" s="1">
        <v>4169791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64904010</v>
      </c>
      <c r="AS96" s="1">
        <v>9868522</v>
      </c>
      <c r="AT96" s="1">
        <v>55035488</v>
      </c>
      <c r="AU96" s="1">
        <v>12613717</v>
      </c>
      <c r="AV96" s="1">
        <v>1892057</v>
      </c>
      <c r="AW96" s="1">
        <f t="shared" si="7"/>
        <v>79409784</v>
      </c>
    </row>
    <row r="97" spans="1:49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18934808</v>
      </c>
      <c r="G97" s="1">
        <v>0</v>
      </c>
      <c r="H97" s="1">
        <v>0</v>
      </c>
      <c r="I97" s="1">
        <v>0</v>
      </c>
      <c r="J97" s="1">
        <v>0</v>
      </c>
      <c r="K97" s="1">
        <v>18205037</v>
      </c>
      <c r="L97" s="1">
        <v>0</v>
      </c>
      <c r="M97" s="1">
        <v>4620000</v>
      </c>
      <c r="N97" s="1">
        <v>0</v>
      </c>
      <c r="O97" s="1">
        <v>1000000</v>
      </c>
      <c r="P97" s="1">
        <v>3726248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1848000</v>
      </c>
      <c r="W97" s="1">
        <v>0</v>
      </c>
      <c r="X97" s="1">
        <v>13693576</v>
      </c>
      <c r="Y97" s="1">
        <v>4000000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2927766</v>
      </c>
      <c r="AH97" s="1">
        <v>1835427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7880014</v>
      </c>
      <c r="AO97" s="1">
        <v>0</v>
      </c>
      <c r="AP97" s="1">
        <v>0</v>
      </c>
      <c r="AQ97" s="1">
        <v>0</v>
      </c>
      <c r="AR97" s="1">
        <v>78670876</v>
      </c>
      <c r="AS97" s="1">
        <v>22981493</v>
      </c>
      <c r="AT97" s="1">
        <v>55689383</v>
      </c>
      <c r="AU97" s="1">
        <v>15367090</v>
      </c>
      <c r="AV97" s="1">
        <v>2305063</v>
      </c>
      <c r="AW97" s="1">
        <f t="shared" si="7"/>
        <v>96343029</v>
      </c>
    </row>
    <row r="98" spans="1:49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18141239</v>
      </c>
      <c r="G98" s="1">
        <v>0</v>
      </c>
      <c r="H98" s="1">
        <v>0</v>
      </c>
      <c r="I98" s="1">
        <v>0</v>
      </c>
      <c r="J98" s="1">
        <v>0</v>
      </c>
      <c r="K98" s="1">
        <v>15709711</v>
      </c>
      <c r="L98" s="1">
        <v>2530000</v>
      </c>
      <c r="M98" s="1">
        <v>3465000</v>
      </c>
      <c r="N98" s="1">
        <v>0</v>
      </c>
      <c r="O98" s="1">
        <v>1000000</v>
      </c>
      <c r="P98" s="1">
        <v>3448498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1848000</v>
      </c>
      <c r="W98" s="1">
        <v>0</v>
      </c>
      <c r="X98" s="1">
        <v>11147172</v>
      </c>
      <c r="Y98" s="1">
        <v>4000000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2709534</v>
      </c>
      <c r="AH98" s="1">
        <v>1835427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7425791</v>
      </c>
      <c r="AO98" s="1">
        <v>0</v>
      </c>
      <c r="AP98" s="1">
        <v>0</v>
      </c>
      <c r="AQ98" s="1">
        <v>0</v>
      </c>
      <c r="AR98" s="1">
        <v>73260372</v>
      </c>
      <c r="AS98" s="1">
        <v>25015493</v>
      </c>
      <c r="AT98" s="1">
        <v>48244879</v>
      </c>
      <c r="AU98" s="1">
        <v>13778989</v>
      </c>
      <c r="AV98" s="1">
        <v>2066848</v>
      </c>
      <c r="AW98" s="1">
        <f t="shared" si="7"/>
        <v>89106209</v>
      </c>
    </row>
    <row r="99" spans="1:49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21585077</v>
      </c>
      <c r="G99" s="1">
        <v>0</v>
      </c>
      <c r="H99" s="1">
        <v>0</v>
      </c>
      <c r="I99" s="1">
        <v>4849551</v>
      </c>
      <c r="J99" s="1">
        <v>0</v>
      </c>
      <c r="K99" s="1">
        <v>19433390</v>
      </c>
      <c r="L99" s="1">
        <v>2530000</v>
      </c>
      <c r="M99" s="1">
        <v>4125000</v>
      </c>
      <c r="N99" s="1">
        <v>0</v>
      </c>
      <c r="O99" s="1">
        <v>1000000</v>
      </c>
      <c r="P99" s="1">
        <v>3481122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1848000</v>
      </c>
      <c r="W99" s="1">
        <v>0</v>
      </c>
      <c r="X99" s="1">
        <v>5206444</v>
      </c>
      <c r="Y99" s="1">
        <v>4000000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2735168</v>
      </c>
      <c r="AH99" s="1">
        <v>1835427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4829686</v>
      </c>
      <c r="AO99" s="1">
        <v>0</v>
      </c>
      <c r="AP99" s="1">
        <v>0</v>
      </c>
      <c r="AQ99" s="1">
        <v>0</v>
      </c>
      <c r="AR99" s="1">
        <v>77458865</v>
      </c>
      <c r="AS99" s="1">
        <v>13599071</v>
      </c>
      <c r="AT99" s="1">
        <v>63859794</v>
      </c>
      <c r="AU99" s="1">
        <v>14618688</v>
      </c>
      <c r="AV99" s="1">
        <v>2192803</v>
      </c>
      <c r="AW99" s="1">
        <f t="shared" si="7"/>
        <v>94270356</v>
      </c>
    </row>
    <row r="100" spans="1:49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18113527</v>
      </c>
      <c r="G100" s="1">
        <v>0</v>
      </c>
      <c r="H100" s="1">
        <v>0</v>
      </c>
      <c r="I100" s="1">
        <v>8029412</v>
      </c>
      <c r="J100" s="1">
        <v>0</v>
      </c>
      <c r="K100" s="1">
        <v>16604021</v>
      </c>
      <c r="L100" s="1">
        <v>0</v>
      </c>
      <c r="M100" s="1">
        <v>4620000</v>
      </c>
      <c r="N100" s="1">
        <v>0</v>
      </c>
      <c r="O100" s="1">
        <v>1000000</v>
      </c>
      <c r="P100" s="1">
        <v>3438799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1848000</v>
      </c>
      <c r="W100" s="1">
        <v>0</v>
      </c>
      <c r="X100" s="1">
        <v>12736478</v>
      </c>
      <c r="Y100" s="1">
        <v>4000000</v>
      </c>
      <c r="Z100" s="1">
        <v>2629383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2701914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13339517</v>
      </c>
      <c r="AO100" s="1">
        <v>0</v>
      </c>
      <c r="AP100" s="1">
        <v>0</v>
      </c>
      <c r="AQ100" s="1">
        <v>0</v>
      </c>
      <c r="AR100" s="1">
        <v>89061051</v>
      </c>
      <c r="AS100" s="1">
        <v>20709254</v>
      </c>
      <c r="AT100" s="1">
        <v>68351797</v>
      </c>
      <c r="AU100" s="1">
        <v>17812210</v>
      </c>
      <c r="AV100" s="1">
        <v>2671832</v>
      </c>
      <c r="AW100" s="1">
        <f t="shared" si="7"/>
        <v>109545093</v>
      </c>
    </row>
    <row r="101" spans="1:49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28422367</v>
      </c>
      <c r="G101" s="1">
        <v>0</v>
      </c>
      <c r="H101" s="1">
        <v>0</v>
      </c>
      <c r="I101" s="1">
        <v>14570238</v>
      </c>
      <c r="J101" s="1">
        <v>0</v>
      </c>
      <c r="K101" s="1">
        <v>26371582</v>
      </c>
      <c r="L101" s="1">
        <v>0</v>
      </c>
      <c r="M101" s="1">
        <v>5500000</v>
      </c>
      <c r="N101" s="1">
        <v>0</v>
      </c>
      <c r="O101" s="1">
        <v>1000000</v>
      </c>
      <c r="P101" s="1">
        <v>4575366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37404472</v>
      </c>
      <c r="Y101" s="1">
        <v>4000000</v>
      </c>
      <c r="Z101" s="1">
        <v>2571218</v>
      </c>
      <c r="AA101" s="1">
        <v>0</v>
      </c>
      <c r="AB101" s="1">
        <v>0</v>
      </c>
      <c r="AC101" s="1">
        <v>0</v>
      </c>
      <c r="AD101" s="1">
        <v>0</v>
      </c>
      <c r="AE101" s="1">
        <v>4459102</v>
      </c>
      <c r="AF101" s="1">
        <v>0</v>
      </c>
      <c r="AG101" s="1">
        <v>3594931</v>
      </c>
      <c r="AH101" s="1">
        <v>1835427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16631645</v>
      </c>
      <c r="AO101" s="1">
        <v>0</v>
      </c>
      <c r="AP101" s="1">
        <v>0</v>
      </c>
      <c r="AQ101" s="1">
        <v>0</v>
      </c>
      <c r="AR101" s="1">
        <v>150936348</v>
      </c>
      <c r="AS101" s="1">
        <v>45941781</v>
      </c>
      <c r="AT101" s="1">
        <v>104994567</v>
      </c>
      <c r="AU101" s="1">
        <v>27637511</v>
      </c>
      <c r="AV101" s="1">
        <v>4145627</v>
      </c>
      <c r="AW101" s="1">
        <f t="shared" si="7"/>
        <v>182719486</v>
      </c>
    </row>
    <row r="102" spans="1:49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0</v>
      </c>
      <c r="G102" s="1">
        <v>6625370</v>
      </c>
      <c r="H102" s="1">
        <v>3445192</v>
      </c>
      <c r="I102" s="1">
        <v>2802032</v>
      </c>
      <c r="J102" s="1">
        <v>0</v>
      </c>
      <c r="K102" s="1">
        <v>7653627</v>
      </c>
      <c r="L102" s="1">
        <v>0</v>
      </c>
      <c r="M102" s="1">
        <v>0</v>
      </c>
      <c r="N102" s="1">
        <v>11521166</v>
      </c>
      <c r="O102" s="1">
        <v>2000000</v>
      </c>
      <c r="P102" s="1">
        <v>5300295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9575227</v>
      </c>
      <c r="Y102" s="1">
        <v>4000000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5181847</v>
      </c>
      <c r="AG102" s="1">
        <v>0</v>
      </c>
      <c r="AH102" s="1">
        <v>3670854</v>
      </c>
      <c r="AI102" s="1">
        <v>0</v>
      </c>
      <c r="AJ102" s="1">
        <v>0</v>
      </c>
      <c r="AK102" s="1">
        <v>0</v>
      </c>
      <c r="AL102" s="1">
        <v>3985111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65760721</v>
      </c>
      <c r="AS102" s="1">
        <v>9892535</v>
      </c>
      <c r="AT102" s="1">
        <v>55868186</v>
      </c>
      <c r="AU102" s="1">
        <v>12417973</v>
      </c>
      <c r="AV102" s="1">
        <v>1862696</v>
      </c>
      <c r="AW102" s="1">
        <f t="shared" si="7"/>
        <v>80041390</v>
      </c>
    </row>
    <row r="103" spans="1:49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25507575</v>
      </c>
      <c r="G103" s="1">
        <v>0</v>
      </c>
      <c r="H103" s="1">
        <v>0</v>
      </c>
      <c r="I103" s="1">
        <v>0</v>
      </c>
      <c r="J103" s="1">
        <v>0</v>
      </c>
      <c r="K103" s="1">
        <v>20968927</v>
      </c>
      <c r="L103" s="1">
        <v>2530000</v>
      </c>
      <c r="M103" s="1">
        <v>4125000</v>
      </c>
      <c r="N103" s="1">
        <v>0</v>
      </c>
      <c r="O103" s="1">
        <v>1000000</v>
      </c>
      <c r="P103" s="1">
        <v>4629153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1848000</v>
      </c>
      <c r="W103" s="1">
        <v>0</v>
      </c>
      <c r="X103" s="1">
        <v>13050446</v>
      </c>
      <c r="Y103" s="1">
        <v>4000000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3637192</v>
      </c>
      <c r="AH103" s="1">
        <v>3670854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6671018</v>
      </c>
      <c r="AO103" s="1">
        <v>0</v>
      </c>
      <c r="AP103" s="1">
        <v>0</v>
      </c>
      <c r="AQ103" s="1">
        <v>0</v>
      </c>
      <c r="AR103" s="1">
        <v>91638165</v>
      </c>
      <c r="AS103" s="1">
        <v>31414154</v>
      </c>
      <c r="AT103" s="1">
        <v>60224011</v>
      </c>
      <c r="AU103" s="1">
        <v>17087462</v>
      </c>
      <c r="AV103" s="1">
        <v>2563119</v>
      </c>
      <c r="AW103" s="1">
        <f t="shared" si="7"/>
        <v>111288746</v>
      </c>
    </row>
    <row r="104" spans="1:49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19045656</v>
      </c>
      <c r="G104" s="1">
        <v>0</v>
      </c>
      <c r="H104" s="1">
        <v>0</v>
      </c>
      <c r="I104" s="1">
        <v>11220754</v>
      </c>
      <c r="J104" s="1">
        <v>0</v>
      </c>
      <c r="K104" s="1">
        <v>19433711</v>
      </c>
      <c r="L104" s="1">
        <v>0</v>
      </c>
      <c r="M104" s="1">
        <v>4620000</v>
      </c>
      <c r="N104" s="1">
        <v>0</v>
      </c>
      <c r="O104" s="1">
        <v>1000000</v>
      </c>
      <c r="P104" s="1">
        <v>3765044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1848000</v>
      </c>
      <c r="W104" s="1">
        <v>0</v>
      </c>
      <c r="X104" s="1">
        <v>27205414</v>
      </c>
      <c r="Y104" s="1">
        <v>4000000</v>
      </c>
      <c r="Z104" s="1">
        <v>2764692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2958249</v>
      </c>
      <c r="AH104" s="1">
        <v>3670854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15933102</v>
      </c>
      <c r="AO104" s="1">
        <v>0</v>
      </c>
      <c r="AP104" s="1">
        <v>0</v>
      </c>
      <c r="AQ104" s="1">
        <v>0</v>
      </c>
      <c r="AR104" s="1">
        <v>117465476</v>
      </c>
      <c r="AS104" s="1">
        <v>51477282</v>
      </c>
      <c r="AT104" s="1">
        <v>65988194</v>
      </c>
      <c r="AU104" s="1">
        <v>22758924</v>
      </c>
      <c r="AV104" s="1">
        <v>3413839</v>
      </c>
      <c r="AW104" s="1">
        <f t="shared" si="7"/>
        <v>143638239</v>
      </c>
    </row>
    <row r="105" spans="1:49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28160363</v>
      </c>
      <c r="G105" s="1">
        <v>0</v>
      </c>
      <c r="H105" s="1">
        <v>0</v>
      </c>
      <c r="I105" s="1">
        <v>0</v>
      </c>
      <c r="J105" s="1">
        <v>0</v>
      </c>
      <c r="K105" s="1">
        <v>26416920</v>
      </c>
      <c r="L105" s="1">
        <v>0</v>
      </c>
      <c r="M105" s="1">
        <v>4125000</v>
      </c>
      <c r="N105" s="1">
        <v>0</v>
      </c>
      <c r="O105" s="1">
        <v>1000000</v>
      </c>
      <c r="P105" s="1">
        <v>4483665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1848000</v>
      </c>
      <c r="W105" s="1">
        <v>0</v>
      </c>
      <c r="X105" s="1">
        <v>15246780</v>
      </c>
      <c r="Y105" s="1">
        <v>4000000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3401010</v>
      </c>
      <c r="AF105" s="1">
        <v>0</v>
      </c>
      <c r="AG105" s="1">
        <v>3522879</v>
      </c>
      <c r="AH105" s="1">
        <v>1835427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5764712</v>
      </c>
      <c r="AO105" s="1">
        <v>0</v>
      </c>
      <c r="AP105" s="1">
        <v>0</v>
      </c>
      <c r="AQ105" s="1">
        <v>0</v>
      </c>
      <c r="AR105" s="1">
        <v>99804756</v>
      </c>
      <c r="AS105" s="1">
        <v>32152696</v>
      </c>
      <c r="AT105" s="1">
        <v>67652060</v>
      </c>
      <c r="AU105" s="1">
        <v>19593866</v>
      </c>
      <c r="AV105" s="1">
        <v>2939080</v>
      </c>
      <c r="AW105" s="1">
        <f t="shared" si="7"/>
        <v>122337702</v>
      </c>
    </row>
    <row r="106" spans="1:49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18554399</v>
      </c>
      <c r="G106" s="1">
        <v>0</v>
      </c>
      <c r="H106" s="1">
        <v>0</v>
      </c>
      <c r="I106" s="1">
        <v>4364929</v>
      </c>
      <c r="J106" s="1">
        <v>0</v>
      </c>
      <c r="K106" s="1">
        <v>16607859</v>
      </c>
      <c r="L106" s="1">
        <v>0</v>
      </c>
      <c r="M106" s="1">
        <v>4620000</v>
      </c>
      <c r="N106" s="1">
        <v>0</v>
      </c>
      <c r="O106" s="1">
        <v>1000000</v>
      </c>
      <c r="P106" s="1">
        <v>3593105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1848000</v>
      </c>
      <c r="W106" s="1">
        <v>0</v>
      </c>
      <c r="X106" s="1">
        <v>23811844</v>
      </c>
      <c r="Y106" s="1">
        <v>4000000</v>
      </c>
      <c r="Z106" s="1">
        <v>2693381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2823153</v>
      </c>
      <c r="AH106" s="1">
        <v>3670854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11931247</v>
      </c>
      <c r="AO106" s="1">
        <v>0</v>
      </c>
      <c r="AP106" s="1">
        <v>0</v>
      </c>
      <c r="AQ106" s="1">
        <v>0</v>
      </c>
      <c r="AR106" s="1">
        <v>99518771</v>
      </c>
      <c r="AS106" s="1">
        <v>47072219</v>
      </c>
      <c r="AT106" s="1">
        <v>52446552</v>
      </c>
      <c r="AU106" s="1">
        <v>19169583</v>
      </c>
      <c r="AV106" s="1">
        <v>2875438</v>
      </c>
      <c r="AW106" s="1">
        <f t="shared" si="7"/>
        <v>121563792</v>
      </c>
    </row>
    <row r="107" spans="1:49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0</v>
      </c>
      <c r="G107" s="1">
        <v>6835922</v>
      </c>
      <c r="H107" s="1">
        <v>3486320</v>
      </c>
      <c r="I107" s="1">
        <v>2204061</v>
      </c>
      <c r="J107" s="1">
        <v>0</v>
      </c>
      <c r="K107" s="1">
        <v>7638459</v>
      </c>
      <c r="L107" s="1">
        <v>0</v>
      </c>
      <c r="M107" s="1">
        <v>0</v>
      </c>
      <c r="N107" s="1">
        <v>11521166</v>
      </c>
      <c r="O107" s="1">
        <v>2000000</v>
      </c>
      <c r="P107" s="1">
        <v>5468737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9670392</v>
      </c>
      <c r="Y107" s="1">
        <v>4000000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5242590</v>
      </c>
      <c r="AG107" s="1">
        <v>0</v>
      </c>
      <c r="AH107" s="1">
        <v>5506281</v>
      </c>
      <c r="AI107" s="1">
        <v>0</v>
      </c>
      <c r="AJ107" s="1">
        <v>0</v>
      </c>
      <c r="AK107" s="1">
        <v>0</v>
      </c>
      <c r="AL107" s="1">
        <v>4030283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67604211</v>
      </c>
      <c r="AS107" s="1">
        <v>7312591</v>
      </c>
      <c r="AT107" s="1">
        <v>60291620</v>
      </c>
      <c r="AU107" s="1">
        <v>12419586</v>
      </c>
      <c r="AV107" s="1">
        <v>1862938</v>
      </c>
      <c r="AW107" s="1">
        <f t="shared" si="7"/>
        <v>81886735</v>
      </c>
    </row>
    <row r="108" spans="1:49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17415690</v>
      </c>
      <c r="G108" s="1">
        <v>0</v>
      </c>
      <c r="H108" s="1">
        <v>0</v>
      </c>
      <c r="I108" s="1">
        <v>4783040</v>
      </c>
      <c r="J108" s="1">
        <v>0</v>
      </c>
      <c r="K108" s="1">
        <v>16220461</v>
      </c>
      <c r="L108" s="1">
        <v>0</v>
      </c>
      <c r="M108" s="1">
        <v>0</v>
      </c>
      <c r="N108" s="1">
        <v>0</v>
      </c>
      <c r="O108" s="1">
        <v>1000000</v>
      </c>
      <c r="P108" s="1">
        <v>3194556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1848000</v>
      </c>
      <c r="W108" s="1">
        <v>0</v>
      </c>
      <c r="X108" s="1">
        <v>23193556</v>
      </c>
      <c r="Y108" s="1">
        <v>4000000</v>
      </c>
      <c r="Z108" s="1">
        <v>2528084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2510008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12779635</v>
      </c>
      <c r="AO108" s="1">
        <v>0</v>
      </c>
      <c r="AP108" s="1">
        <v>0</v>
      </c>
      <c r="AQ108" s="1">
        <v>0</v>
      </c>
      <c r="AR108" s="1">
        <v>89473030</v>
      </c>
      <c r="AS108" s="1">
        <v>42307352</v>
      </c>
      <c r="AT108" s="1">
        <v>47165678</v>
      </c>
      <c r="AU108" s="1">
        <v>17894606</v>
      </c>
      <c r="AV108" s="1">
        <v>2684191</v>
      </c>
      <c r="AW108" s="1">
        <f t="shared" si="7"/>
        <v>110051827</v>
      </c>
    </row>
    <row r="109" spans="1:49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27500315</v>
      </c>
      <c r="G109" s="1">
        <v>0</v>
      </c>
      <c r="H109" s="1">
        <v>0</v>
      </c>
      <c r="I109" s="1">
        <v>8338987</v>
      </c>
      <c r="J109" s="1">
        <v>0</v>
      </c>
      <c r="K109" s="1">
        <v>24951804</v>
      </c>
      <c r="L109" s="1">
        <v>0</v>
      </c>
      <c r="M109" s="1">
        <v>5500000</v>
      </c>
      <c r="N109" s="1">
        <v>0</v>
      </c>
      <c r="O109" s="1">
        <v>1000000</v>
      </c>
      <c r="P109" s="1">
        <v>4252648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1848000</v>
      </c>
      <c r="W109" s="1">
        <v>0</v>
      </c>
      <c r="X109" s="1">
        <v>23567736</v>
      </c>
      <c r="Y109" s="1">
        <v>4000000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3341366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7290253</v>
      </c>
      <c r="AO109" s="1">
        <v>0</v>
      </c>
      <c r="AP109" s="1">
        <v>0</v>
      </c>
      <c r="AQ109" s="1">
        <v>0</v>
      </c>
      <c r="AR109" s="1">
        <v>111591109</v>
      </c>
      <c r="AS109" s="1">
        <v>39621020</v>
      </c>
      <c r="AT109" s="1">
        <v>71970089</v>
      </c>
      <c r="AU109" s="1">
        <v>22318222</v>
      </c>
      <c r="AV109" s="1">
        <v>3347733</v>
      </c>
      <c r="AW109" s="1">
        <f t="shared" si="7"/>
        <v>137257064</v>
      </c>
    </row>
    <row r="110" spans="1:49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18146278</v>
      </c>
      <c r="G110" s="1">
        <v>0</v>
      </c>
      <c r="H110" s="1">
        <v>0</v>
      </c>
      <c r="I110" s="1">
        <v>2397565</v>
      </c>
      <c r="J110" s="1">
        <v>0</v>
      </c>
      <c r="K110" s="1">
        <v>16740762</v>
      </c>
      <c r="L110" s="1">
        <v>0</v>
      </c>
      <c r="M110" s="1">
        <v>3465000</v>
      </c>
      <c r="N110" s="1">
        <v>0</v>
      </c>
      <c r="O110" s="1">
        <v>1000000</v>
      </c>
      <c r="P110" s="1">
        <v>3450262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1848000</v>
      </c>
      <c r="W110" s="1">
        <v>0</v>
      </c>
      <c r="X110" s="1">
        <v>12930486</v>
      </c>
      <c r="Y110" s="1">
        <v>4000000</v>
      </c>
      <c r="Z110" s="1">
        <v>2634137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2710920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13975128</v>
      </c>
      <c r="AO110" s="1">
        <v>0</v>
      </c>
      <c r="AP110" s="1">
        <v>0</v>
      </c>
      <c r="AQ110" s="1">
        <v>0</v>
      </c>
      <c r="AR110" s="1">
        <v>83298538</v>
      </c>
      <c r="AS110" s="1">
        <v>20912399</v>
      </c>
      <c r="AT110" s="1">
        <v>62386139</v>
      </c>
      <c r="AU110" s="1">
        <v>16659708</v>
      </c>
      <c r="AV110" s="1">
        <v>2498956</v>
      </c>
      <c r="AW110" s="1">
        <f t="shared" si="7"/>
        <v>102457202</v>
      </c>
    </row>
    <row r="111" spans="1:49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28210748</v>
      </c>
      <c r="G111" s="1">
        <v>0</v>
      </c>
      <c r="H111" s="1">
        <v>0</v>
      </c>
      <c r="I111" s="1">
        <v>0</v>
      </c>
      <c r="J111" s="1">
        <v>0</v>
      </c>
      <c r="K111" s="1">
        <v>24473764</v>
      </c>
      <c r="L111" s="1">
        <v>0</v>
      </c>
      <c r="M111" s="1">
        <v>5500000</v>
      </c>
      <c r="N111" s="1">
        <v>0</v>
      </c>
      <c r="O111" s="1">
        <v>1000000</v>
      </c>
      <c r="P111" s="1">
        <v>4501300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25376641</v>
      </c>
      <c r="Y111" s="1">
        <v>4000000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4459102</v>
      </c>
      <c r="AF111" s="1">
        <v>0</v>
      </c>
      <c r="AG111" s="1">
        <v>3536735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15379116</v>
      </c>
      <c r="AO111" s="1">
        <v>0</v>
      </c>
      <c r="AP111" s="1">
        <v>0</v>
      </c>
      <c r="AQ111" s="1">
        <v>0</v>
      </c>
      <c r="AR111" s="1">
        <v>116437406</v>
      </c>
      <c r="AS111" s="1">
        <v>40957584</v>
      </c>
      <c r="AT111" s="1">
        <v>75479822</v>
      </c>
      <c r="AU111" s="1">
        <v>23287481</v>
      </c>
      <c r="AV111" s="1">
        <v>3493122</v>
      </c>
      <c r="AW111" s="1">
        <f t="shared" si="7"/>
        <v>143218009</v>
      </c>
    </row>
    <row r="112" spans="1:49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28120055</v>
      </c>
      <c r="G112" s="1">
        <v>0</v>
      </c>
      <c r="H112" s="1">
        <v>0</v>
      </c>
      <c r="I112" s="1">
        <v>3932340</v>
      </c>
      <c r="J112" s="1">
        <v>0</v>
      </c>
      <c r="K112" s="1">
        <v>27354810</v>
      </c>
      <c r="L112" s="1">
        <v>0</v>
      </c>
      <c r="M112" s="1">
        <v>5500000</v>
      </c>
      <c r="N112" s="1">
        <v>0</v>
      </c>
      <c r="O112" s="1">
        <v>1000000</v>
      </c>
      <c r="P112" s="1">
        <v>4469557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1848000</v>
      </c>
      <c r="W112" s="1">
        <v>0</v>
      </c>
      <c r="X112" s="1">
        <v>22781428</v>
      </c>
      <c r="Y112" s="1">
        <v>4000000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3511795</v>
      </c>
      <c r="AH112" s="1">
        <v>3670854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6640484</v>
      </c>
      <c r="AO112" s="1">
        <v>0</v>
      </c>
      <c r="AP112" s="1">
        <v>0</v>
      </c>
      <c r="AQ112" s="1">
        <v>0</v>
      </c>
      <c r="AR112" s="1">
        <v>112829323</v>
      </c>
      <c r="AS112" s="1">
        <v>48505503</v>
      </c>
      <c r="AT112" s="1">
        <v>64323820</v>
      </c>
      <c r="AU112" s="1">
        <v>21831694</v>
      </c>
      <c r="AV112" s="1">
        <v>3274754</v>
      </c>
      <c r="AW112" s="1">
        <f t="shared" si="7"/>
        <v>137935771</v>
      </c>
    </row>
    <row r="113" spans="1:49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28419847</v>
      </c>
      <c r="G113" s="1">
        <v>0</v>
      </c>
      <c r="H113" s="1">
        <v>0</v>
      </c>
      <c r="I113" s="1">
        <v>2951702</v>
      </c>
      <c r="J113" s="1">
        <v>0</v>
      </c>
      <c r="K113" s="1">
        <v>25874128</v>
      </c>
      <c r="L113" s="1">
        <v>0</v>
      </c>
      <c r="M113" s="1">
        <v>4125000</v>
      </c>
      <c r="N113" s="1">
        <v>0</v>
      </c>
      <c r="O113" s="1">
        <v>1000000</v>
      </c>
      <c r="P113" s="1">
        <v>4574484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1848000</v>
      </c>
      <c r="W113" s="1">
        <v>0</v>
      </c>
      <c r="X113" s="1">
        <v>14662006</v>
      </c>
      <c r="Y113" s="1">
        <v>4000000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3594238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6534978</v>
      </c>
      <c r="AO113" s="1">
        <v>0</v>
      </c>
      <c r="AP113" s="1">
        <v>0</v>
      </c>
      <c r="AQ113" s="1">
        <v>0</v>
      </c>
      <c r="AR113" s="1">
        <v>97584383</v>
      </c>
      <c r="AS113" s="1">
        <v>16612730</v>
      </c>
      <c r="AT113" s="1">
        <v>80971653</v>
      </c>
      <c r="AU113" s="1">
        <v>19516877</v>
      </c>
      <c r="AV113" s="1">
        <v>2927531</v>
      </c>
      <c r="AW113" s="1">
        <f t="shared" si="7"/>
        <v>120028791</v>
      </c>
    </row>
    <row r="114" spans="1:49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22718747</v>
      </c>
      <c r="G114" s="1">
        <v>0</v>
      </c>
      <c r="H114" s="1">
        <v>0</v>
      </c>
      <c r="I114" s="1">
        <v>0</v>
      </c>
      <c r="J114" s="1">
        <v>0</v>
      </c>
      <c r="K114" s="1">
        <v>21581849</v>
      </c>
      <c r="L114" s="1">
        <v>2530000</v>
      </c>
      <c r="M114" s="1">
        <v>4125000</v>
      </c>
      <c r="N114" s="1">
        <v>0</v>
      </c>
      <c r="O114" s="1">
        <v>1000000</v>
      </c>
      <c r="P114" s="1">
        <v>3877907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1848000</v>
      </c>
      <c r="W114" s="1">
        <v>0</v>
      </c>
      <c r="X114" s="1">
        <v>10818254</v>
      </c>
      <c r="Y114" s="1">
        <v>4000000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3892267</v>
      </c>
      <c r="AF114" s="1">
        <v>0</v>
      </c>
      <c r="AG114" s="1">
        <v>3046927</v>
      </c>
      <c r="AH114" s="1">
        <v>1835427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4983714</v>
      </c>
      <c r="AO114" s="1">
        <v>0</v>
      </c>
      <c r="AP114" s="1">
        <v>0</v>
      </c>
      <c r="AQ114" s="1">
        <v>0</v>
      </c>
      <c r="AR114" s="1">
        <v>86258092</v>
      </c>
      <c r="AS114" s="1">
        <v>38057400</v>
      </c>
      <c r="AT114" s="1">
        <v>48200692</v>
      </c>
      <c r="AU114" s="1">
        <v>16378533</v>
      </c>
      <c r="AV114" s="1">
        <v>2456780</v>
      </c>
      <c r="AW114" s="1">
        <f t="shared" si="7"/>
        <v>105093405</v>
      </c>
    </row>
    <row r="115" spans="1:49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17901909</v>
      </c>
      <c r="G115" s="1">
        <v>0</v>
      </c>
      <c r="H115" s="1">
        <v>0</v>
      </c>
      <c r="I115" s="1">
        <v>3556876</v>
      </c>
      <c r="J115" s="1">
        <v>0</v>
      </c>
      <c r="K115" s="1">
        <v>14726458</v>
      </c>
      <c r="L115" s="1">
        <v>0</v>
      </c>
      <c r="M115" s="1">
        <v>4620000</v>
      </c>
      <c r="N115" s="1">
        <v>0</v>
      </c>
      <c r="O115" s="1">
        <v>1000000</v>
      </c>
      <c r="P115" s="1">
        <v>3364733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21915658</v>
      </c>
      <c r="Y115" s="1">
        <v>4000000</v>
      </c>
      <c r="Z115" s="1">
        <v>2598664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2643718</v>
      </c>
      <c r="AH115" s="1">
        <v>1835427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11456113</v>
      </c>
      <c r="AO115" s="1">
        <v>0</v>
      </c>
      <c r="AP115" s="1">
        <v>0</v>
      </c>
      <c r="AQ115" s="1">
        <v>0</v>
      </c>
      <c r="AR115" s="1">
        <v>89619556</v>
      </c>
      <c r="AS115" s="1">
        <v>36126946</v>
      </c>
      <c r="AT115" s="1">
        <v>53492610</v>
      </c>
      <c r="AU115" s="1">
        <v>17556826</v>
      </c>
      <c r="AV115" s="1">
        <v>2633524</v>
      </c>
      <c r="AW115" s="1">
        <f t="shared" si="7"/>
        <v>109809906</v>
      </c>
    </row>
    <row r="116" spans="1:49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0</v>
      </c>
      <c r="G116" s="1">
        <v>5914172</v>
      </c>
      <c r="H116" s="1">
        <v>3016228</v>
      </c>
      <c r="I116" s="1">
        <v>0</v>
      </c>
      <c r="J116" s="1">
        <v>0</v>
      </c>
      <c r="K116" s="1">
        <v>6608495</v>
      </c>
      <c r="L116" s="1">
        <v>0</v>
      </c>
      <c r="M116" s="1">
        <v>0</v>
      </c>
      <c r="N116" s="1">
        <v>11521166</v>
      </c>
      <c r="O116" s="1">
        <v>2000000</v>
      </c>
      <c r="P116" s="1">
        <v>4731338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2640000</v>
      </c>
      <c r="W116" s="1">
        <v>0</v>
      </c>
      <c r="X116" s="1">
        <v>8927978</v>
      </c>
      <c r="Y116" s="1">
        <v>4000000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3670854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53030231</v>
      </c>
      <c r="AS116" s="1">
        <v>8359338</v>
      </c>
      <c r="AT116" s="1">
        <v>44670893</v>
      </c>
      <c r="AU116" s="1">
        <v>9871875</v>
      </c>
      <c r="AV116" s="1">
        <v>1480781</v>
      </c>
      <c r="AW116" s="1">
        <f t="shared" si="7"/>
        <v>64382887</v>
      </c>
    </row>
    <row r="117" spans="1:49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19478970</v>
      </c>
      <c r="G117" s="1">
        <v>0</v>
      </c>
      <c r="H117" s="1">
        <v>0</v>
      </c>
      <c r="I117" s="1">
        <v>14870159</v>
      </c>
      <c r="J117" s="1">
        <v>0</v>
      </c>
      <c r="K117" s="1">
        <v>18906321</v>
      </c>
      <c r="L117" s="1">
        <v>0</v>
      </c>
      <c r="M117" s="1">
        <v>4620000</v>
      </c>
      <c r="N117" s="1">
        <v>0</v>
      </c>
      <c r="O117" s="1">
        <v>1000000</v>
      </c>
      <c r="P117" s="1">
        <v>3916704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1848000</v>
      </c>
      <c r="W117" s="1">
        <v>0</v>
      </c>
      <c r="X117" s="1">
        <v>19532102</v>
      </c>
      <c r="Y117" s="1">
        <v>4000000</v>
      </c>
      <c r="Z117" s="1">
        <v>2827592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3077410</v>
      </c>
      <c r="AH117" s="1">
        <v>1835427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16139027</v>
      </c>
      <c r="AO117" s="1">
        <v>0</v>
      </c>
      <c r="AP117" s="1">
        <v>0</v>
      </c>
      <c r="AQ117" s="1">
        <v>0</v>
      </c>
      <c r="AR117" s="1">
        <v>112051712</v>
      </c>
      <c r="AS117" s="1">
        <v>34918433</v>
      </c>
      <c r="AT117" s="1">
        <v>77133279</v>
      </c>
      <c r="AU117" s="1">
        <v>22043257</v>
      </c>
      <c r="AV117" s="1">
        <v>3306489</v>
      </c>
      <c r="AW117" s="1">
        <f t="shared" si="7"/>
        <v>137401458</v>
      </c>
    </row>
    <row r="118" spans="1:49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18435993</v>
      </c>
      <c r="G118" s="1">
        <v>0</v>
      </c>
      <c r="H118" s="1">
        <v>0</v>
      </c>
      <c r="I118" s="1">
        <v>3996760</v>
      </c>
      <c r="J118" s="1">
        <v>0</v>
      </c>
      <c r="K118" s="1">
        <v>18038005</v>
      </c>
      <c r="L118" s="1">
        <v>0</v>
      </c>
      <c r="M118" s="1">
        <v>4620000</v>
      </c>
      <c r="N118" s="1">
        <v>0</v>
      </c>
      <c r="O118" s="1">
        <v>1000000</v>
      </c>
      <c r="P118" s="1">
        <v>3551662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1848000</v>
      </c>
      <c r="W118" s="1">
        <v>0</v>
      </c>
      <c r="X118" s="1">
        <v>13472017</v>
      </c>
      <c r="Y118" s="1">
        <v>4000000</v>
      </c>
      <c r="Z118" s="1">
        <v>2676193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2790592</v>
      </c>
      <c r="AH118" s="1">
        <v>1835427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14511480</v>
      </c>
      <c r="AO118" s="1">
        <v>0</v>
      </c>
      <c r="AP118" s="1">
        <v>0</v>
      </c>
      <c r="AQ118" s="1">
        <v>0</v>
      </c>
      <c r="AR118" s="1">
        <v>90776129</v>
      </c>
      <c r="AS118" s="1">
        <v>18027191</v>
      </c>
      <c r="AT118" s="1">
        <v>72748938</v>
      </c>
      <c r="AU118" s="1">
        <v>17788140</v>
      </c>
      <c r="AV118" s="1">
        <v>2668221</v>
      </c>
      <c r="AW118" s="1">
        <f t="shared" si="7"/>
        <v>111232490</v>
      </c>
    </row>
    <row r="119" spans="1:49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0</v>
      </c>
      <c r="G119" s="1">
        <v>6358670</v>
      </c>
      <c r="H119" s="1">
        <v>3306509</v>
      </c>
      <c r="I119" s="1">
        <v>3015752</v>
      </c>
      <c r="J119" s="1">
        <v>0</v>
      </c>
      <c r="K119" s="1">
        <v>7152232</v>
      </c>
      <c r="L119" s="1">
        <v>0</v>
      </c>
      <c r="M119" s="1">
        <v>0</v>
      </c>
      <c r="N119" s="1">
        <v>11521166</v>
      </c>
      <c r="O119" s="1">
        <v>2000000</v>
      </c>
      <c r="P119" s="1">
        <v>5086937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9311996</v>
      </c>
      <c r="Y119" s="1">
        <v>4000000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5013827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5790243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62557332</v>
      </c>
      <c r="AS119" s="1">
        <v>11033495</v>
      </c>
      <c r="AT119" s="1">
        <v>51523837</v>
      </c>
      <c r="AU119" s="1">
        <v>12511466</v>
      </c>
      <c r="AV119" s="1">
        <v>1876720</v>
      </c>
      <c r="AW119" s="1">
        <f t="shared" si="7"/>
        <v>76945518</v>
      </c>
    </row>
    <row r="120" spans="1:49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18105970</v>
      </c>
      <c r="G120" s="1">
        <v>0</v>
      </c>
      <c r="H120" s="1">
        <v>0</v>
      </c>
      <c r="I120" s="1">
        <v>7387346</v>
      </c>
      <c r="J120" s="1">
        <v>0</v>
      </c>
      <c r="K120" s="1">
        <v>15962924</v>
      </c>
      <c r="L120" s="1">
        <v>0</v>
      </c>
      <c r="M120" s="1">
        <v>4620000</v>
      </c>
      <c r="N120" s="1">
        <v>0</v>
      </c>
      <c r="O120" s="1">
        <v>1000000</v>
      </c>
      <c r="P120" s="1">
        <v>3436154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12450391</v>
      </c>
      <c r="Y120" s="1">
        <v>4000000</v>
      </c>
      <c r="Z120" s="1">
        <v>2628286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2699835</v>
      </c>
      <c r="AH120" s="1">
        <v>3670854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12775504</v>
      </c>
      <c r="AO120" s="1">
        <v>0</v>
      </c>
      <c r="AP120" s="1">
        <v>0</v>
      </c>
      <c r="AQ120" s="1">
        <v>0</v>
      </c>
      <c r="AR120" s="1">
        <v>88737264</v>
      </c>
      <c r="AS120" s="1">
        <v>42411630</v>
      </c>
      <c r="AT120" s="1">
        <v>46325634</v>
      </c>
      <c r="AU120" s="1">
        <v>17013282</v>
      </c>
      <c r="AV120" s="1">
        <v>2551992</v>
      </c>
      <c r="AW120" s="1">
        <f t="shared" si="7"/>
        <v>108302538</v>
      </c>
    </row>
    <row r="121" spans="1:49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18299953</v>
      </c>
      <c r="G121" s="1">
        <v>0</v>
      </c>
      <c r="H121" s="1">
        <v>0</v>
      </c>
      <c r="I121" s="1">
        <v>2635488</v>
      </c>
      <c r="J121" s="1">
        <v>0</v>
      </c>
      <c r="K121" s="1">
        <v>17487569</v>
      </c>
      <c r="L121" s="1">
        <v>0</v>
      </c>
      <c r="M121" s="1">
        <v>4620000</v>
      </c>
      <c r="N121" s="1">
        <v>0</v>
      </c>
      <c r="O121" s="1">
        <v>1000000</v>
      </c>
      <c r="P121" s="1">
        <v>3504048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18953035</v>
      </c>
      <c r="Y121" s="1">
        <v>4000000</v>
      </c>
      <c r="Z121" s="1">
        <v>2656445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2753180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13699469</v>
      </c>
      <c r="AO121" s="1">
        <v>0</v>
      </c>
      <c r="AP121" s="1">
        <v>0</v>
      </c>
      <c r="AQ121" s="1">
        <v>0</v>
      </c>
      <c r="AR121" s="1">
        <v>89609187</v>
      </c>
      <c r="AS121" s="1">
        <v>42171052</v>
      </c>
      <c r="AT121" s="1">
        <v>47438135</v>
      </c>
      <c r="AU121" s="1">
        <v>17921837</v>
      </c>
      <c r="AV121" s="1">
        <v>2688276</v>
      </c>
      <c r="AW121" s="1">
        <f t="shared" si="7"/>
        <v>110219300</v>
      </c>
    </row>
    <row r="122" spans="1:49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18441032</v>
      </c>
      <c r="G122" s="1">
        <v>0</v>
      </c>
      <c r="H122" s="1">
        <v>0</v>
      </c>
      <c r="I122" s="1">
        <v>2139866</v>
      </c>
      <c r="J122" s="1">
        <v>0</v>
      </c>
      <c r="K122" s="1">
        <v>16580588</v>
      </c>
      <c r="L122" s="1">
        <v>0</v>
      </c>
      <c r="M122" s="1">
        <v>3465000</v>
      </c>
      <c r="N122" s="1">
        <v>0</v>
      </c>
      <c r="O122" s="1">
        <v>1000000</v>
      </c>
      <c r="P122" s="1">
        <v>3553426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1848000</v>
      </c>
      <c r="W122" s="1">
        <v>0</v>
      </c>
      <c r="X122" s="1">
        <v>11540670</v>
      </c>
      <c r="Y122" s="1">
        <v>4000000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2791978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7742211</v>
      </c>
      <c r="AO122" s="1">
        <v>0</v>
      </c>
      <c r="AP122" s="1">
        <v>0</v>
      </c>
      <c r="AQ122" s="1">
        <v>0</v>
      </c>
      <c r="AR122" s="1">
        <v>73102771</v>
      </c>
      <c r="AS122" s="1">
        <v>28842245</v>
      </c>
      <c r="AT122" s="1">
        <v>44260526</v>
      </c>
      <c r="AU122" s="1">
        <v>14620554</v>
      </c>
      <c r="AV122" s="1">
        <v>2193083</v>
      </c>
      <c r="AW122" s="1">
        <f t="shared" si="7"/>
        <v>89916408</v>
      </c>
    </row>
    <row r="123" spans="1:49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27449930</v>
      </c>
      <c r="G123" s="1">
        <v>0</v>
      </c>
      <c r="H123" s="1">
        <v>0</v>
      </c>
      <c r="I123" s="1">
        <v>52256076</v>
      </c>
      <c r="J123" s="1">
        <v>0</v>
      </c>
      <c r="K123" s="1">
        <v>28219275</v>
      </c>
      <c r="L123" s="1">
        <v>0</v>
      </c>
      <c r="M123" s="1">
        <v>5500000</v>
      </c>
      <c r="N123" s="1">
        <v>0</v>
      </c>
      <c r="O123" s="1">
        <v>1000000</v>
      </c>
      <c r="P123" s="1">
        <v>4235013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1848000</v>
      </c>
      <c r="W123" s="1">
        <v>0</v>
      </c>
      <c r="X123" s="1">
        <v>16146983</v>
      </c>
      <c r="Y123" s="1">
        <v>4000000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3327510</v>
      </c>
      <c r="AH123" s="1">
        <v>1835427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7744024</v>
      </c>
      <c r="AO123" s="1">
        <v>0</v>
      </c>
      <c r="AP123" s="1">
        <v>0</v>
      </c>
      <c r="AQ123" s="1">
        <v>0</v>
      </c>
      <c r="AR123" s="1">
        <v>153562238</v>
      </c>
      <c r="AS123" s="1">
        <v>47632503</v>
      </c>
      <c r="AT123" s="1">
        <v>105929735</v>
      </c>
      <c r="AU123" s="1">
        <v>27637511</v>
      </c>
      <c r="AV123" s="1">
        <v>4145627</v>
      </c>
      <c r="AW123" s="1">
        <f t="shared" si="7"/>
        <v>185345376</v>
      </c>
    </row>
    <row r="124" spans="1:49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27973937</v>
      </c>
      <c r="G124" s="1">
        <v>0</v>
      </c>
      <c r="H124" s="1">
        <v>0</v>
      </c>
      <c r="I124" s="1">
        <v>7209053</v>
      </c>
      <c r="J124" s="1">
        <v>0</v>
      </c>
      <c r="K124" s="1">
        <v>32440149</v>
      </c>
      <c r="L124" s="1">
        <v>0</v>
      </c>
      <c r="M124" s="1">
        <v>5500000</v>
      </c>
      <c r="N124" s="1">
        <v>0</v>
      </c>
      <c r="O124" s="1">
        <v>1000000</v>
      </c>
      <c r="P124" s="1">
        <v>4698811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1848000</v>
      </c>
      <c r="W124" s="1">
        <v>0</v>
      </c>
      <c r="X124" s="1">
        <v>7739589</v>
      </c>
      <c r="Y124" s="1">
        <v>4000000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3892267</v>
      </c>
      <c r="AF124" s="1">
        <v>0</v>
      </c>
      <c r="AG124" s="1">
        <v>3691922</v>
      </c>
      <c r="AH124" s="1">
        <v>1835427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4698811</v>
      </c>
      <c r="AO124" s="1">
        <v>0</v>
      </c>
      <c r="AP124" s="1">
        <v>0</v>
      </c>
      <c r="AQ124" s="1">
        <v>0</v>
      </c>
      <c r="AR124" s="1">
        <v>106527966</v>
      </c>
      <c r="AS124" s="1">
        <v>52883920</v>
      </c>
      <c r="AT124" s="1">
        <v>53644046</v>
      </c>
      <c r="AU124" s="1">
        <v>20938508</v>
      </c>
      <c r="AV124" s="1">
        <v>3140776</v>
      </c>
      <c r="AW124" s="1">
        <f t="shared" si="7"/>
        <v>130607250</v>
      </c>
    </row>
    <row r="125" spans="1:49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14286761</v>
      </c>
      <c r="G125" s="1">
        <v>0</v>
      </c>
      <c r="H125" s="1">
        <v>0</v>
      </c>
      <c r="I125" s="1">
        <v>751070</v>
      </c>
      <c r="J125" s="1">
        <v>0</v>
      </c>
      <c r="K125" s="1">
        <v>8784255</v>
      </c>
      <c r="L125" s="1">
        <v>0</v>
      </c>
      <c r="M125" s="1">
        <v>4620000</v>
      </c>
      <c r="N125" s="1">
        <v>0</v>
      </c>
      <c r="O125" s="1">
        <v>1000000</v>
      </c>
      <c r="P125" s="1">
        <v>2408041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1848000</v>
      </c>
      <c r="W125" s="1">
        <v>0</v>
      </c>
      <c r="X125" s="1">
        <v>3225374</v>
      </c>
      <c r="Y125" s="1">
        <v>4000000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1892032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4882654</v>
      </c>
      <c r="AO125" s="1">
        <v>0</v>
      </c>
      <c r="AP125" s="1">
        <v>0</v>
      </c>
      <c r="AQ125" s="1">
        <v>0</v>
      </c>
      <c r="AR125" s="1">
        <v>47698187</v>
      </c>
      <c r="AS125" s="1">
        <v>9065433</v>
      </c>
      <c r="AT125" s="1">
        <v>38632754</v>
      </c>
      <c r="AU125" s="1">
        <v>9539637</v>
      </c>
      <c r="AV125" s="1">
        <v>1430946</v>
      </c>
      <c r="AW125" s="1">
        <f t="shared" si="7"/>
        <v>58668770</v>
      </c>
    </row>
    <row r="126" spans="1:49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20892278</v>
      </c>
      <c r="G126" s="1">
        <v>0</v>
      </c>
      <c r="H126" s="1">
        <v>0</v>
      </c>
      <c r="I126" s="1">
        <v>0</v>
      </c>
      <c r="J126" s="1">
        <v>0</v>
      </c>
      <c r="K126" s="1">
        <v>19091325</v>
      </c>
      <c r="L126" s="1">
        <v>0</v>
      </c>
      <c r="M126" s="1">
        <v>4620000</v>
      </c>
      <c r="N126" s="1">
        <v>0</v>
      </c>
      <c r="O126" s="1">
        <v>1000000</v>
      </c>
      <c r="P126" s="1">
        <v>4001351</v>
      </c>
      <c r="Q126" s="1">
        <v>0</v>
      </c>
      <c r="R126" s="1">
        <v>0</v>
      </c>
      <c r="S126" s="1">
        <v>0</v>
      </c>
      <c r="T126" s="1">
        <v>11376000</v>
      </c>
      <c r="U126" s="1">
        <v>0</v>
      </c>
      <c r="V126" s="1">
        <v>1848000</v>
      </c>
      <c r="W126" s="1">
        <v>0</v>
      </c>
      <c r="X126" s="1">
        <v>13002524</v>
      </c>
      <c r="Y126" s="1">
        <v>4000000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3143919</v>
      </c>
      <c r="AH126" s="1">
        <v>3670854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8201019</v>
      </c>
      <c r="AO126" s="1">
        <v>0</v>
      </c>
      <c r="AP126" s="1">
        <v>0</v>
      </c>
      <c r="AQ126" s="1">
        <v>0</v>
      </c>
      <c r="AR126" s="1">
        <v>94847270</v>
      </c>
      <c r="AS126" s="1">
        <v>28334051</v>
      </c>
      <c r="AT126" s="1">
        <v>66513219</v>
      </c>
      <c r="AU126" s="1">
        <v>15960083</v>
      </c>
      <c r="AV126" s="1">
        <v>2394012</v>
      </c>
      <c r="AW126" s="1">
        <f t="shared" si="7"/>
        <v>113201365</v>
      </c>
    </row>
    <row r="127" spans="1:49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18473782</v>
      </c>
      <c r="G127" s="1">
        <v>0</v>
      </c>
      <c r="H127" s="1">
        <v>0</v>
      </c>
      <c r="I127" s="1">
        <v>17620309</v>
      </c>
      <c r="J127" s="1">
        <v>0</v>
      </c>
      <c r="K127" s="1">
        <v>17538498</v>
      </c>
      <c r="L127" s="1">
        <v>0</v>
      </c>
      <c r="M127" s="1">
        <v>4620000</v>
      </c>
      <c r="N127" s="1">
        <v>0</v>
      </c>
      <c r="O127" s="1">
        <v>1000000</v>
      </c>
      <c r="P127" s="1">
        <v>3564888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1848000</v>
      </c>
      <c r="W127" s="1">
        <v>0</v>
      </c>
      <c r="X127" s="1">
        <v>13198530</v>
      </c>
      <c r="Y127" s="1">
        <v>4000000</v>
      </c>
      <c r="Z127" s="1">
        <v>2681678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2800983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13785805</v>
      </c>
      <c r="AO127" s="1">
        <v>0</v>
      </c>
      <c r="AP127" s="1">
        <v>0</v>
      </c>
      <c r="AQ127" s="1">
        <v>0</v>
      </c>
      <c r="AR127" s="1">
        <v>101132473</v>
      </c>
      <c r="AS127" s="1">
        <v>22506876</v>
      </c>
      <c r="AT127" s="1">
        <v>78625597</v>
      </c>
      <c r="AU127" s="1">
        <v>20226495</v>
      </c>
      <c r="AV127" s="1">
        <v>3033974</v>
      </c>
      <c r="AW127" s="1">
        <f t="shared" si="7"/>
        <v>124392942</v>
      </c>
    </row>
    <row r="128" spans="1:49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27558258</v>
      </c>
      <c r="G128" s="1">
        <v>0</v>
      </c>
      <c r="H128" s="1">
        <v>0</v>
      </c>
      <c r="I128" s="1">
        <v>9150052</v>
      </c>
      <c r="J128" s="1">
        <v>0</v>
      </c>
      <c r="K128" s="1">
        <v>23949749</v>
      </c>
      <c r="L128" s="1">
        <v>0</v>
      </c>
      <c r="M128" s="1">
        <v>5500000</v>
      </c>
      <c r="N128" s="1">
        <v>0</v>
      </c>
      <c r="O128" s="1">
        <v>1000000</v>
      </c>
      <c r="P128" s="1">
        <v>4272928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1848000</v>
      </c>
      <c r="W128" s="1">
        <v>0</v>
      </c>
      <c r="X128" s="1">
        <v>21203786</v>
      </c>
      <c r="Y128" s="1">
        <v>4000000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3357301</v>
      </c>
      <c r="AH128" s="1">
        <v>1835427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6104183</v>
      </c>
      <c r="AO128" s="1">
        <v>0</v>
      </c>
      <c r="AP128" s="1">
        <v>0</v>
      </c>
      <c r="AQ128" s="1">
        <v>0</v>
      </c>
      <c r="AR128" s="1">
        <v>109779684</v>
      </c>
      <c r="AS128" s="1">
        <v>39477244</v>
      </c>
      <c r="AT128" s="1">
        <v>70302440</v>
      </c>
      <c r="AU128" s="1">
        <v>21588851</v>
      </c>
      <c r="AV128" s="1">
        <v>3238328</v>
      </c>
      <c r="AW128" s="1">
        <f t="shared" si="7"/>
        <v>134606863</v>
      </c>
    </row>
    <row r="129" spans="1:49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20809143</v>
      </c>
      <c r="G129" s="1">
        <v>0</v>
      </c>
      <c r="H129" s="1">
        <v>0</v>
      </c>
      <c r="I129" s="1">
        <v>27880250</v>
      </c>
      <c r="J129" s="1">
        <v>0</v>
      </c>
      <c r="K129" s="1">
        <v>20738862</v>
      </c>
      <c r="L129" s="1">
        <v>0</v>
      </c>
      <c r="M129" s="1">
        <v>0</v>
      </c>
      <c r="N129" s="1">
        <v>0</v>
      </c>
      <c r="O129" s="1">
        <v>1000000</v>
      </c>
      <c r="P129" s="1">
        <v>4294090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1848000</v>
      </c>
      <c r="W129" s="1">
        <v>0</v>
      </c>
      <c r="X129" s="1">
        <v>13567991</v>
      </c>
      <c r="Y129" s="1">
        <v>4000000</v>
      </c>
      <c r="Z129" s="1">
        <v>3020682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3373928</v>
      </c>
      <c r="AH129" s="1">
        <v>5506281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11763716</v>
      </c>
      <c r="AO129" s="1">
        <v>0</v>
      </c>
      <c r="AP129" s="1">
        <v>0</v>
      </c>
      <c r="AQ129" s="1">
        <v>0</v>
      </c>
      <c r="AR129" s="1">
        <v>117802943</v>
      </c>
      <c r="AS129" s="1">
        <v>39923019</v>
      </c>
      <c r="AT129" s="1">
        <v>77879924</v>
      </c>
      <c r="AU129" s="1">
        <v>22459332</v>
      </c>
      <c r="AV129" s="1">
        <v>3368900</v>
      </c>
      <c r="AW129" s="1">
        <f t="shared" si="7"/>
        <v>143631175</v>
      </c>
    </row>
    <row r="130" spans="1:49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16644795</v>
      </c>
      <c r="G130" s="1">
        <v>0</v>
      </c>
      <c r="H130" s="1">
        <v>0</v>
      </c>
      <c r="I130" s="1">
        <v>4594532</v>
      </c>
      <c r="J130" s="1">
        <v>0</v>
      </c>
      <c r="K130" s="1">
        <v>15201130</v>
      </c>
      <c r="L130" s="1">
        <v>0</v>
      </c>
      <c r="M130" s="1">
        <v>4620000</v>
      </c>
      <c r="N130" s="1">
        <v>0</v>
      </c>
      <c r="O130" s="1">
        <v>1000000</v>
      </c>
      <c r="P130" s="1">
        <v>2924743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1848000</v>
      </c>
      <c r="W130" s="1">
        <v>0</v>
      </c>
      <c r="X130" s="1">
        <v>22105615</v>
      </c>
      <c r="Y130" s="1">
        <v>4000000</v>
      </c>
      <c r="Z130" s="1">
        <v>2416180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2298012</v>
      </c>
      <c r="AH130" s="1">
        <v>1835427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13171356</v>
      </c>
      <c r="AO130" s="1">
        <v>0</v>
      </c>
      <c r="AP130" s="1">
        <v>0</v>
      </c>
      <c r="AQ130" s="1">
        <v>0</v>
      </c>
      <c r="AR130" s="1">
        <v>92659790</v>
      </c>
      <c r="AS130" s="1">
        <v>30685826</v>
      </c>
      <c r="AT130" s="1">
        <v>61973964</v>
      </c>
      <c r="AU130" s="1">
        <v>18164873</v>
      </c>
      <c r="AV130" s="1">
        <v>2724731</v>
      </c>
      <c r="AW130" s="1">
        <f t="shared" si="7"/>
        <v>113549394</v>
      </c>
    </row>
    <row r="131" spans="1:49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27845454</v>
      </c>
      <c r="G131" s="1">
        <v>0</v>
      </c>
      <c r="H131" s="1">
        <v>0</v>
      </c>
      <c r="I131" s="1">
        <v>12071390</v>
      </c>
      <c r="J131" s="1">
        <v>0</v>
      </c>
      <c r="K131" s="1">
        <v>24195365</v>
      </c>
      <c r="L131" s="1">
        <v>0</v>
      </c>
      <c r="M131" s="1">
        <v>5500000</v>
      </c>
      <c r="N131" s="1">
        <v>0</v>
      </c>
      <c r="O131" s="1">
        <v>1000000</v>
      </c>
      <c r="P131" s="1">
        <v>4373447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22442767</v>
      </c>
      <c r="Y131" s="1">
        <v>4000000</v>
      </c>
      <c r="Z131" s="1">
        <v>4042082</v>
      </c>
      <c r="AA131" s="1">
        <v>0</v>
      </c>
      <c r="AB131" s="1">
        <v>0</v>
      </c>
      <c r="AC131" s="1">
        <v>0</v>
      </c>
      <c r="AD131" s="1">
        <v>0</v>
      </c>
      <c r="AE131" s="1">
        <v>4459102</v>
      </c>
      <c r="AF131" s="1">
        <v>0</v>
      </c>
      <c r="AG131" s="1">
        <v>3436280</v>
      </c>
      <c r="AH131" s="1">
        <v>1835427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27293483</v>
      </c>
      <c r="AO131" s="1">
        <v>0</v>
      </c>
      <c r="AP131" s="1">
        <v>0</v>
      </c>
      <c r="AQ131" s="1">
        <v>0</v>
      </c>
      <c r="AR131" s="1">
        <v>142494797</v>
      </c>
      <c r="AS131" s="1">
        <v>46980918</v>
      </c>
      <c r="AT131" s="1">
        <v>95513879</v>
      </c>
      <c r="AU131" s="1">
        <v>27637511</v>
      </c>
      <c r="AV131" s="1">
        <v>4145627</v>
      </c>
      <c r="AW131" s="1">
        <f t="shared" ref="AW131:AW194" si="12">AR131+AU131+AV131</f>
        <v>174277935</v>
      </c>
    </row>
    <row r="132" spans="1:49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28815372</v>
      </c>
      <c r="G132" s="1">
        <v>0</v>
      </c>
      <c r="H132" s="1">
        <v>0</v>
      </c>
      <c r="I132" s="1">
        <v>6247921</v>
      </c>
      <c r="J132" s="1">
        <v>0</v>
      </c>
      <c r="K132" s="1">
        <v>27659847</v>
      </c>
      <c r="L132" s="1">
        <v>0</v>
      </c>
      <c r="M132" s="1">
        <v>0</v>
      </c>
      <c r="N132" s="1">
        <v>0</v>
      </c>
      <c r="O132" s="1">
        <v>1000000</v>
      </c>
      <c r="P132" s="1">
        <v>4712919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1848000</v>
      </c>
      <c r="W132" s="1">
        <v>0</v>
      </c>
      <c r="X132" s="1">
        <v>34084059</v>
      </c>
      <c r="Y132" s="1">
        <v>4000000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3892267</v>
      </c>
      <c r="AF132" s="1">
        <v>0</v>
      </c>
      <c r="AG132" s="1">
        <v>3703007</v>
      </c>
      <c r="AH132" s="1">
        <v>1835427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7809979</v>
      </c>
      <c r="AO132" s="1">
        <v>0</v>
      </c>
      <c r="AP132" s="1">
        <v>0</v>
      </c>
      <c r="AQ132" s="1">
        <v>0</v>
      </c>
      <c r="AR132" s="1">
        <v>125608798</v>
      </c>
      <c r="AS132" s="1">
        <v>60250233</v>
      </c>
      <c r="AT132" s="1">
        <v>65358565</v>
      </c>
      <c r="AU132" s="1">
        <v>24754674</v>
      </c>
      <c r="AV132" s="1">
        <v>3713201</v>
      </c>
      <c r="AW132" s="1">
        <f t="shared" si="12"/>
        <v>154076673</v>
      </c>
    </row>
    <row r="133" spans="1:49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17791061</v>
      </c>
      <c r="G133" s="1">
        <v>0</v>
      </c>
      <c r="H133" s="1">
        <v>0</v>
      </c>
      <c r="I133" s="1">
        <v>8528601</v>
      </c>
      <c r="J133" s="1">
        <v>0</v>
      </c>
      <c r="K133" s="1">
        <v>16354336</v>
      </c>
      <c r="L133" s="1">
        <v>0</v>
      </c>
      <c r="M133" s="1">
        <v>4620000</v>
      </c>
      <c r="N133" s="1">
        <v>0</v>
      </c>
      <c r="O133" s="1">
        <v>1000000</v>
      </c>
      <c r="P133" s="1">
        <v>3325936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22990140</v>
      </c>
      <c r="Y133" s="1">
        <v>4000000</v>
      </c>
      <c r="Z133" s="1">
        <v>2582573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2613235</v>
      </c>
      <c r="AH133" s="1">
        <v>3670854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12464324</v>
      </c>
      <c r="AO133" s="1">
        <v>0</v>
      </c>
      <c r="AP133" s="1">
        <v>0</v>
      </c>
      <c r="AQ133" s="1">
        <v>0</v>
      </c>
      <c r="AR133" s="1">
        <v>99941060</v>
      </c>
      <c r="AS133" s="1">
        <v>36735389</v>
      </c>
      <c r="AT133" s="1">
        <v>63205671</v>
      </c>
      <c r="AU133" s="1">
        <v>19254041</v>
      </c>
      <c r="AV133" s="1">
        <v>2888106</v>
      </c>
      <c r="AW133" s="1">
        <f t="shared" si="12"/>
        <v>122083207</v>
      </c>
    </row>
    <row r="134" spans="1:49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29034548</v>
      </c>
      <c r="G134" s="1">
        <v>0</v>
      </c>
      <c r="H134" s="1">
        <v>0</v>
      </c>
      <c r="I134" s="1">
        <v>9501039</v>
      </c>
      <c r="J134" s="1">
        <v>0</v>
      </c>
      <c r="K134" s="1">
        <v>27431075</v>
      </c>
      <c r="L134" s="1">
        <v>0</v>
      </c>
      <c r="M134" s="1">
        <v>5500000</v>
      </c>
      <c r="N134" s="1">
        <v>0</v>
      </c>
      <c r="O134" s="1">
        <v>1000000</v>
      </c>
      <c r="P134" s="1">
        <v>4789630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1848000</v>
      </c>
      <c r="W134" s="1">
        <v>0</v>
      </c>
      <c r="X134" s="1">
        <v>17080256</v>
      </c>
      <c r="Y134" s="1">
        <v>4000000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3763280</v>
      </c>
      <c r="AH134" s="1">
        <v>1835427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7663408</v>
      </c>
      <c r="AO134" s="1">
        <v>0</v>
      </c>
      <c r="AP134" s="1">
        <v>0</v>
      </c>
      <c r="AQ134" s="1">
        <v>0</v>
      </c>
      <c r="AR134" s="1">
        <v>113446663</v>
      </c>
      <c r="AS134" s="1">
        <v>40033876</v>
      </c>
      <c r="AT134" s="1">
        <v>73412787</v>
      </c>
      <c r="AU134" s="1">
        <v>22322247</v>
      </c>
      <c r="AV134" s="1">
        <v>3348337</v>
      </c>
      <c r="AW134" s="1">
        <f t="shared" si="12"/>
        <v>139117247</v>
      </c>
    </row>
    <row r="135" spans="1:49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28266172</v>
      </c>
      <c r="G135" s="1">
        <v>0</v>
      </c>
      <c r="H135" s="1">
        <v>0</v>
      </c>
      <c r="I135" s="1">
        <v>663473</v>
      </c>
      <c r="J135" s="1">
        <v>0</v>
      </c>
      <c r="K135" s="1">
        <v>26204752</v>
      </c>
      <c r="L135" s="1">
        <v>0</v>
      </c>
      <c r="M135" s="1">
        <v>5500000</v>
      </c>
      <c r="N135" s="1">
        <v>0</v>
      </c>
      <c r="O135" s="1">
        <v>1000000</v>
      </c>
      <c r="P135" s="1">
        <v>4520698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1848000</v>
      </c>
      <c r="W135" s="1">
        <v>0</v>
      </c>
      <c r="X135" s="1">
        <v>24505232</v>
      </c>
      <c r="Y135" s="1">
        <v>4000000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3551977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6974791</v>
      </c>
      <c r="AO135" s="1">
        <v>0</v>
      </c>
      <c r="AP135" s="1">
        <v>0</v>
      </c>
      <c r="AQ135" s="1">
        <v>0</v>
      </c>
      <c r="AR135" s="1">
        <v>107035095</v>
      </c>
      <c r="AS135" s="1">
        <v>37282833</v>
      </c>
      <c r="AT135" s="1">
        <v>69752262</v>
      </c>
      <c r="AU135" s="1">
        <v>21407019</v>
      </c>
      <c r="AV135" s="1">
        <v>3211053</v>
      </c>
      <c r="AW135" s="1">
        <f t="shared" si="12"/>
        <v>131653167</v>
      </c>
    </row>
    <row r="136" spans="1:49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28115016</v>
      </c>
      <c r="G136" s="1">
        <v>0</v>
      </c>
      <c r="H136" s="1">
        <v>0</v>
      </c>
      <c r="I136" s="1">
        <v>7981152</v>
      </c>
      <c r="J136" s="1">
        <v>0</v>
      </c>
      <c r="K136" s="1">
        <v>25354396</v>
      </c>
      <c r="L136" s="1">
        <v>0</v>
      </c>
      <c r="M136" s="1">
        <v>5500000</v>
      </c>
      <c r="N136" s="1">
        <v>0</v>
      </c>
      <c r="O136" s="1">
        <v>1000000</v>
      </c>
      <c r="P136" s="1">
        <v>4467793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34605186</v>
      </c>
      <c r="Y136" s="1">
        <v>4000000</v>
      </c>
      <c r="Z136" s="1">
        <v>4081212</v>
      </c>
      <c r="AA136" s="1">
        <v>0</v>
      </c>
      <c r="AB136" s="1">
        <v>0</v>
      </c>
      <c r="AC136" s="1">
        <v>0</v>
      </c>
      <c r="AD136" s="1">
        <v>0</v>
      </c>
      <c r="AE136" s="1">
        <v>4459102</v>
      </c>
      <c r="AF136" s="1">
        <v>0</v>
      </c>
      <c r="AG136" s="1">
        <v>3510409</v>
      </c>
      <c r="AH136" s="1">
        <v>3670854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25159564</v>
      </c>
      <c r="AO136" s="1">
        <v>0</v>
      </c>
      <c r="AP136" s="1">
        <v>0</v>
      </c>
      <c r="AQ136" s="1">
        <v>0</v>
      </c>
      <c r="AR136" s="1">
        <v>151904684</v>
      </c>
      <c r="AS136" s="1">
        <v>47489048</v>
      </c>
      <c r="AT136" s="1">
        <v>104415636</v>
      </c>
      <c r="AU136" s="1">
        <v>27637511</v>
      </c>
      <c r="AV136" s="1">
        <v>4145627</v>
      </c>
      <c r="AW136" s="1">
        <f t="shared" si="12"/>
        <v>183687822</v>
      </c>
    </row>
    <row r="137" spans="1:49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18796249</v>
      </c>
      <c r="G137" s="1">
        <v>0</v>
      </c>
      <c r="H137" s="1">
        <v>0</v>
      </c>
      <c r="I137" s="1">
        <v>4287693</v>
      </c>
      <c r="J137" s="1">
        <v>0</v>
      </c>
      <c r="K137" s="1">
        <v>19086910</v>
      </c>
      <c r="L137" s="1">
        <v>0</v>
      </c>
      <c r="M137" s="1">
        <v>4620000</v>
      </c>
      <c r="N137" s="1">
        <v>0</v>
      </c>
      <c r="O137" s="1">
        <v>1000000</v>
      </c>
      <c r="P137" s="1">
        <v>3677751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1848000</v>
      </c>
      <c r="W137" s="1">
        <v>0</v>
      </c>
      <c r="X137" s="1">
        <v>26732002</v>
      </c>
      <c r="Y137" s="1">
        <v>4000000</v>
      </c>
      <c r="Z137" s="1">
        <v>2728488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2889662</v>
      </c>
      <c r="AH137" s="1">
        <v>1835427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15621343</v>
      </c>
      <c r="AO137" s="1">
        <v>0</v>
      </c>
      <c r="AP137" s="1">
        <v>0</v>
      </c>
      <c r="AQ137" s="1">
        <v>0</v>
      </c>
      <c r="AR137" s="1">
        <v>107123525</v>
      </c>
      <c r="AS137" s="1">
        <v>49868600</v>
      </c>
      <c r="AT137" s="1">
        <v>57254925</v>
      </c>
      <c r="AU137" s="1">
        <v>21057620</v>
      </c>
      <c r="AV137" s="1">
        <v>3158643</v>
      </c>
      <c r="AW137" s="1">
        <f t="shared" si="12"/>
        <v>131339788</v>
      </c>
    </row>
    <row r="138" spans="1:49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17811215</v>
      </c>
      <c r="G138" s="1">
        <v>0</v>
      </c>
      <c r="H138" s="1">
        <v>0</v>
      </c>
      <c r="I138" s="1">
        <v>12950826</v>
      </c>
      <c r="J138" s="1">
        <v>0</v>
      </c>
      <c r="K138" s="1">
        <v>15723582</v>
      </c>
      <c r="L138" s="1">
        <v>0</v>
      </c>
      <c r="M138" s="1">
        <v>4620000</v>
      </c>
      <c r="N138" s="1">
        <v>0</v>
      </c>
      <c r="O138" s="1">
        <v>1000000</v>
      </c>
      <c r="P138" s="1">
        <v>3332990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1848000</v>
      </c>
      <c r="W138" s="1">
        <v>0</v>
      </c>
      <c r="X138" s="1">
        <v>22608057</v>
      </c>
      <c r="Y138" s="1">
        <v>4000000</v>
      </c>
      <c r="Z138" s="1">
        <v>2585499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2618778</v>
      </c>
      <c r="AH138" s="1">
        <v>1835427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11318058</v>
      </c>
      <c r="AO138" s="1">
        <v>0</v>
      </c>
      <c r="AP138" s="1">
        <v>0</v>
      </c>
      <c r="AQ138" s="1">
        <v>0</v>
      </c>
      <c r="AR138" s="1">
        <v>102252432</v>
      </c>
      <c r="AS138" s="1">
        <v>44250358</v>
      </c>
      <c r="AT138" s="1">
        <v>58002074</v>
      </c>
      <c r="AU138" s="1">
        <v>20083401</v>
      </c>
      <c r="AV138" s="1">
        <v>3012510</v>
      </c>
      <c r="AW138" s="1">
        <f t="shared" si="12"/>
        <v>125348343</v>
      </c>
    </row>
    <row r="139" spans="1:49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24567889</v>
      </c>
      <c r="G139" s="1">
        <v>0</v>
      </c>
      <c r="H139" s="1">
        <v>0</v>
      </c>
      <c r="I139" s="1">
        <v>0</v>
      </c>
      <c r="J139" s="1">
        <v>0</v>
      </c>
      <c r="K139" s="1">
        <v>19117102</v>
      </c>
      <c r="L139" s="1">
        <v>0</v>
      </c>
      <c r="M139" s="1">
        <v>5500000</v>
      </c>
      <c r="N139" s="1">
        <v>0</v>
      </c>
      <c r="O139" s="1">
        <v>1000000</v>
      </c>
      <c r="P139" s="1">
        <v>3506693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1848000</v>
      </c>
      <c r="W139" s="1">
        <v>0</v>
      </c>
      <c r="X139" s="1">
        <v>5458264</v>
      </c>
      <c r="Y139" s="1">
        <v>4000000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2755259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4635703</v>
      </c>
      <c r="AO139" s="1">
        <v>0</v>
      </c>
      <c r="AP139" s="1">
        <v>0</v>
      </c>
      <c r="AQ139" s="1">
        <v>0</v>
      </c>
      <c r="AR139" s="1">
        <v>72388910</v>
      </c>
      <c r="AS139" s="1">
        <v>30221016</v>
      </c>
      <c r="AT139" s="1">
        <v>42167894</v>
      </c>
      <c r="AU139" s="1">
        <v>14477782</v>
      </c>
      <c r="AV139" s="1">
        <v>2171667</v>
      </c>
      <c r="AW139" s="1">
        <f t="shared" si="12"/>
        <v>89038359</v>
      </c>
    </row>
    <row r="140" spans="1:49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15831072</v>
      </c>
      <c r="G140" s="1">
        <v>0</v>
      </c>
      <c r="H140" s="1">
        <v>0</v>
      </c>
      <c r="I140" s="1">
        <v>0</v>
      </c>
      <c r="J140" s="1">
        <v>0</v>
      </c>
      <c r="K140" s="1">
        <v>13597041</v>
      </c>
      <c r="L140" s="1">
        <v>0</v>
      </c>
      <c r="M140" s="1">
        <v>3465000</v>
      </c>
      <c r="N140" s="1">
        <v>0</v>
      </c>
      <c r="O140" s="1">
        <v>1000000</v>
      </c>
      <c r="P140" s="1">
        <v>2917689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1848000</v>
      </c>
      <c r="W140" s="1">
        <v>0</v>
      </c>
      <c r="X140" s="1">
        <v>12396868</v>
      </c>
      <c r="Y140" s="1">
        <v>4000000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2292470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6684622</v>
      </c>
      <c r="AO140" s="1">
        <v>0</v>
      </c>
      <c r="AP140" s="1">
        <v>0</v>
      </c>
      <c r="AQ140" s="1">
        <v>0</v>
      </c>
      <c r="AR140" s="1">
        <v>64032762</v>
      </c>
      <c r="AS140" s="1">
        <v>26182124</v>
      </c>
      <c r="AT140" s="1">
        <v>37850638</v>
      </c>
      <c r="AU140" s="1">
        <v>12806552</v>
      </c>
      <c r="AV140" s="1">
        <v>1920983</v>
      </c>
      <c r="AW140" s="1">
        <f t="shared" si="12"/>
        <v>78760297</v>
      </c>
    </row>
    <row r="141" spans="1:49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18924731</v>
      </c>
      <c r="G141" s="1">
        <v>0</v>
      </c>
      <c r="H141" s="1">
        <v>0</v>
      </c>
      <c r="I141" s="1">
        <v>10507968</v>
      </c>
      <c r="J141" s="1">
        <v>0</v>
      </c>
      <c r="K141" s="1">
        <v>19265565</v>
      </c>
      <c r="L141" s="1">
        <v>0</v>
      </c>
      <c r="M141" s="1">
        <v>4620000</v>
      </c>
      <c r="N141" s="1">
        <v>0</v>
      </c>
      <c r="O141" s="1">
        <v>1000000</v>
      </c>
      <c r="P141" s="1">
        <v>3722721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1848000</v>
      </c>
      <c r="W141" s="1">
        <v>0</v>
      </c>
      <c r="X141" s="1">
        <v>26975881</v>
      </c>
      <c r="Y141" s="1">
        <v>4000000</v>
      </c>
      <c r="Z141" s="1">
        <v>2747138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2924995</v>
      </c>
      <c r="AH141" s="1">
        <v>1835427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15781946</v>
      </c>
      <c r="AO141" s="1">
        <v>0</v>
      </c>
      <c r="AP141" s="1">
        <v>0</v>
      </c>
      <c r="AQ141" s="1">
        <v>0</v>
      </c>
      <c r="AR141" s="1">
        <v>114154372</v>
      </c>
      <c r="AS141" s="1">
        <v>46555388</v>
      </c>
      <c r="AT141" s="1">
        <v>67598984</v>
      </c>
      <c r="AU141" s="1">
        <v>22463789</v>
      </c>
      <c r="AV141" s="1">
        <v>3369568</v>
      </c>
      <c r="AW141" s="1">
        <f t="shared" si="12"/>
        <v>139987729</v>
      </c>
    </row>
    <row r="142" spans="1:49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26618572</v>
      </c>
      <c r="G142" s="1">
        <v>0</v>
      </c>
      <c r="H142" s="1">
        <v>0</v>
      </c>
      <c r="I142" s="1">
        <v>3041097</v>
      </c>
      <c r="J142" s="1">
        <v>0</v>
      </c>
      <c r="K142" s="1">
        <v>23168284</v>
      </c>
      <c r="L142" s="1">
        <v>0</v>
      </c>
      <c r="M142" s="1">
        <v>5500000</v>
      </c>
      <c r="N142" s="1">
        <v>0</v>
      </c>
      <c r="O142" s="1">
        <v>1000000</v>
      </c>
      <c r="P142" s="1">
        <v>3944038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1848000</v>
      </c>
      <c r="W142" s="1">
        <v>0</v>
      </c>
      <c r="X142" s="1">
        <v>23278500</v>
      </c>
      <c r="Y142" s="1">
        <v>4000000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3098887</v>
      </c>
      <c r="AH142" s="1">
        <v>1835427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6085087</v>
      </c>
      <c r="AO142" s="1">
        <v>0</v>
      </c>
      <c r="AP142" s="1">
        <v>0</v>
      </c>
      <c r="AQ142" s="1">
        <v>0</v>
      </c>
      <c r="AR142" s="1">
        <v>103417892</v>
      </c>
      <c r="AS142" s="1">
        <v>40158823</v>
      </c>
      <c r="AT142" s="1">
        <v>63259069</v>
      </c>
      <c r="AU142" s="1">
        <v>20316493</v>
      </c>
      <c r="AV142" s="1">
        <v>3047474</v>
      </c>
      <c r="AW142" s="1">
        <f t="shared" si="12"/>
        <v>126781859</v>
      </c>
    </row>
    <row r="143" spans="1:49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27926071</v>
      </c>
      <c r="G143" s="1">
        <v>0</v>
      </c>
      <c r="H143" s="1">
        <v>0</v>
      </c>
      <c r="I143" s="1">
        <v>9336432</v>
      </c>
      <c r="J143" s="1">
        <v>0</v>
      </c>
      <c r="K143" s="1">
        <v>24125006</v>
      </c>
      <c r="L143" s="1">
        <v>0</v>
      </c>
      <c r="M143" s="1">
        <v>5500000</v>
      </c>
      <c r="N143" s="1">
        <v>0</v>
      </c>
      <c r="O143" s="1">
        <v>1000000</v>
      </c>
      <c r="P143" s="1">
        <v>4401663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1848000</v>
      </c>
      <c r="W143" s="1">
        <v>0</v>
      </c>
      <c r="X143" s="1">
        <v>21001679</v>
      </c>
      <c r="Y143" s="1">
        <v>4000000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3458449</v>
      </c>
      <c r="AH143" s="1">
        <v>1835427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7294184</v>
      </c>
      <c r="AO143" s="1">
        <v>0</v>
      </c>
      <c r="AP143" s="1">
        <v>0</v>
      </c>
      <c r="AQ143" s="1">
        <v>0</v>
      </c>
      <c r="AR143" s="1">
        <v>111726911</v>
      </c>
      <c r="AS143" s="1">
        <v>33610385</v>
      </c>
      <c r="AT143" s="1">
        <v>78116526</v>
      </c>
      <c r="AU143" s="1">
        <v>21978297</v>
      </c>
      <c r="AV143" s="1">
        <v>3296745</v>
      </c>
      <c r="AW143" s="1">
        <f t="shared" si="12"/>
        <v>137001953</v>
      </c>
    </row>
    <row r="144" spans="1:49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36295075</v>
      </c>
      <c r="G144" s="1">
        <v>0</v>
      </c>
      <c r="H144" s="1">
        <v>0</v>
      </c>
      <c r="I144" s="1">
        <v>20807191</v>
      </c>
      <c r="J144" s="1">
        <v>0</v>
      </c>
      <c r="K144" s="1">
        <v>38996787</v>
      </c>
      <c r="L144" s="1">
        <v>0</v>
      </c>
      <c r="M144" s="1">
        <v>0</v>
      </c>
      <c r="N144" s="1">
        <v>0</v>
      </c>
      <c r="O144" s="1">
        <v>1000000</v>
      </c>
      <c r="P144" s="1">
        <v>6520492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1848000</v>
      </c>
      <c r="W144" s="1">
        <v>0</v>
      </c>
      <c r="X144" s="1">
        <v>19488781</v>
      </c>
      <c r="Y144" s="1">
        <v>4000000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5123244</v>
      </c>
      <c r="AH144" s="1">
        <v>3670854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6986242</v>
      </c>
      <c r="AO144" s="1">
        <v>0</v>
      </c>
      <c r="AP144" s="1">
        <v>0</v>
      </c>
      <c r="AQ144" s="1">
        <v>0</v>
      </c>
      <c r="AR144" s="1">
        <v>144736666</v>
      </c>
      <c r="AS144" s="1">
        <v>48623444</v>
      </c>
      <c r="AT144" s="1">
        <v>96113222</v>
      </c>
      <c r="AU144" s="1">
        <v>27637511</v>
      </c>
      <c r="AV144" s="1">
        <v>4145627</v>
      </c>
      <c r="AW144" s="1">
        <f t="shared" si="12"/>
        <v>176519804</v>
      </c>
    </row>
    <row r="145" spans="1:49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17768388</v>
      </c>
      <c r="G145" s="1">
        <v>0</v>
      </c>
      <c r="H145" s="1">
        <v>0</v>
      </c>
      <c r="I145" s="1">
        <v>806246</v>
      </c>
      <c r="J145" s="1">
        <v>0</v>
      </c>
      <c r="K145" s="1">
        <v>15460486</v>
      </c>
      <c r="L145" s="1">
        <v>0</v>
      </c>
      <c r="M145" s="1">
        <v>3465000</v>
      </c>
      <c r="N145" s="1">
        <v>0</v>
      </c>
      <c r="O145" s="1">
        <v>1000000</v>
      </c>
      <c r="P145" s="1">
        <v>3318000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1848000</v>
      </c>
      <c r="W145" s="1">
        <v>0</v>
      </c>
      <c r="X145" s="1">
        <v>10870560</v>
      </c>
      <c r="Y145" s="1">
        <v>4000000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2607000</v>
      </c>
      <c r="AH145" s="1">
        <v>1835427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7103828</v>
      </c>
      <c r="AO145" s="1">
        <v>0</v>
      </c>
      <c r="AP145" s="1">
        <v>0</v>
      </c>
      <c r="AQ145" s="1">
        <v>0</v>
      </c>
      <c r="AR145" s="1">
        <v>70082935</v>
      </c>
      <c r="AS145" s="1">
        <v>33011801</v>
      </c>
      <c r="AT145" s="1">
        <v>37071134</v>
      </c>
      <c r="AU145" s="1">
        <v>13649502</v>
      </c>
      <c r="AV145" s="1">
        <v>2047425</v>
      </c>
      <c r="AW145" s="1">
        <f t="shared" si="12"/>
        <v>85779862</v>
      </c>
    </row>
    <row r="146" spans="1:49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28772545</v>
      </c>
      <c r="G146" s="1">
        <v>0</v>
      </c>
      <c r="H146" s="1">
        <v>0</v>
      </c>
      <c r="I146" s="1">
        <v>9225638</v>
      </c>
      <c r="J146" s="1">
        <v>0</v>
      </c>
      <c r="K146" s="1">
        <v>26069168</v>
      </c>
      <c r="L146" s="1">
        <v>0</v>
      </c>
      <c r="M146" s="1">
        <v>4125000</v>
      </c>
      <c r="N146" s="1">
        <v>0</v>
      </c>
      <c r="O146" s="1">
        <v>1000000</v>
      </c>
      <c r="P146" s="1">
        <v>4697928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1848000</v>
      </c>
      <c r="W146" s="1">
        <v>0</v>
      </c>
      <c r="X146" s="1">
        <v>22370043</v>
      </c>
      <c r="Y146" s="1">
        <v>4000000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3691230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7785139</v>
      </c>
      <c r="AO146" s="1">
        <v>0</v>
      </c>
      <c r="AP146" s="1">
        <v>0</v>
      </c>
      <c r="AQ146" s="1">
        <v>0</v>
      </c>
      <c r="AR146" s="1">
        <v>113584691</v>
      </c>
      <c r="AS146" s="1">
        <v>16777792</v>
      </c>
      <c r="AT146" s="1">
        <v>96806899</v>
      </c>
      <c r="AU146" s="1">
        <v>22716938</v>
      </c>
      <c r="AV146" s="1">
        <v>3407541</v>
      </c>
      <c r="AW146" s="1">
        <f t="shared" si="12"/>
        <v>139709170</v>
      </c>
    </row>
    <row r="147" spans="1:49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19826629</v>
      </c>
      <c r="G147" s="1">
        <v>0</v>
      </c>
      <c r="H147" s="1">
        <v>0</v>
      </c>
      <c r="I147" s="1">
        <v>5258740</v>
      </c>
      <c r="J147" s="1">
        <v>0</v>
      </c>
      <c r="K147" s="1">
        <v>20519653</v>
      </c>
      <c r="L147" s="1">
        <v>0</v>
      </c>
      <c r="M147" s="1">
        <v>4620000</v>
      </c>
      <c r="N147" s="1">
        <v>0</v>
      </c>
      <c r="O147" s="1">
        <v>1000000</v>
      </c>
      <c r="P147" s="1">
        <v>4038384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1848000</v>
      </c>
      <c r="W147" s="1">
        <v>0</v>
      </c>
      <c r="X147" s="1">
        <v>28687815</v>
      </c>
      <c r="Y147" s="1">
        <v>4000000</v>
      </c>
      <c r="Z147" s="1">
        <v>2878059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3173016</v>
      </c>
      <c r="AH147" s="1">
        <v>3670854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16909318</v>
      </c>
      <c r="AO147" s="1">
        <v>0</v>
      </c>
      <c r="AP147" s="1">
        <v>0</v>
      </c>
      <c r="AQ147" s="1">
        <v>0</v>
      </c>
      <c r="AR147" s="1">
        <v>116430468</v>
      </c>
      <c r="AS147" s="1">
        <v>32160745</v>
      </c>
      <c r="AT147" s="1">
        <v>84269723</v>
      </c>
      <c r="AU147" s="1">
        <v>22551923</v>
      </c>
      <c r="AV147" s="1">
        <v>3382788</v>
      </c>
      <c r="AW147" s="1">
        <f t="shared" si="12"/>
        <v>142365179</v>
      </c>
    </row>
    <row r="148" spans="1:49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0</v>
      </c>
      <c r="G148" s="1">
        <v>5638115</v>
      </c>
      <c r="H148" s="1">
        <v>2931820</v>
      </c>
      <c r="I148" s="1">
        <v>2536958</v>
      </c>
      <c r="J148" s="1">
        <v>0</v>
      </c>
      <c r="K148" s="1">
        <v>6513150</v>
      </c>
      <c r="L148" s="1">
        <v>0</v>
      </c>
      <c r="M148" s="1">
        <v>0</v>
      </c>
      <c r="N148" s="1">
        <v>11572430</v>
      </c>
      <c r="O148" s="1">
        <v>2000000</v>
      </c>
      <c r="P148" s="1">
        <v>4510492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8781011</v>
      </c>
      <c r="Y148" s="1">
        <v>4000000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4674901</v>
      </c>
      <c r="AG148" s="1">
        <v>0</v>
      </c>
      <c r="AH148" s="1">
        <v>5506281</v>
      </c>
      <c r="AI148" s="1">
        <v>0</v>
      </c>
      <c r="AJ148" s="1">
        <v>0</v>
      </c>
      <c r="AK148" s="1">
        <v>0</v>
      </c>
      <c r="AL148" s="1">
        <v>3608118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62273276</v>
      </c>
      <c r="AS148" s="1">
        <v>10590849</v>
      </c>
      <c r="AT148" s="1">
        <v>51682427</v>
      </c>
      <c r="AU148" s="1">
        <v>11353399</v>
      </c>
      <c r="AV148" s="1">
        <v>1703010</v>
      </c>
      <c r="AW148" s="1">
        <f t="shared" si="12"/>
        <v>75329685</v>
      </c>
    </row>
    <row r="149" spans="1:49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30415106</v>
      </c>
      <c r="G149" s="1">
        <v>0</v>
      </c>
      <c r="H149" s="1">
        <v>0</v>
      </c>
      <c r="I149" s="1">
        <v>26725090</v>
      </c>
      <c r="J149" s="1">
        <v>0</v>
      </c>
      <c r="K149" s="1">
        <v>33139614</v>
      </c>
      <c r="L149" s="1">
        <v>0</v>
      </c>
      <c r="M149" s="1">
        <v>5500000</v>
      </c>
      <c r="N149" s="1">
        <v>0</v>
      </c>
      <c r="O149" s="1">
        <v>1000000</v>
      </c>
      <c r="P149" s="1">
        <v>4776404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1848000</v>
      </c>
      <c r="W149" s="1">
        <v>0</v>
      </c>
      <c r="X149" s="1">
        <v>8007034</v>
      </c>
      <c r="Y149" s="1">
        <v>4000000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3892267</v>
      </c>
      <c r="AF149" s="1">
        <v>0</v>
      </c>
      <c r="AG149" s="1">
        <v>3752889</v>
      </c>
      <c r="AH149" s="1">
        <v>3670854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4094060</v>
      </c>
      <c r="AO149" s="1">
        <v>0</v>
      </c>
      <c r="AP149" s="1">
        <v>0</v>
      </c>
      <c r="AQ149" s="1">
        <v>0</v>
      </c>
      <c r="AR149" s="1">
        <v>130821318</v>
      </c>
      <c r="AS149" s="1">
        <v>42991767</v>
      </c>
      <c r="AT149" s="1">
        <v>87829551</v>
      </c>
      <c r="AU149" s="1">
        <v>25430093</v>
      </c>
      <c r="AV149" s="1">
        <v>3814514</v>
      </c>
      <c r="AW149" s="1">
        <f t="shared" si="12"/>
        <v>160065925</v>
      </c>
    </row>
    <row r="150" spans="1:49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29795367</v>
      </c>
      <c r="G150" s="1">
        <v>0</v>
      </c>
      <c r="H150" s="1">
        <v>0</v>
      </c>
      <c r="I150" s="1">
        <v>9562192</v>
      </c>
      <c r="J150" s="1">
        <v>0</v>
      </c>
      <c r="K150" s="1">
        <v>26814317</v>
      </c>
      <c r="L150" s="1">
        <v>0</v>
      </c>
      <c r="M150" s="1">
        <v>4125000</v>
      </c>
      <c r="N150" s="1">
        <v>0</v>
      </c>
      <c r="O150" s="1">
        <v>1000000</v>
      </c>
      <c r="P150" s="1">
        <v>5055916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1848000</v>
      </c>
      <c r="W150" s="1">
        <v>0</v>
      </c>
      <c r="X150" s="1">
        <v>17190192</v>
      </c>
      <c r="Y150" s="1">
        <v>4000000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3972505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7511647</v>
      </c>
      <c r="AO150" s="1">
        <v>0</v>
      </c>
      <c r="AP150" s="1">
        <v>0</v>
      </c>
      <c r="AQ150" s="1">
        <v>0</v>
      </c>
      <c r="AR150" s="1">
        <v>110875136</v>
      </c>
      <c r="AS150" s="1">
        <v>17212741</v>
      </c>
      <c r="AT150" s="1">
        <v>93662395</v>
      </c>
      <c r="AU150" s="1">
        <v>22175027</v>
      </c>
      <c r="AV150" s="1">
        <v>3326254</v>
      </c>
      <c r="AW150" s="1">
        <f t="shared" si="12"/>
        <v>136376417</v>
      </c>
    </row>
    <row r="151" spans="1:49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17775946</v>
      </c>
      <c r="G151" s="1">
        <v>0</v>
      </c>
      <c r="H151" s="1">
        <v>0</v>
      </c>
      <c r="I151" s="1">
        <v>3253344</v>
      </c>
      <c r="J151" s="1">
        <v>0</v>
      </c>
      <c r="K151" s="1">
        <v>16335309</v>
      </c>
      <c r="L151" s="1">
        <v>0</v>
      </c>
      <c r="M151" s="1">
        <v>4620000</v>
      </c>
      <c r="N151" s="1">
        <v>0</v>
      </c>
      <c r="O151" s="1">
        <v>1000000</v>
      </c>
      <c r="P151" s="1">
        <v>3320646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12532753</v>
      </c>
      <c r="Y151" s="1">
        <v>4000000</v>
      </c>
      <c r="Z151" s="1">
        <v>2580379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2609079</v>
      </c>
      <c r="AH151" s="1">
        <v>1835427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13289887</v>
      </c>
      <c r="AO151" s="1">
        <v>0</v>
      </c>
      <c r="AP151" s="1">
        <v>0</v>
      </c>
      <c r="AQ151" s="1">
        <v>0</v>
      </c>
      <c r="AR151" s="1">
        <v>83152770</v>
      </c>
      <c r="AS151" s="1">
        <v>41201848</v>
      </c>
      <c r="AT151" s="1">
        <v>41950922</v>
      </c>
      <c r="AU151" s="1">
        <v>16263469</v>
      </c>
      <c r="AV151" s="1">
        <v>2439520</v>
      </c>
      <c r="AW151" s="1">
        <f t="shared" si="12"/>
        <v>101855759</v>
      </c>
    </row>
    <row r="152" spans="1:49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19030540</v>
      </c>
      <c r="G152" s="1">
        <v>0</v>
      </c>
      <c r="H152" s="1">
        <v>0</v>
      </c>
      <c r="I152" s="1">
        <v>2582487</v>
      </c>
      <c r="J152" s="1">
        <v>0</v>
      </c>
      <c r="K152" s="1">
        <v>18483865</v>
      </c>
      <c r="L152" s="1">
        <v>0</v>
      </c>
      <c r="M152" s="1">
        <v>4620000</v>
      </c>
      <c r="N152" s="1">
        <v>0</v>
      </c>
      <c r="O152" s="1">
        <v>1000000</v>
      </c>
      <c r="P152" s="1">
        <v>3759753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13927807</v>
      </c>
      <c r="Y152" s="1">
        <v>4000000</v>
      </c>
      <c r="Z152" s="1">
        <v>2762498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2954092</v>
      </c>
      <c r="AH152" s="1">
        <v>3670854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15039015</v>
      </c>
      <c r="AO152" s="1">
        <v>0</v>
      </c>
      <c r="AP152" s="1">
        <v>0</v>
      </c>
      <c r="AQ152" s="1">
        <v>0</v>
      </c>
      <c r="AR152" s="1">
        <v>91830911</v>
      </c>
      <c r="AS152" s="1">
        <v>46001630</v>
      </c>
      <c r="AT152" s="1">
        <v>45829281</v>
      </c>
      <c r="AU152" s="1">
        <v>17632011</v>
      </c>
      <c r="AV152" s="1">
        <v>2644802</v>
      </c>
      <c r="AW152" s="1">
        <f t="shared" si="12"/>
        <v>112107724</v>
      </c>
    </row>
    <row r="153" spans="1:49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18748383</v>
      </c>
      <c r="G153" s="1">
        <v>0</v>
      </c>
      <c r="H153" s="1">
        <v>0</v>
      </c>
      <c r="I153" s="1">
        <v>2971476</v>
      </c>
      <c r="J153" s="1">
        <v>0</v>
      </c>
      <c r="K153" s="1">
        <v>17559364</v>
      </c>
      <c r="L153" s="1">
        <v>0</v>
      </c>
      <c r="M153" s="1">
        <v>4620000</v>
      </c>
      <c r="N153" s="1">
        <v>0</v>
      </c>
      <c r="O153" s="1">
        <v>1000000</v>
      </c>
      <c r="P153" s="1">
        <v>3660999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13354741</v>
      </c>
      <c r="Y153" s="1">
        <v>4000000</v>
      </c>
      <c r="Z153" s="1">
        <v>2476230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2876498</v>
      </c>
      <c r="AH153" s="1">
        <v>1835427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13983442</v>
      </c>
      <c r="AO153" s="1">
        <v>0</v>
      </c>
      <c r="AP153" s="1">
        <v>0</v>
      </c>
      <c r="AQ153" s="1">
        <v>0</v>
      </c>
      <c r="AR153" s="1">
        <v>87086560</v>
      </c>
      <c r="AS153" s="1">
        <v>19084225</v>
      </c>
      <c r="AT153" s="1">
        <v>68002335</v>
      </c>
      <c r="AU153" s="1">
        <v>17050227</v>
      </c>
      <c r="AV153" s="1">
        <v>2557534</v>
      </c>
      <c r="AW153" s="1">
        <f t="shared" si="12"/>
        <v>106694321</v>
      </c>
    </row>
    <row r="154" spans="1:49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18685401</v>
      </c>
      <c r="G154" s="1">
        <v>0</v>
      </c>
      <c r="H154" s="1">
        <v>0</v>
      </c>
      <c r="I154" s="1">
        <v>3651601</v>
      </c>
      <c r="J154" s="1">
        <v>0</v>
      </c>
      <c r="K154" s="1">
        <v>19020428</v>
      </c>
      <c r="L154" s="1">
        <v>0</v>
      </c>
      <c r="M154" s="1">
        <v>4620000</v>
      </c>
      <c r="N154" s="1">
        <v>0</v>
      </c>
      <c r="O154" s="1">
        <v>1000000</v>
      </c>
      <c r="P154" s="1">
        <v>3638955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1848000</v>
      </c>
      <c r="W154" s="1">
        <v>0</v>
      </c>
      <c r="X154" s="1">
        <v>26560602</v>
      </c>
      <c r="Y154" s="1">
        <v>4000000</v>
      </c>
      <c r="Z154" s="1">
        <v>2712397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2859179</v>
      </c>
      <c r="AH154" s="1">
        <v>1835427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15482784</v>
      </c>
      <c r="AO154" s="1">
        <v>0</v>
      </c>
      <c r="AP154" s="1">
        <v>0</v>
      </c>
      <c r="AQ154" s="1">
        <v>0</v>
      </c>
      <c r="AR154" s="1">
        <v>105914774</v>
      </c>
      <c r="AS154" s="1">
        <v>42771517</v>
      </c>
      <c r="AT154" s="1">
        <v>63143257</v>
      </c>
      <c r="AU154" s="1">
        <v>20815869</v>
      </c>
      <c r="AV154" s="1">
        <v>3122380</v>
      </c>
      <c r="AW154" s="1">
        <f t="shared" si="12"/>
        <v>129853023</v>
      </c>
    </row>
    <row r="155" spans="1:49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28407251</v>
      </c>
      <c r="G155" s="1">
        <v>0</v>
      </c>
      <c r="H155" s="1">
        <v>0</v>
      </c>
      <c r="I155" s="1">
        <v>10665646</v>
      </c>
      <c r="J155" s="1">
        <v>0</v>
      </c>
      <c r="K155" s="1">
        <v>25160581</v>
      </c>
      <c r="L155" s="1">
        <v>0</v>
      </c>
      <c r="M155" s="1">
        <v>5500000</v>
      </c>
      <c r="N155" s="1">
        <v>0</v>
      </c>
      <c r="O155" s="1">
        <v>1000000</v>
      </c>
      <c r="P155" s="1">
        <v>4570076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34351692</v>
      </c>
      <c r="Y155" s="1">
        <v>4000000</v>
      </c>
      <c r="Z155" s="1">
        <v>4123633</v>
      </c>
      <c r="AA155" s="1">
        <v>0</v>
      </c>
      <c r="AB155" s="1">
        <v>0</v>
      </c>
      <c r="AC155" s="1">
        <v>0</v>
      </c>
      <c r="AD155" s="1">
        <v>0</v>
      </c>
      <c r="AE155" s="1">
        <v>4459102</v>
      </c>
      <c r="AF155" s="1">
        <v>0</v>
      </c>
      <c r="AG155" s="1">
        <v>3590773</v>
      </c>
      <c r="AH155" s="1">
        <v>1835427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25416731</v>
      </c>
      <c r="AO155" s="1">
        <v>0</v>
      </c>
      <c r="AP155" s="1">
        <v>0</v>
      </c>
      <c r="AQ155" s="1">
        <v>0</v>
      </c>
      <c r="AR155" s="1">
        <v>153080912</v>
      </c>
      <c r="AS155" s="1">
        <v>52103083</v>
      </c>
      <c r="AT155" s="1">
        <v>100977829</v>
      </c>
      <c r="AU155" s="1">
        <v>27637511</v>
      </c>
      <c r="AV155" s="1">
        <v>4145627</v>
      </c>
      <c r="AW155" s="1">
        <f t="shared" si="12"/>
        <v>184864050</v>
      </c>
    </row>
    <row r="156" spans="1:49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24522542</v>
      </c>
      <c r="G156" s="1">
        <v>0</v>
      </c>
      <c r="H156" s="1">
        <v>0</v>
      </c>
      <c r="I156" s="1">
        <v>0</v>
      </c>
      <c r="J156" s="1">
        <v>0</v>
      </c>
      <c r="K156" s="1">
        <v>19746122</v>
      </c>
      <c r="L156" s="1">
        <v>0</v>
      </c>
      <c r="M156" s="1">
        <v>5500000</v>
      </c>
      <c r="N156" s="1">
        <v>0</v>
      </c>
      <c r="O156" s="1">
        <v>1000000</v>
      </c>
      <c r="P156" s="1">
        <v>3490822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1848000</v>
      </c>
      <c r="W156" s="1">
        <v>0</v>
      </c>
      <c r="X156" s="1">
        <v>5508154</v>
      </c>
      <c r="Y156" s="1">
        <v>4000000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2742789</v>
      </c>
      <c r="AH156" s="1">
        <v>1835427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4579271</v>
      </c>
      <c r="AO156" s="1">
        <v>0</v>
      </c>
      <c r="AP156" s="1">
        <v>0</v>
      </c>
      <c r="AQ156" s="1">
        <v>0</v>
      </c>
      <c r="AR156" s="1">
        <v>74773127</v>
      </c>
      <c r="AS156" s="1">
        <v>24617974</v>
      </c>
      <c r="AT156" s="1">
        <v>50155153</v>
      </c>
      <c r="AU156" s="1">
        <v>14587540</v>
      </c>
      <c r="AV156" s="1">
        <v>2188131</v>
      </c>
      <c r="AW156" s="1">
        <f t="shared" si="12"/>
        <v>91548798</v>
      </c>
    </row>
    <row r="157" spans="1:49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26860421</v>
      </c>
      <c r="G157" s="1">
        <v>0</v>
      </c>
      <c r="H157" s="1">
        <v>0</v>
      </c>
      <c r="I157" s="1">
        <v>5551472</v>
      </c>
      <c r="J157" s="1">
        <v>0</v>
      </c>
      <c r="K157" s="1">
        <v>26200362</v>
      </c>
      <c r="L157" s="1">
        <v>0</v>
      </c>
      <c r="M157" s="1">
        <v>5500000</v>
      </c>
      <c r="N157" s="1">
        <v>0</v>
      </c>
      <c r="O157" s="1">
        <v>1000000</v>
      </c>
      <c r="P157" s="1">
        <v>4309080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1848000</v>
      </c>
      <c r="W157" s="1">
        <v>0</v>
      </c>
      <c r="X157" s="1">
        <v>6501842</v>
      </c>
      <c r="Y157" s="1">
        <v>4000000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3385705</v>
      </c>
      <c r="AH157" s="1">
        <v>1835427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4262851</v>
      </c>
      <c r="AO157" s="1">
        <v>0</v>
      </c>
      <c r="AP157" s="1">
        <v>0</v>
      </c>
      <c r="AQ157" s="1">
        <v>0</v>
      </c>
      <c r="AR157" s="1">
        <v>91255160</v>
      </c>
      <c r="AS157" s="1">
        <v>45138168</v>
      </c>
      <c r="AT157" s="1">
        <v>46116992</v>
      </c>
      <c r="AU157" s="1">
        <v>17883947</v>
      </c>
      <c r="AV157" s="1">
        <v>2682592</v>
      </c>
      <c r="AW157" s="1">
        <f t="shared" si="12"/>
        <v>111821699</v>
      </c>
    </row>
    <row r="158" spans="1:49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17947256</v>
      </c>
      <c r="G158" s="1">
        <v>0</v>
      </c>
      <c r="H158" s="1">
        <v>0</v>
      </c>
      <c r="I158" s="1">
        <v>14402995</v>
      </c>
      <c r="J158" s="1">
        <v>0</v>
      </c>
      <c r="K158" s="1">
        <v>17228333</v>
      </c>
      <c r="L158" s="1">
        <v>0</v>
      </c>
      <c r="M158" s="1">
        <v>4620000</v>
      </c>
      <c r="N158" s="1">
        <v>0</v>
      </c>
      <c r="O158" s="1">
        <v>1000000</v>
      </c>
      <c r="P158" s="1">
        <v>3380604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1848000</v>
      </c>
      <c r="W158" s="1">
        <v>0</v>
      </c>
      <c r="X158" s="1">
        <v>23987405</v>
      </c>
      <c r="Y158" s="1">
        <v>4000000</v>
      </c>
      <c r="Z158" s="1">
        <v>2605247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2656189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13304449</v>
      </c>
      <c r="AO158" s="1">
        <v>0</v>
      </c>
      <c r="AP158" s="1">
        <v>0</v>
      </c>
      <c r="AQ158" s="1">
        <v>0</v>
      </c>
      <c r="AR158" s="1">
        <v>106980478</v>
      </c>
      <c r="AS158" s="1">
        <v>39700565</v>
      </c>
      <c r="AT158" s="1">
        <v>67279913</v>
      </c>
      <c r="AU158" s="1">
        <v>21396096</v>
      </c>
      <c r="AV158" s="1">
        <v>3209414</v>
      </c>
      <c r="AW158" s="1">
        <f t="shared" si="12"/>
        <v>131585988</v>
      </c>
    </row>
    <row r="159" spans="1:49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18806326</v>
      </c>
      <c r="G159" s="1">
        <v>0</v>
      </c>
      <c r="H159" s="1">
        <v>0</v>
      </c>
      <c r="I159" s="1">
        <v>4915162</v>
      </c>
      <c r="J159" s="1">
        <v>0</v>
      </c>
      <c r="K159" s="1">
        <v>17682468</v>
      </c>
      <c r="L159" s="1">
        <v>0</v>
      </c>
      <c r="M159" s="1">
        <v>3465000</v>
      </c>
      <c r="N159" s="1">
        <v>0</v>
      </c>
      <c r="O159" s="1">
        <v>1000000</v>
      </c>
      <c r="P159" s="1">
        <v>3681279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1848000</v>
      </c>
      <c r="W159" s="1">
        <v>0</v>
      </c>
      <c r="X159" s="1">
        <v>20065189</v>
      </c>
      <c r="Y159" s="1">
        <v>4000000</v>
      </c>
      <c r="Z159" s="1">
        <v>2729951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2892433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14266607</v>
      </c>
      <c r="AO159" s="1">
        <v>0</v>
      </c>
      <c r="AP159" s="1">
        <v>0</v>
      </c>
      <c r="AQ159" s="1">
        <v>0</v>
      </c>
      <c r="AR159" s="1">
        <v>95352415</v>
      </c>
      <c r="AS159" s="1">
        <v>32940738</v>
      </c>
      <c r="AT159" s="1">
        <v>62411677</v>
      </c>
      <c r="AU159" s="1">
        <v>19070483</v>
      </c>
      <c r="AV159" s="1">
        <v>2860572</v>
      </c>
      <c r="AW159" s="1">
        <f t="shared" si="12"/>
        <v>117283470</v>
      </c>
    </row>
    <row r="160" spans="1:49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18229414</v>
      </c>
      <c r="G160" s="1">
        <v>0</v>
      </c>
      <c r="H160" s="1">
        <v>0</v>
      </c>
      <c r="I160" s="1">
        <v>0</v>
      </c>
      <c r="J160" s="1">
        <v>0</v>
      </c>
      <c r="K160" s="1">
        <v>16379238</v>
      </c>
      <c r="L160" s="1">
        <v>0</v>
      </c>
      <c r="M160" s="1">
        <v>4620000</v>
      </c>
      <c r="N160" s="1">
        <v>0</v>
      </c>
      <c r="O160" s="1">
        <v>1000000</v>
      </c>
      <c r="P160" s="1">
        <v>3479359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1848000</v>
      </c>
      <c r="W160" s="1">
        <v>0</v>
      </c>
      <c r="X160" s="1">
        <v>12848565</v>
      </c>
      <c r="Y160" s="1">
        <v>4000000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2733783</v>
      </c>
      <c r="AH160" s="1">
        <v>1835427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7663357</v>
      </c>
      <c r="AO160" s="1">
        <v>0</v>
      </c>
      <c r="AP160" s="1">
        <v>0</v>
      </c>
      <c r="AQ160" s="1">
        <v>0</v>
      </c>
      <c r="AR160" s="1">
        <v>74637143</v>
      </c>
      <c r="AS160" s="1">
        <v>12353422</v>
      </c>
      <c r="AT160" s="1">
        <v>62283721</v>
      </c>
      <c r="AU160" s="1">
        <v>14560343</v>
      </c>
      <c r="AV160" s="1">
        <v>2184051</v>
      </c>
      <c r="AW160" s="1">
        <f t="shared" si="12"/>
        <v>91381537</v>
      </c>
    </row>
    <row r="161" spans="1:49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18284837</v>
      </c>
      <c r="G161" s="1">
        <v>0</v>
      </c>
      <c r="H161" s="1">
        <v>0</v>
      </c>
      <c r="I161" s="1">
        <v>3938133</v>
      </c>
      <c r="J161" s="1">
        <v>0</v>
      </c>
      <c r="K161" s="1">
        <v>17505689</v>
      </c>
      <c r="L161" s="1">
        <v>0</v>
      </c>
      <c r="M161" s="1">
        <v>4620000</v>
      </c>
      <c r="N161" s="1">
        <v>0</v>
      </c>
      <c r="O161" s="1">
        <v>1000000</v>
      </c>
      <c r="P161" s="1">
        <v>3498757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1848000</v>
      </c>
      <c r="W161" s="1">
        <v>0</v>
      </c>
      <c r="X161" s="1">
        <v>13274399</v>
      </c>
      <c r="Y161" s="1">
        <v>4000000</v>
      </c>
      <c r="Z161" s="1">
        <v>2654251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2749024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14448499</v>
      </c>
      <c r="AO161" s="1">
        <v>0</v>
      </c>
      <c r="AP161" s="1">
        <v>0</v>
      </c>
      <c r="AQ161" s="1">
        <v>0</v>
      </c>
      <c r="AR161" s="1">
        <v>87821589</v>
      </c>
      <c r="AS161" s="1">
        <v>15890623</v>
      </c>
      <c r="AT161" s="1">
        <v>71930966</v>
      </c>
      <c r="AU161" s="1">
        <v>17564318</v>
      </c>
      <c r="AV161" s="1">
        <v>2634648</v>
      </c>
      <c r="AW161" s="1">
        <f t="shared" si="12"/>
        <v>108020555</v>
      </c>
    </row>
    <row r="162" spans="1:49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28374500</v>
      </c>
      <c r="G162" s="1">
        <v>0</v>
      </c>
      <c r="H162" s="1">
        <v>0</v>
      </c>
      <c r="I162" s="1">
        <v>0</v>
      </c>
      <c r="J162" s="1">
        <v>0</v>
      </c>
      <c r="K162" s="1">
        <v>24839465</v>
      </c>
      <c r="L162" s="1">
        <v>0</v>
      </c>
      <c r="M162" s="1">
        <v>4125000</v>
      </c>
      <c r="N162" s="1">
        <v>0</v>
      </c>
      <c r="O162" s="1">
        <v>1000000</v>
      </c>
      <c r="P162" s="1">
        <v>4558613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1848000</v>
      </c>
      <c r="W162" s="1">
        <v>0</v>
      </c>
      <c r="X162" s="1">
        <v>8702061</v>
      </c>
      <c r="Y162" s="1">
        <v>4000000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3581768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5584585</v>
      </c>
      <c r="AO162" s="1">
        <v>0</v>
      </c>
      <c r="AP162" s="1">
        <v>0</v>
      </c>
      <c r="AQ162" s="1">
        <v>0</v>
      </c>
      <c r="AR162" s="1">
        <v>86613992</v>
      </c>
      <c r="AS162" s="1">
        <v>20704013</v>
      </c>
      <c r="AT162" s="1">
        <v>65909979</v>
      </c>
      <c r="AU162" s="1">
        <v>17322798</v>
      </c>
      <c r="AV162" s="1">
        <v>2598420</v>
      </c>
      <c r="AW162" s="1">
        <f t="shared" si="12"/>
        <v>106535210</v>
      </c>
    </row>
    <row r="163" spans="1:49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18511571</v>
      </c>
      <c r="G163" s="1">
        <v>0</v>
      </c>
      <c r="H163" s="1">
        <v>0</v>
      </c>
      <c r="I163" s="1">
        <v>4564066</v>
      </c>
      <c r="J163" s="1">
        <v>0</v>
      </c>
      <c r="K163" s="1">
        <v>17307717</v>
      </c>
      <c r="L163" s="1">
        <v>0</v>
      </c>
      <c r="M163" s="1">
        <v>4620000</v>
      </c>
      <c r="N163" s="1">
        <v>0</v>
      </c>
      <c r="O163" s="1">
        <v>1000000</v>
      </c>
      <c r="P163" s="1">
        <v>3578114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1848000</v>
      </c>
      <c r="W163" s="1">
        <v>0</v>
      </c>
      <c r="X163" s="1">
        <v>24703916</v>
      </c>
      <c r="Y163" s="1">
        <v>4000000</v>
      </c>
      <c r="Z163" s="1">
        <v>2687164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2811376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13936482</v>
      </c>
      <c r="AO163" s="1">
        <v>0</v>
      </c>
      <c r="AP163" s="1">
        <v>0</v>
      </c>
      <c r="AQ163" s="1">
        <v>0</v>
      </c>
      <c r="AR163" s="1">
        <v>99568406</v>
      </c>
      <c r="AS163" s="1">
        <v>34259587</v>
      </c>
      <c r="AT163" s="1">
        <v>65308819</v>
      </c>
      <c r="AU163" s="1">
        <v>19913681</v>
      </c>
      <c r="AV163" s="1">
        <v>2987052</v>
      </c>
      <c r="AW163" s="1">
        <f t="shared" si="12"/>
        <v>122469139</v>
      </c>
    </row>
    <row r="164" spans="1:49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27905917</v>
      </c>
      <c r="G164" s="1">
        <v>0</v>
      </c>
      <c r="H164" s="1">
        <v>0</v>
      </c>
      <c r="I164" s="1">
        <v>0</v>
      </c>
      <c r="J164" s="1">
        <v>0</v>
      </c>
      <c r="K164" s="1">
        <v>24310558</v>
      </c>
      <c r="L164" s="1">
        <v>1265000</v>
      </c>
      <c r="M164" s="1">
        <v>4125000</v>
      </c>
      <c r="N164" s="1">
        <v>0</v>
      </c>
      <c r="O164" s="1">
        <v>1000000</v>
      </c>
      <c r="P164" s="1">
        <v>4394609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1848000</v>
      </c>
      <c r="W164" s="1">
        <v>0</v>
      </c>
      <c r="X164" s="1">
        <v>13386093</v>
      </c>
      <c r="Y164" s="1">
        <v>4000000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3452907</v>
      </c>
      <c r="AH164" s="1">
        <v>3670854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5234029</v>
      </c>
      <c r="AO164" s="1">
        <v>0</v>
      </c>
      <c r="AP164" s="1">
        <v>0</v>
      </c>
      <c r="AQ164" s="1">
        <v>0</v>
      </c>
      <c r="AR164" s="1">
        <v>94592967</v>
      </c>
      <c r="AS164" s="1">
        <v>26053413</v>
      </c>
      <c r="AT164" s="1">
        <v>68539554</v>
      </c>
      <c r="AU164" s="1">
        <v>17931423</v>
      </c>
      <c r="AV164" s="1">
        <v>2689713</v>
      </c>
      <c r="AW164" s="1">
        <f t="shared" si="12"/>
        <v>115214103</v>
      </c>
    </row>
    <row r="165" spans="1:49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23648600</v>
      </c>
      <c r="G165" s="1">
        <v>0</v>
      </c>
      <c r="H165" s="1">
        <v>0</v>
      </c>
      <c r="I165" s="1">
        <v>0</v>
      </c>
      <c r="J165" s="1">
        <v>0</v>
      </c>
      <c r="K165" s="1">
        <v>22901492</v>
      </c>
      <c r="L165" s="1">
        <v>0</v>
      </c>
      <c r="M165" s="1">
        <v>5322581</v>
      </c>
      <c r="N165" s="1">
        <v>0</v>
      </c>
      <c r="O165" s="1">
        <v>967742</v>
      </c>
      <c r="P165" s="1">
        <v>4117173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1848000</v>
      </c>
      <c r="W165" s="1">
        <v>0</v>
      </c>
      <c r="X165" s="1">
        <v>6213653</v>
      </c>
      <c r="Y165" s="1">
        <v>3870968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3234921</v>
      </c>
      <c r="AH165" s="1">
        <v>1776220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8234345</v>
      </c>
      <c r="AO165" s="1">
        <v>0</v>
      </c>
      <c r="AP165" s="1">
        <v>0</v>
      </c>
      <c r="AQ165" s="1">
        <v>0</v>
      </c>
      <c r="AR165" s="1">
        <v>82135695</v>
      </c>
      <c r="AS165" s="1">
        <v>34757144</v>
      </c>
      <c r="AT165" s="1">
        <v>47378551</v>
      </c>
      <c r="AU165" s="1">
        <v>16071895</v>
      </c>
      <c r="AV165" s="1">
        <v>2410784</v>
      </c>
      <c r="AW165" s="1">
        <f t="shared" si="12"/>
        <v>100618374</v>
      </c>
    </row>
    <row r="166" spans="1:49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17813735</v>
      </c>
      <c r="G166" s="1">
        <v>0</v>
      </c>
      <c r="H166" s="1">
        <v>0</v>
      </c>
      <c r="I166" s="1">
        <v>6634585</v>
      </c>
      <c r="J166" s="1">
        <v>0</v>
      </c>
      <c r="K166" s="1">
        <v>16063775</v>
      </c>
      <c r="L166" s="1">
        <v>2530000</v>
      </c>
      <c r="M166" s="1">
        <v>-3465000</v>
      </c>
      <c r="N166" s="1">
        <v>0</v>
      </c>
      <c r="O166" s="1">
        <v>1000000</v>
      </c>
      <c r="P166" s="1">
        <v>3333871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1848000</v>
      </c>
      <c r="W166" s="1">
        <v>0</v>
      </c>
      <c r="X166" s="1">
        <v>11181712</v>
      </c>
      <c r="Y166" s="1">
        <v>4000000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2619470</v>
      </c>
      <c r="AH166" s="1">
        <v>1835427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7750902</v>
      </c>
      <c r="AO166" s="1">
        <v>0</v>
      </c>
      <c r="AP166" s="1">
        <v>0</v>
      </c>
      <c r="AQ166" s="1">
        <v>0</v>
      </c>
      <c r="AR166" s="1">
        <v>73146477</v>
      </c>
      <c r="AS166" s="1">
        <v>26999150</v>
      </c>
      <c r="AT166" s="1">
        <v>46147327</v>
      </c>
      <c r="AU166" s="1">
        <v>13756210</v>
      </c>
      <c r="AV166" s="1">
        <v>2063432</v>
      </c>
      <c r="AW166" s="1">
        <f t="shared" si="12"/>
        <v>88966119</v>
      </c>
    </row>
    <row r="167" spans="1:49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7676287</v>
      </c>
      <c r="G167" s="1">
        <v>0</v>
      </c>
      <c r="H167" s="1">
        <v>0</v>
      </c>
      <c r="I167" s="1">
        <v>0</v>
      </c>
      <c r="J167" s="1">
        <v>0</v>
      </c>
      <c r="K167" s="1">
        <v>7041795</v>
      </c>
      <c r="L167" s="1">
        <v>0</v>
      </c>
      <c r="M167" s="1">
        <v>1453065</v>
      </c>
      <c r="N167" s="1">
        <v>0</v>
      </c>
      <c r="O167" s="1">
        <v>419355</v>
      </c>
      <c r="P167" s="1">
        <v>1470179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1848000</v>
      </c>
      <c r="W167" s="1">
        <v>0</v>
      </c>
      <c r="X167" s="1">
        <v>4792851</v>
      </c>
      <c r="Y167" s="1">
        <v>1677419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1155141</v>
      </c>
      <c r="AH167" s="1">
        <v>1835427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3051710</v>
      </c>
      <c r="AO167" s="1">
        <v>0</v>
      </c>
      <c r="AP167" s="1">
        <v>0</v>
      </c>
      <c r="AQ167" s="1">
        <v>0</v>
      </c>
      <c r="AR167" s="1">
        <v>32421229</v>
      </c>
      <c r="AS167" s="1">
        <v>27125483</v>
      </c>
      <c r="AT167" s="1">
        <v>5295746</v>
      </c>
      <c r="AU167" s="1">
        <v>6117160</v>
      </c>
      <c r="AV167" s="1">
        <v>917574</v>
      </c>
      <c r="AW167" s="1">
        <f t="shared" si="12"/>
        <v>39455963</v>
      </c>
    </row>
    <row r="168" spans="1:49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26205412</v>
      </c>
      <c r="G168" s="1">
        <v>0</v>
      </c>
      <c r="H168" s="1">
        <v>0</v>
      </c>
      <c r="I168" s="1">
        <v>10198490</v>
      </c>
      <c r="J168" s="1">
        <v>0</v>
      </c>
      <c r="K168" s="1">
        <v>24704993</v>
      </c>
      <c r="L168" s="1">
        <v>0</v>
      </c>
      <c r="M168" s="1">
        <v>4125000</v>
      </c>
      <c r="N168" s="1">
        <v>0</v>
      </c>
      <c r="O168" s="1">
        <v>1000000</v>
      </c>
      <c r="P168" s="1">
        <v>4079826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1848000</v>
      </c>
      <c r="W168" s="1">
        <v>0</v>
      </c>
      <c r="X168" s="1">
        <v>8751063</v>
      </c>
      <c r="Y168" s="1">
        <v>4000000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3892267</v>
      </c>
      <c r="AF168" s="1">
        <v>0</v>
      </c>
      <c r="AG168" s="1">
        <v>3205578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5227794</v>
      </c>
      <c r="AO168" s="1">
        <v>0</v>
      </c>
      <c r="AP168" s="1">
        <v>0</v>
      </c>
      <c r="AQ168" s="1">
        <v>0</v>
      </c>
      <c r="AR168" s="1">
        <v>97238423</v>
      </c>
      <c r="AS168" s="1">
        <v>21615287</v>
      </c>
      <c r="AT168" s="1">
        <v>75623136</v>
      </c>
      <c r="AU168" s="1">
        <v>19447685</v>
      </c>
      <c r="AV168" s="1">
        <v>2917153</v>
      </c>
      <c r="AW168" s="1">
        <f t="shared" si="12"/>
        <v>119603261</v>
      </c>
    </row>
    <row r="169" spans="1:49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28530695</v>
      </c>
      <c r="G169" s="1">
        <v>0</v>
      </c>
      <c r="H169" s="1">
        <v>0</v>
      </c>
      <c r="I169" s="1">
        <v>0</v>
      </c>
      <c r="J169" s="1">
        <v>0</v>
      </c>
      <c r="K169" s="1">
        <v>28930823</v>
      </c>
      <c r="L169" s="1">
        <v>0</v>
      </c>
      <c r="M169" s="1">
        <v>5500000</v>
      </c>
      <c r="N169" s="1">
        <v>0</v>
      </c>
      <c r="O169" s="1">
        <v>1000000</v>
      </c>
      <c r="P169" s="1">
        <v>4613282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1848000</v>
      </c>
      <c r="W169" s="1">
        <v>0</v>
      </c>
      <c r="X169" s="1">
        <v>16865766</v>
      </c>
      <c r="Y169" s="1">
        <v>4000000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3624720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8435714</v>
      </c>
      <c r="AO169" s="1">
        <v>0</v>
      </c>
      <c r="AP169" s="1">
        <v>0</v>
      </c>
      <c r="AQ169" s="1">
        <v>0</v>
      </c>
      <c r="AR169" s="1">
        <v>103349000</v>
      </c>
      <c r="AS169" s="1">
        <v>43632559</v>
      </c>
      <c r="AT169" s="1">
        <v>59716441</v>
      </c>
      <c r="AU169" s="1">
        <v>20669800</v>
      </c>
      <c r="AV169" s="1">
        <v>3100470</v>
      </c>
      <c r="AW169" s="1">
        <f t="shared" si="12"/>
        <v>127119270</v>
      </c>
    </row>
    <row r="170" spans="1:49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0</v>
      </c>
      <c r="G170" s="1">
        <v>4758475</v>
      </c>
      <c r="H170" s="1">
        <v>2426823</v>
      </c>
      <c r="I170" s="1">
        <v>4764684</v>
      </c>
      <c r="J170" s="1">
        <v>0</v>
      </c>
      <c r="K170" s="1">
        <v>5101562</v>
      </c>
      <c r="L170" s="1">
        <v>0</v>
      </c>
      <c r="M170" s="1">
        <v>0</v>
      </c>
      <c r="N170" s="1">
        <v>11572430</v>
      </c>
      <c r="O170" s="1">
        <v>2000000</v>
      </c>
      <c r="P170" s="1">
        <v>3568857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8317751</v>
      </c>
      <c r="Y170" s="1">
        <v>4000000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4379203</v>
      </c>
      <c r="AG170" s="1">
        <v>0</v>
      </c>
      <c r="AH170" s="1">
        <v>5506281</v>
      </c>
      <c r="AI170" s="1">
        <v>1766538</v>
      </c>
      <c r="AJ170" s="1">
        <v>0</v>
      </c>
      <c r="AK170" s="1">
        <v>0</v>
      </c>
      <c r="AL170" s="1">
        <v>5082330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63244934</v>
      </c>
      <c r="AS170" s="1">
        <v>17717595</v>
      </c>
      <c r="AT170" s="1">
        <v>45527339</v>
      </c>
      <c r="AU170" s="1">
        <v>11547731</v>
      </c>
      <c r="AV170" s="1">
        <v>1732160</v>
      </c>
      <c r="AW170" s="1">
        <f t="shared" si="12"/>
        <v>76524825</v>
      </c>
    </row>
    <row r="171" spans="1:49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33299667</v>
      </c>
      <c r="G171" s="1">
        <v>0</v>
      </c>
      <c r="H171" s="1">
        <v>0</v>
      </c>
      <c r="I171" s="1">
        <v>6764168</v>
      </c>
      <c r="J171" s="1">
        <v>0</v>
      </c>
      <c r="K171" s="1">
        <v>34573712</v>
      </c>
      <c r="L171" s="1">
        <v>0</v>
      </c>
      <c r="M171" s="1">
        <v>0</v>
      </c>
      <c r="N171" s="1">
        <v>0</v>
      </c>
      <c r="O171" s="1">
        <v>1000000</v>
      </c>
      <c r="P171" s="1">
        <v>5472099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1848000</v>
      </c>
      <c r="W171" s="1">
        <v>0</v>
      </c>
      <c r="X171" s="1">
        <v>17935993</v>
      </c>
      <c r="Y171" s="1">
        <v>4000000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3892267</v>
      </c>
      <c r="AF171" s="1">
        <v>0</v>
      </c>
      <c r="AG171" s="1">
        <v>4299507</v>
      </c>
      <c r="AH171" s="1">
        <v>5506281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7035556</v>
      </c>
      <c r="AO171" s="1">
        <v>0</v>
      </c>
      <c r="AP171" s="1">
        <v>0</v>
      </c>
      <c r="AQ171" s="1">
        <v>0</v>
      </c>
      <c r="AR171" s="1">
        <v>125627250</v>
      </c>
      <c r="AS171" s="1">
        <v>45424668</v>
      </c>
      <c r="AT171" s="1">
        <v>80202582</v>
      </c>
      <c r="AU171" s="1">
        <v>24024194</v>
      </c>
      <c r="AV171" s="1">
        <v>3603629</v>
      </c>
      <c r="AW171" s="1">
        <f t="shared" si="12"/>
        <v>153255073</v>
      </c>
    </row>
    <row r="172" spans="1:49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0</v>
      </c>
      <c r="G172" s="1">
        <v>6803169</v>
      </c>
      <c r="H172" s="1">
        <v>3469616</v>
      </c>
      <c r="I172" s="1">
        <v>8161078</v>
      </c>
      <c r="J172" s="1">
        <v>0</v>
      </c>
      <c r="K172" s="1">
        <v>7601861</v>
      </c>
      <c r="L172" s="1">
        <v>0</v>
      </c>
      <c r="M172" s="1">
        <v>0</v>
      </c>
      <c r="N172" s="1">
        <v>11521166</v>
      </c>
      <c r="O172" s="1">
        <v>2000000</v>
      </c>
      <c r="P172" s="1">
        <v>5442536</v>
      </c>
      <c r="Q172" s="1">
        <v>0</v>
      </c>
      <c r="R172" s="1">
        <v>0</v>
      </c>
      <c r="S172" s="1">
        <v>0</v>
      </c>
      <c r="T172" s="1">
        <v>4373955</v>
      </c>
      <c r="U172" s="1">
        <v>0</v>
      </c>
      <c r="V172" s="1">
        <v>0</v>
      </c>
      <c r="W172" s="1">
        <v>0</v>
      </c>
      <c r="X172" s="1">
        <v>9644011</v>
      </c>
      <c r="Y172" s="1">
        <v>4000000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5225752</v>
      </c>
      <c r="AG172" s="1">
        <v>0</v>
      </c>
      <c r="AH172" s="1">
        <v>3670854</v>
      </c>
      <c r="AI172" s="1">
        <v>0</v>
      </c>
      <c r="AJ172" s="1">
        <v>0</v>
      </c>
      <c r="AK172" s="1">
        <v>0</v>
      </c>
      <c r="AL172" s="1">
        <v>6026642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77940640</v>
      </c>
      <c r="AS172" s="1">
        <v>15641395</v>
      </c>
      <c r="AT172" s="1">
        <v>62299245</v>
      </c>
      <c r="AU172" s="1">
        <v>13979166</v>
      </c>
      <c r="AV172" s="1">
        <v>2096875</v>
      </c>
      <c r="AW172" s="1">
        <f t="shared" si="12"/>
        <v>94016681</v>
      </c>
    </row>
    <row r="173" spans="1:49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0</v>
      </c>
      <c r="G173" s="1">
        <v>6049861</v>
      </c>
      <c r="H173" s="1">
        <v>3145928</v>
      </c>
      <c r="I173" s="1">
        <v>9353746</v>
      </c>
      <c r="J173" s="1">
        <v>0</v>
      </c>
      <c r="K173" s="1">
        <v>6804883</v>
      </c>
      <c r="L173" s="1">
        <v>0</v>
      </c>
      <c r="M173" s="1">
        <v>0</v>
      </c>
      <c r="N173" s="1">
        <v>11521166</v>
      </c>
      <c r="O173" s="1">
        <v>2000000</v>
      </c>
      <c r="P173" s="1">
        <v>4839888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9062006</v>
      </c>
      <c r="Y173" s="1">
        <v>4000000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4854259</v>
      </c>
      <c r="AG173" s="1">
        <v>0</v>
      </c>
      <c r="AH173" s="1">
        <v>1835427</v>
      </c>
      <c r="AI173" s="1">
        <v>0</v>
      </c>
      <c r="AJ173" s="1">
        <v>0</v>
      </c>
      <c r="AK173" s="1">
        <v>0</v>
      </c>
      <c r="AL173" s="1">
        <v>1870749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65337913</v>
      </c>
      <c r="AS173" s="1">
        <v>15606800</v>
      </c>
      <c r="AT173" s="1">
        <v>49731113</v>
      </c>
      <c r="AU173" s="1">
        <v>12700497</v>
      </c>
      <c r="AV173" s="1">
        <v>1905075</v>
      </c>
      <c r="AW173" s="1">
        <f t="shared" si="12"/>
        <v>79943485</v>
      </c>
    </row>
    <row r="174" spans="1:49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26527878</v>
      </c>
      <c r="G174" s="1">
        <v>0</v>
      </c>
      <c r="H174" s="1">
        <v>0</v>
      </c>
      <c r="I174" s="1">
        <v>17205637</v>
      </c>
      <c r="J174" s="1">
        <v>0</v>
      </c>
      <c r="K174" s="1">
        <v>30657110</v>
      </c>
      <c r="L174" s="1">
        <v>0</v>
      </c>
      <c r="M174" s="1">
        <v>0</v>
      </c>
      <c r="N174" s="1">
        <v>0</v>
      </c>
      <c r="O174" s="1">
        <v>1000000</v>
      </c>
      <c r="P174" s="1">
        <v>4192690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1848000</v>
      </c>
      <c r="W174" s="1">
        <v>0</v>
      </c>
      <c r="X174" s="1">
        <v>7388742</v>
      </c>
      <c r="Y174" s="1">
        <v>4000000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3401010</v>
      </c>
      <c r="AF174" s="1">
        <v>0</v>
      </c>
      <c r="AG174" s="1">
        <v>3294256</v>
      </c>
      <c r="AH174" s="1">
        <v>1835427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5814467</v>
      </c>
      <c r="AO174" s="1">
        <v>0</v>
      </c>
      <c r="AP174" s="1">
        <v>0</v>
      </c>
      <c r="AQ174" s="1">
        <v>0</v>
      </c>
      <c r="AR174" s="1">
        <v>107165217</v>
      </c>
      <c r="AS174" s="1">
        <v>49439371</v>
      </c>
      <c r="AT174" s="1">
        <v>57725846</v>
      </c>
      <c r="AU174" s="1">
        <v>21065958</v>
      </c>
      <c r="AV174" s="1">
        <v>3159894</v>
      </c>
      <c r="AW174" s="1">
        <f t="shared" si="12"/>
        <v>131391069</v>
      </c>
    </row>
    <row r="175" spans="1:49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0</v>
      </c>
      <c r="G175" s="1">
        <v>5862703</v>
      </c>
      <c r="H175" s="1">
        <v>3048606</v>
      </c>
      <c r="I175" s="1">
        <v>2585721</v>
      </c>
      <c r="J175" s="1">
        <v>0</v>
      </c>
      <c r="K175" s="1">
        <v>7574613</v>
      </c>
      <c r="L175" s="1">
        <v>0</v>
      </c>
      <c r="M175" s="1">
        <v>0</v>
      </c>
      <c r="N175" s="1">
        <v>11572430</v>
      </c>
      <c r="O175" s="1">
        <v>2000000</v>
      </c>
      <c r="P175" s="1">
        <v>4690163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2640000</v>
      </c>
      <c r="W175" s="1">
        <v>0</v>
      </c>
      <c r="X175" s="1">
        <v>3894851</v>
      </c>
      <c r="Y175" s="1">
        <v>4000000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1835427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49704514</v>
      </c>
      <c r="AS175" s="1">
        <v>9522204</v>
      </c>
      <c r="AT175" s="1">
        <v>40182310</v>
      </c>
      <c r="AU175" s="1">
        <v>9573817</v>
      </c>
      <c r="AV175" s="1">
        <v>1436073</v>
      </c>
      <c r="AW175" s="1">
        <f t="shared" si="12"/>
        <v>60714404</v>
      </c>
    </row>
    <row r="176" spans="1:49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0</v>
      </c>
      <c r="G176" s="1">
        <v>5333984</v>
      </c>
      <c r="H176" s="1">
        <v>2666992</v>
      </c>
      <c r="I176" s="1">
        <v>2629146</v>
      </c>
      <c r="J176" s="1">
        <v>0</v>
      </c>
      <c r="K176" s="1">
        <v>5680693</v>
      </c>
      <c r="L176" s="1">
        <v>0</v>
      </c>
      <c r="M176" s="1">
        <v>0</v>
      </c>
      <c r="N176" s="1">
        <v>11572430</v>
      </c>
      <c r="O176" s="1">
        <v>2000000</v>
      </c>
      <c r="P176" s="1">
        <v>4267187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2640000</v>
      </c>
      <c r="W176" s="1">
        <v>0</v>
      </c>
      <c r="X176" s="1">
        <v>11877328</v>
      </c>
      <c r="Y176" s="1">
        <v>4000000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4428193</v>
      </c>
      <c r="AG176" s="1">
        <v>0</v>
      </c>
      <c r="AH176" s="1">
        <v>1835427</v>
      </c>
      <c r="AI176" s="1">
        <v>0</v>
      </c>
      <c r="AJ176" s="1">
        <v>0</v>
      </c>
      <c r="AK176" s="1">
        <v>0</v>
      </c>
      <c r="AL176" s="1">
        <v>5608844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64540224</v>
      </c>
      <c r="AS176" s="1">
        <v>8122825</v>
      </c>
      <c r="AT176" s="1">
        <v>56417399</v>
      </c>
      <c r="AU176" s="1">
        <v>12540959</v>
      </c>
      <c r="AV176" s="1">
        <v>1881144</v>
      </c>
      <c r="AW176" s="1">
        <f t="shared" si="12"/>
        <v>78962327</v>
      </c>
    </row>
    <row r="177" spans="1:49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0</v>
      </c>
      <c r="G177" s="1">
        <v>6363349</v>
      </c>
      <c r="H177" s="1">
        <v>3308942</v>
      </c>
      <c r="I177" s="1">
        <v>2602811</v>
      </c>
      <c r="J177" s="1">
        <v>0</v>
      </c>
      <c r="K177" s="1">
        <v>6770604</v>
      </c>
      <c r="L177" s="1">
        <v>0</v>
      </c>
      <c r="M177" s="1">
        <v>0</v>
      </c>
      <c r="N177" s="1">
        <v>11521166</v>
      </c>
      <c r="O177" s="1">
        <v>2000000</v>
      </c>
      <c r="P177" s="1">
        <v>5090679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2640000</v>
      </c>
      <c r="W177" s="1">
        <v>0</v>
      </c>
      <c r="X177" s="1">
        <v>13052201</v>
      </c>
      <c r="Y177" s="1">
        <v>4000000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4958211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4164498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66472461</v>
      </c>
      <c r="AS177" s="1">
        <v>9935811</v>
      </c>
      <c r="AT177" s="1">
        <v>56536650</v>
      </c>
      <c r="AU177" s="1">
        <v>13294492</v>
      </c>
      <c r="AV177" s="1">
        <v>1994174</v>
      </c>
      <c r="AW177" s="1">
        <f t="shared" si="12"/>
        <v>81761127</v>
      </c>
    </row>
    <row r="178" spans="1:49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0</v>
      </c>
      <c r="G178" s="1">
        <v>5984356</v>
      </c>
      <c r="H178" s="1">
        <v>3052021</v>
      </c>
      <c r="I178" s="1">
        <v>3454385</v>
      </c>
      <c r="J178" s="1">
        <v>0</v>
      </c>
      <c r="K178" s="1">
        <v>6506191</v>
      </c>
      <c r="L178" s="1">
        <v>0</v>
      </c>
      <c r="M178" s="1">
        <v>0</v>
      </c>
      <c r="N178" s="1">
        <v>11521166</v>
      </c>
      <c r="O178" s="1">
        <v>2000000</v>
      </c>
      <c r="P178" s="1">
        <v>4787485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2640000</v>
      </c>
      <c r="W178" s="1">
        <v>0</v>
      </c>
      <c r="X178" s="1">
        <v>12652030</v>
      </c>
      <c r="Y178" s="1">
        <v>4000000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4777683</v>
      </c>
      <c r="AG178" s="1">
        <v>0</v>
      </c>
      <c r="AH178" s="1">
        <v>3670854</v>
      </c>
      <c r="AI178" s="1">
        <v>0</v>
      </c>
      <c r="AJ178" s="1">
        <v>0</v>
      </c>
      <c r="AK178" s="1">
        <v>0</v>
      </c>
      <c r="AL178" s="1">
        <v>6029472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71075643</v>
      </c>
      <c r="AS178" s="1">
        <v>12967905</v>
      </c>
      <c r="AT178" s="1">
        <v>58107738</v>
      </c>
      <c r="AU178" s="1">
        <v>13480958</v>
      </c>
      <c r="AV178" s="1">
        <v>2022144</v>
      </c>
      <c r="AW178" s="1">
        <f t="shared" si="12"/>
        <v>86578745</v>
      </c>
    </row>
    <row r="179" spans="1:49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0</v>
      </c>
      <c r="G179" s="1">
        <v>5792519</v>
      </c>
      <c r="H179" s="1">
        <v>3012110</v>
      </c>
      <c r="I179" s="1">
        <v>4323816</v>
      </c>
      <c r="J179" s="1">
        <v>0</v>
      </c>
      <c r="K179" s="1">
        <v>6339334</v>
      </c>
      <c r="L179" s="1">
        <v>0</v>
      </c>
      <c r="M179" s="1">
        <v>0</v>
      </c>
      <c r="N179" s="1">
        <v>11521166</v>
      </c>
      <c r="O179" s="1">
        <v>2000000</v>
      </c>
      <c r="P179" s="1">
        <v>4634015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2640000</v>
      </c>
      <c r="W179" s="1">
        <v>0</v>
      </c>
      <c r="X179" s="1">
        <v>12468466</v>
      </c>
      <c r="Y179" s="1">
        <v>4000000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1835427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58566853</v>
      </c>
      <c r="AS179" s="1">
        <v>17335835</v>
      </c>
      <c r="AT179" s="1">
        <v>41231018</v>
      </c>
      <c r="AU179" s="1">
        <v>11346285</v>
      </c>
      <c r="AV179" s="1">
        <v>1701943</v>
      </c>
      <c r="AW179" s="1">
        <f t="shared" si="12"/>
        <v>71615081</v>
      </c>
    </row>
    <row r="180" spans="1:49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0</v>
      </c>
      <c r="G180" s="1">
        <v>5553894</v>
      </c>
      <c r="H180" s="1">
        <v>2888025</v>
      </c>
      <c r="I180" s="1">
        <v>3215211</v>
      </c>
      <c r="J180" s="1">
        <v>0</v>
      </c>
      <c r="K180" s="1">
        <v>5402828</v>
      </c>
      <c r="L180" s="1">
        <v>0</v>
      </c>
      <c r="M180" s="1">
        <v>0</v>
      </c>
      <c r="N180" s="1">
        <v>11521166</v>
      </c>
      <c r="O180" s="1">
        <v>2000000</v>
      </c>
      <c r="P180" s="1">
        <v>4443115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2640000</v>
      </c>
      <c r="W180" s="1">
        <v>0</v>
      </c>
      <c r="X180" s="1">
        <v>11612911</v>
      </c>
      <c r="Y180" s="1">
        <v>4000000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3670854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56948004</v>
      </c>
      <c r="AS180" s="1">
        <v>9036056</v>
      </c>
      <c r="AT180" s="1">
        <v>47911948</v>
      </c>
      <c r="AU180" s="1">
        <v>10655430</v>
      </c>
      <c r="AV180" s="1">
        <v>1598315</v>
      </c>
      <c r="AW180" s="1">
        <f t="shared" si="12"/>
        <v>69201749</v>
      </c>
    </row>
    <row r="181" spans="1:49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0</v>
      </c>
      <c r="G181" s="1">
        <v>6555186</v>
      </c>
      <c r="H181" s="1">
        <v>3343144</v>
      </c>
      <c r="I181" s="1">
        <v>17040652</v>
      </c>
      <c r="J181" s="1">
        <v>0</v>
      </c>
      <c r="K181" s="1">
        <v>7324765</v>
      </c>
      <c r="L181" s="1">
        <v>0</v>
      </c>
      <c r="M181" s="1">
        <v>0</v>
      </c>
      <c r="N181" s="1">
        <v>11521166</v>
      </c>
      <c r="O181" s="1">
        <v>2000000</v>
      </c>
      <c r="P181" s="1">
        <v>5244148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2640000</v>
      </c>
      <c r="W181" s="1">
        <v>0</v>
      </c>
      <c r="X181" s="1">
        <v>13362646</v>
      </c>
      <c r="Y181" s="1">
        <v>4000000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1835427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74867134</v>
      </c>
      <c r="AS181" s="1">
        <v>12465242</v>
      </c>
      <c r="AT181" s="1">
        <v>62401892</v>
      </c>
      <c r="AU181" s="1">
        <v>14606341</v>
      </c>
      <c r="AV181" s="1">
        <v>2190951</v>
      </c>
      <c r="AW181" s="1">
        <f t="shared" si="12"/>
        <v>91664426</v>
      </c>
    </row>
    <row r="182" spans="1:49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0</v>
      </c>
      <c r="G182" s="1">
        <v>3663605</v>
      </c>
      <c r="H182" s="1">
        <v>1905074</v>
      </c>
      <c r="I182" s="1">
        <v>2082480</v>
      </c>
      <c r="J182" s="1">
        <v>0</v>
      </c>
      <c r="K182" s="1">
        <v>3731015</v>
      </c>
      <c r="L182" s="1">
        <v>0</v>
      </c>
      <c r="M182" s="1">
        <v>0</v>
      </c>
      <c r="N182" s="1">
        <v>11572430</v>
      </c>
      <c r="O182" s="1">
        <v>2000000</v>
      </c>
      <c r="P182" s="1">
        <v>2747703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13269824</v>
      </c>
      <c r="Y182" s="1">
        <v>4000000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3542974</v>
      </c>
      <c r="AG182" s="1">
        <v>0</v>
      </c>
      <c r="AH182" s="1">
        <v>5506281</v>
      </c>
      <c r="AI182" s="1">
        <v>0</v>
      </c>
      <c r="AJ182" s="1">
        <v>0</v>
      </c>
      <c r="AK182" s="1">
        <v>0</v>
      </c>
      <c r="AL182" s="1">
        <v>3331968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57353354</v>
      </c>
      <c r="AS182" s="1">
        <v>9317167</v>
      </c>
      <c r="AT182" s="1">
        <v>48036187</v>
      </c>
      <c r="AU182" s="1">
        <v>10369415</v>
      </c>
      <c r="AV182" s="1">
        <v>1555412</v>
      </c>
      <c r="AW182" s="1">
        <f t="shared" si="12"/>
        <v>69278181</v>
      </c>
    </row>
    <row r="183" spans="1:49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0</v>
      </c>
      <c r="G183" s="1">
        <v>7172805</v>
      </c>
      <c r="H183" s="1">
        <v>3658130</v>
      </c>
      <c r="I183" s="1">
        <v>6643347</v>
      </c>
      <c r="J183" s="1">
        <v>0</v>
      </c>
      <c r="K183" s="1">
        <v>7798273</v>
      </c>
      <c r="L183" s="1">
        <v>0</v>
      </c>
      <c r="M183" s="1">
        <v>0</v>
      </c>
      <c r="N183" s="1">
        <v>11521166</v>
      </c>
      <c r="O183" s="1">
        <v>2000000</v>
      </c>
      <c r="P183" s="1">
        <v>5738244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2640000</v>
      </c>
      <c r="W183" s="1">
        <v>0</v>
      </c>
      <c r="X183" s="1">
        <v>16414561</v>
      </c>
      <c r="Y183" s="1">
        <v>4000000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3670854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71257380</v>
      </c>
      <c r="AS183" s="1">
        <v>14307690</v>
      </c>
      <c r="AT183" s="1">
        <v>56949690</v>
      </c>
      <c r="AU183" s="1">
        <v>13517305</v>
      </c>
      <c r="AV183" s="1">
        <v>2027596</v>
      </c>
      <c r="AW183" s="1">
        <f t="shared" si="12"/>
        <v>86802281</v>
      </c>
    </row>
    <row r="184" spans="1:49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0</v>
      </c>
      <c r="G184" s="1">
        <v>6644085</v>
      </c>
      <c r="H184" s="1">
        <v>3454924</v>
      </c>
      <c r="I184" s="1">
        <v>0</v>
      </c>
      <c r="J184" s="1">
        <v>0</v>
      </c>
      <c r="K184" s="1">
        <v>7372277</v>
      </c>
      <c r="L184" s="1">
        <v>0</v>
      </c>
      <c r="M184" s="1">
        <v>0</v>
      </c>
      <c r="N184" s="1">
        <v>11572430</v>
      </c>
      <c r="O184" s="1">
        <v>2000000</v>
      </c>
      <c r="P184" s="1">
        <v>5315268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2640000</v>
      </c>
      <c r="W184" s="1">
        <v>0</v>
      </c>
      <c r="X184" s="1">
        <v>13181670</v>
      </c>
      <c r="Y184" s="1">
        <v>4000000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1835427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58016081</v>
      </c>
      <c r="AS184" s="1">
        <v>5676990</v>
      </c>
      <c r="AT184" s="1">
        <v>52339091</v>
      </c>
      <c r="AU184" s="1">
        <v>11236131</v>
      </c>
      <c r="AV184" s="1">
        <v>1685420</v>
      </c>
      <c r="AW184" s="1">
        <f t="shared" si="12"/>
        <v>70937632</v>
      </c>
    </row>
    <row r="185" spans="1:49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0</v>
      </c>
      <c r="G185" s="1">
        <v>5745730</v>
      </c>
      <c r="H185" s="1">
        <v>2987780</v>
      </c>
      <c r="I185" s="1">
        <v>2377587</v>
      </c>
      <c r="J185" s="1">
        <v>0</v>
      </c>
      <c r="K185" s="1">
        <v>6550133</v>
      </c>
      <c r="L185" s="1">
        <v>0</v>
      </c>
      <c r="M185" s="1">
        <v>0</v>
      </c>
      <c r="N185" s="1">
        <v>11521166</v>
      </c>
      <c r="O185" s="1">
        <v>2000000</v>
      </c>
      <c r="P185" s="1">
        <v>4596584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16732619</v>
      </c>
      <c r="Y185" s="1">
        <v>4000000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4710209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6521382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67743190</v>
      </c>
      <c r="AS185" s="1">
        <v>7682140</v>
      </c>
      <c r="AT185" s="1">
        <v>60061050</v>
      </c>
      <c r="AU185" s="1">
        <v>13548638</v>
      </c>
      <c r="AV185" s="1">
        <v>2032296</v>
      </c>
      <c r="AW185" s="1">
        <f t="shared" si="12"/>
        <v>83324124</v>
      </c>
    </row>
    <row r="186" spans="1:49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0</v>
      </c>
      <c r="G186" s="1">
        <v>6873353</v>
      </c>
      <c r="H186" s="1">
        <v>3574144</v>
      </c>
      <c r="I186" s="1">
        <v>1513491</v>
      </c>
      <c r="J186" s="1">
        <v>0</v>
      </c>
      <c r="K186" s="1">
        <v>7731148</v>
      </c>
      <c r="L186" s="1">
        <v>0</v>
      </c>
      <c r="M186" s="1">
        <v>0</v>
      </c>
      <c r="N186" s="1">
        <v>11521166</v>
      </c>
      <c r="O186" s="1">
        <v>2000000</v>
      </c>
      <c r="P186" s="1">
        <v>5498683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2640000</v>
      </c>
      <c r="W186" s="1">
        <v>0</v>
      </c>
      <c r="X186" s="1">
        <v>18422329</v>
      </c>
      <c r="Y186" s="1">
        <v>4000000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5279774</v>
      </c>
      <c r="AG186" s="1">
        <v>0</v>
      </c>
      <c r="AH186" s="1">
        <v>1835427</v>
      </c>
      <c r="AI186" s="1">
        <v>0</v>
      </c>
      <c r="AJ186" s="1">
        <v>0</v>
      </c>
      <c r="AK186" s="1">
        <v>0</v>
      </c>
      <c r="AL186" s="1">
        <v>2421586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73311101</v>
      </c>
      <c r="AS186" s="1">
        <v>12679805</v>
      </c>
      <c r="AT186" s="1">
        <v>60631296</v>
      </c>
      <c r="AU186" s="1">
        <v>14295135</v>
      </c>
      <c r="AV186" s="1">
        <v>2144270</v>
      </c>
      <c r="AW186" s="1">
        <f t="shared" si="12"/>
        <v>89750506</v>
      </c>
    </row>
    <row r="187" spans="1:49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0</v>
      </c>
      <c r="G187" s="1">
        <v>5951603</v>
      </c>
      <c r="H187" s="1">
        <v>3035317</v>
      </c>
      <c r="I187" s="1">
        <v>0</v>
      </c>
      <c r="J187" s="1">
        <v>0</v>
      </c>
      <c r="K187" s="1">
        <v>6650322</v>
      </c>
      <c r="L187" s="1">
        <v>0</v>
      </c>
      <c r="M187" s="1">
        <v>0</v>
      </c>
      <c r="N187" s="1">
        <v>11521166</v>
      </c>
      <c r="O187" s="1">
        <v>2000000</v>
      </c>
      <c r="P187" s="1">
        <v>4761283</v>
      </c>
      <c r="Q187" s="1">
        <v>0</v>
      </c>
      <c r="R187" s="1">
        <v>0</v>
      </c>
      <c r="S187" s="1">
        <v>0</v>
      </c>
      <c r="T187" s="1">
        <v>3630000</v>
      </c>
      <c r="U187" s="1">
        <v>0</v>
      </c>
      <c r="V187" s="1">
        <v>2640000</v>
      </c>
      <c r="W187" s="1">
        <v>0</v>
      </c>
      <c r="X187" s="1">
        <v>16963262</v>
      </c>
      <c r="Y187" s="1">
        <v>4000000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1835427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62988380</v>
      </c>
      <c r="AS187" s="1">
        <v>7904584</v>
      </c>
      <c r="AT187" s="1">
        <v>55083796</v>
      </c>
      <c r="AU187" s="1">
        <v>11504591</v>
      </c>
      <c r="AV187" s="1">
        <v>1725689</v>
      </c>
      <c r="AW187" s="1">
        <f t="shared" si="12"/>
        <v>76218660</v>
      </c>
    </row>
    <row r="188" spans="1:49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0</v>
      </c>
      <c r="G188" s="1">
        <v>5984356</v>
      </c>
      <c r="H188" s="1">
        <v>3052021</v>
      </c>
      <c r="I188" s="1">
        <v>3123357</v>
      </c>
      <c r="J188" s="1">
        <v>0</v>
      </c>
      <c r="K188" s="1">
        <v>6325464</v>
      </c>
      <c r="L188" s="1">
        <v>0</v>
      </c>
      <c r="M188" s="1">
        <v>0</v>
      </c>
      <c r="N188" s="1">
        <v>11521166</v>
      </c>
      <c r="O188" s="1">
        <v>2000000</v>
      </c>
      <c r="P188" s="1">
        <v>4787485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2640000</v>
      </c>
      <c r="W188" s="1">
        <v>0</v>
      </c>
      <c r="X188" s="1">
        <v>12591939</v>
      </c>
      <c r="Y188" s="1">
        <v>4000000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4750574</v>
      </c>
      <c r="AG188" s="1">
        <v>0</v>
      </c>
      <c r="AH188" s="1">
        <v>3670854</v>
      </c>
      <c r="AI188" s="1">
        <v>0</v>
      </c>
      <c r="AJ188" s="1">
        <v>0</v>
      </c>
      <c r="AK188" s="1">
        <v>0</v>
      </c>
      <c r="AL188" s="1">
        <v>3997897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68445113</v>
      </c>
      <c r="AS188" s="1">
        <v>8307821</v>
      </c>
      <c r="AT188" s="1">
        <v>60137292</v>
      </c>
      <c r="AU188" s="1">
        <v>12954852</v>
      </c>
      <c r="AV188" s="1">
        <v>1943228</v>
      </c>
      <c r="AW188" s="1">
        <f t="shared" si="12"/>
        <v>83343193</v>
      </c>
    </row>
    <row r="189" spans="1:49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0</v>
      </c>
      <c r="G189" s="1">
        <v>4894164</v>
      </c>
      <c r="H189" s="1">
        <v>2544966</v>
      </c>
      <c r="I189" s="1">
        <v>1865359</v>
      </c>
      <c r="J189" s="1">
        <v>0</v>
      </c>
      <c r="K189" s="1">
        <v>5653739</v>
      </c>
      <c r="L189" s="1">
        <v>0</v>
      </c>
      <c r="M189" s="1">
        <v>0</v>
      </c>
      <c r="N189" s="1">
        <v>11572430</v>
      </c>
      <c r="O189" s="1">
        <v>2000000</v>
      </c>
      <c r="P189" s="1">
        <v>3915331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15477380</v>
      </c>
      <c r="Y189" s="1">
        <v>4000000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4287094</v>
      </c>
      <c r="AG189" s="1">
        <v>0</v>
      </c>
      <c r="AH189" s="1">
        <v>3670854</v>
      </c>
      <c r="AI189" s="1">
        <v>0</v>
      </c>
      <c r="AJ189" s="1">
        <v>0</v>
      </c>
      <c r="AK189" s="1">
        <v>0</v>
      </c>
      <c r="AL189" s="1">
        <v>3979433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63860750</v>
      </c>
      <c r="AS189" s="1">
        <v>10706039</v>
      </c>
      <c r="AT189" s="1">
        <v>53154711</v>
      </c>
      <c r="AU189" s="1">
        <v>12037979</v>
      </c>
      <c r="AV189" s="1">
        <v>1805697</v>
      </c>
      <c r="AW189" s="1">
        <f t="shared" si="12"/>
        <v>77704426</v>
      </c>
    </row>
    <row r="190" spans="1:49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0</v>
      </c>
      <c r="G190" s="1">
        <v>6733409</v>
      </c>
      <c r="H190" s="1">
        <v>3366704</v>
      </c>
      <c r="I190" s="1">
        <v>2641585</v>
      </c>
      <c r="J190" s="1">
        <v>0</v>
      </c>
      <c r="K190" s="1">
        <v>8282092</v>
      </c>
      <c r="L190" s="1">
        <v>0</v>
      </c>
      <c r="M190" s="1">
        <v>0</v>
      </c>
      <c r="N190" s="1">
        <v>11331151</v>
      </c>
      <c r="O190" s="1">
        <v>2000000</v>
      </c>
      <c r="P190" s="1">
        <v>5386725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18378537</v>
      </c>
      <c r="Y190" s="1">
        <v>4000000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5265012</v>
      </c>
      <c r="AG190" s="1">
        <v>0</v>
      </c>
      <c r="AH190" s="1">
        <v>3670854</v>
      </c>
      <c r="AI190" s="1">
        <v>0</v>
      </c>
      <c r="AJ190" s="1">
        <v>0</v>
      </c>
      <c r="AK190" s="1">
        <v>0</v>
      </c>
      <c r="AL190" s="1">
        <v>4830327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75886396</v>
      </c>
      <c r="AS190" s="1">
        <v>26800218</v>
      </c>
      <c r="AT190" s="1">
        <v>49086178</v>
      </c>
      <c r="AU190" s="1">
        <v>14443108</v>
      </c>
      <c r="AV190" s="1">
        <v>2166466</v>
      </c>
      <c r="AW190" s="1">
        <f t="shared" si="12"/>
        <v>92495970</v>
      </c>
    </row>
    <row r="191" spans="1:49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0</v>
      </c>
      <c r="G191" s="1">
        <v>5076643</v>
      </c>
      <c r="H191" s="1">
        <v>2639855</v>
      </c>
      <c r="I191" s="1">
        <v>316573</v>
      </c>
      <c r="J191" s="1">
        <v>0</v>
      </c>
      <c r="K191" s="1">
        <v>5787372</v>
      </c>
      <c r="L191" s="1">
        <v>0</v>
      </c>
      <c r="M191" s="1">
        <v>0</v>
      </c>
      <c r="N191" s="1">
        <v>11572430</v>
      </c>
      <c r="O191" s="1">
        <v>2000000</v>
      </c>
      <c r="P191" s="1">
        <v>4061314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2640000</v>
      </c>
      <c r="W191" s="1">
        <v>0</v>
      </c>
      <c r="X191" s="1">
        <v>15725238</v>
      </c>
      <c r="Y191" s="1">
        <v>4000000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5506281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59325706</v>
      </c>
      <c r="AS191" s="1">
        <v>8460147</v>
      </c>
      <c r="AT191" s="1">
        <v>50865559</v>
      </c>
      <c r="AU191" s="1">
        <v>10763885</v>
      </c>
      <c r="AV191" s="1">
        <v>1614583</v>
      </c>
      <c r="AW191" s="1">
        <f t="shared" si="12"/>
        <v>71704174</v>
      </c>
    </row>
    <row r="192" spans="1:49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0</v>
      </c>
      <c r="G192" s="1">
        <v>4248471</v>
      </c>
      <c r="H192" s="1">
        <v>2209205</v>
      </c>
      <c r="I192" s="1">
        <v>1941009</v>
      </c>
      <c r="J192" s="1">
        <v>0</v>
      </c>
      <c r="K192" s="1">
        <v>4068337</v>
      </c>
      <c r="L192" s="1">
        <v>0</v>
      </c>
      <c r="M192" s="1">
        <v>0</v>
      </c>
      <c r="N192" s="1">
        <v>11572430</v>
      </c>
      <c r="O192" s="1">
        <v>2000000</v>
      </c>
      <c r="P192" s="1">
        <v>3186353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14010734</v>
      </c>
      <c r="Y192" s="1">
        <v>4000000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3792719</v>
      </c>
      <c r="AG192" s="1">
        <v>0</v>
      </c>
      <c r="AH192" s="1">
        <v>5506281</v>
      </c>
      <c r="AI192" s="1">
        <v>0</v>
      </c>
      <c r="AJ192" s="1">
        <v>0</v>
      </c>
      <c r="AK192" s="1">
        <v>0</v>
      </c>
      <c r="AL192" s="1">
        <v>3549274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60084813</v>
      </c>
      <c r="AS192" s="1">
        <v>25400601</v>
      </c>
      <c r="AT192" s="1">
        <v>34684212</v>
      </c>
      <c r="AU192" s="1">
        <v>10915706</v>
      </c>
      <c r="AV192" s="1">
        <v>1637356</v>
      </c>
      <c r="AW192" s="1">
        <f t="shared" si="12"/>
        <v>72637875</v>
      </c>
    </row>
    <row r="193" spans="1:49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39199789</v>
      </c>
      <c r="G193" s="1">
        <v>0</v>
      </c>
      <c r="H193" s="1">
        <v>0</v>
      </c>
      <c r="I193" s="1">
        <v>17934496</v>
      </c>
      <c r="J193" s="1">
        <v>0</v>
      </c>
      <c r="K193" s="1">
        <v>44546468</v>
      </c>
      <c r="L193" s="1">
        <v>0</v>
      </c>
      <c r="M193" s="1">
        <v>5500000</v>
      </c>
      <c r="N193" s="1">
        <v>0</v>
      </c>
      <c r="O193" s="1">
        <v>1000000</v>
      </c>
      <c r="P193" s="1">
        <v>6445544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1848000</v>
      </c>
      <c r="W193" s="1">
        <v>0</v>
      </c>
      <c r="X193" s="1">
        <v>35629546</v>
      </c>
      <c r="Y193" s="1">
        <v>4000000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5064356</v>
      </c>
      <c r="AH193" s="1">
        <v>3670854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10312870</v>
      </c>
      <c r="AO193" s="1">
        <v>0</v>
      </c>
      <c r="AP193" s="1">
        <v>0</v>
      </c>
      <c r="AQ193" s="1">
        <v>0</v>
      </c>
      <c r="AR193" s="1">
        <v>175151923</v>
      </c>
      <c r="AS193" s="1">
        <v>69814220</v>
      </c>
      <c r="AT193" s="1">
        <v>105337703</v>
      </c>
      <c r="AU193" s="1">
        <v>27637511</v>
      </c>
      <c r="AV193" s="1">
        <v>4145627</v>
      </c>
      <c r="AW193" s="1">
        <f t="shared" si="12"/>
        <v>206935061</v>
      </c>
    </row>
    <row r="194" spans="1:49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0</v>
      </c>
      <c r="G194" s="1">
        <v>5792519</v>
      </c>
      <c r="H194" s="1">
        <v>3012110</v>
      </c>
      <c r="I194" s="1">
        <v>1833195</v>
      </c>
      <c r="J194" s="1">
        <v>0</v>
      </c>
      <c r="K194" s="1">
        <v>5987148</v>
      </c>
      <c r="L194" s="1">
        <v>0</v>
      </c>
      <c r="M194" s="1">
        <v>0</v>
      </c>
      <c r="N194" s="1">
        <v>11521166</v>
      </c>
      <c r="O194" s="1">
        <v>2000000</v>
      </c>
      <c r="P194" s="1">
        <v>4634015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2640000</v>
      </c>
      <c r="W194" s="1">
        <v>0</v>
      </c>
      <c r="X194" s="1">
        <v>12351364</v>
      </c>
      <c r="Y194" s="1">
        <v>4000000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4642044</v>
      </c>
      <c r="AG194" s="1">
        <v>0</v>
      </c>
      <c r="AH194" s="1">
        <v>1835427</v>
      </c>
      <c r="AI194" s="1">
        <v>0</v>
      </c>
      <c r="AJ194" s="1">
        <v>0</v>
      </c>
      <c r="AK194" s="1">
        <v>0</v>
      </c>
      <c r="AL194" s="1">
        <v>3910816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64159804</v>
      </c>
      <c r="AS194" s="1">
        <v>8687215</v>
      </c>
      <c r="AT194" s="1">
        <v>55472589</v>
      </c>
      <c r="AU194" s="1">
        <v>12464875</v>
      </c>
      <c r="AV194" s="1">
        <v>1869731</v>
      </c>
      <c r="AW194" s="1">
        <f t="shared" si="12"/>
        <v>78494410</v>
      </c>
    </row>
    <row r="195" spans="1:49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0</v>
      </c>
      <c r="G195" s="1">
        <v>7509688</v>
      </c>
      <c r="H195" s="1">
        <v>3829940</v>
      </c>
      <c r="I195" s="1">
        <v>27887681</v>
      </c>
      <c r="J195" s="1">
        <v>0</v>
      </c>
      <c r="K195" s="1">
        <v>8391325</v>
      </c>
      <c r="L195" s="1">
        <v>0</v>
      </c>
      <c r="M195" s="1">
        <v>0</v>
      </c>
      <c r="N195" s="1">
        <v>11521166</v>
      </c>
      <c r="O195" s="1">
        <v>2000000</v>
      </c>
      <c r="P195" s="1">
        <v>6007750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2640000</v>
      </c>
      <c r="W195" s="1">
        <v>0</v>
      </c>
      <c r="X195" s="1">
        <v>9235222</v>
      </c>
      <c r="Y195" s="1">
        <v>4000000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3670854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86693626</v>
      </c>
      <c r="AS195" s="1">
        <v>16079892</v>
      </c>
      <c r="AT195" s="1">
        <v>70613734</v>
      </c>
      <c r="AU195" s="1">
        <v>16604554</v>
      </c>
      <c r="AV195" s="1">
        <v>2490683</v>
      </c>
      <c r="AW195" s="1">
        <f t="shared" ref="AW195:AW258" si="17">AR195+AU195+AV195</f>
        <v>105788863</v>
      </c>
    </row>
    <row r="196" spans="1:49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0</v>
      </c>
      <c r="G196" s="1">
        <v>5769125</v>
      </c>
      <c r="H196" s="1">
        <v>2999944</v>
      </c>
      <c r="I196" s="1">
        <v>7649289</v>
      </c>
      <c r="J196" s="1">
        <v>0</v>
      </c>
      <c r="K196" s="1">
        <v>8505998</v>
      </c>
      <c r="L196" s="1">
        <v>0</v>
      </c>
      <c r="M196" s="1">
        <v>0</v>
      </c>
      <c r="N196" s="1">
        <v>11572430</v>
      </c>
      <c r="O196" s="1">
        <v>2000000</v>
      </c>
      <c r="P196" s="1">
        <v>4615300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2640000</v>
      </c>
      <c r="W196" s="1">
        <v>0</v>
      </c>
      <c r="X196" s="1">
        <v>8230031</v>
      </c>
      <c r="Y196" s="1">
        <v>4000000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1835427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59817544</v>
      </c>
      <c r="AS196" s="1">
        <v>24571430</v>
      </c>
      <c r="AT196" s="1">
        <v>35246114</v>
      </c>
      <c r="AU196" s="1">
        <v>11596423</v>
      </c>
      <c r="AV196" s="1">
        <v>1739464</v>
      </c>
      <c r="AW196" s="1">
        <f t="shared" si="17"/>
        <v>73153431</v>
      </c>
    </row>
    <row r="197" spans="1:49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"قراردادي بهره بردار"</f>
        <v>قراردادي بهره بردار</v>
      </c>
      <c r="E197" s="1" t="str">
        <f>"پروژه بهره برداري نيروگاه بوشهر"</f>
        <v>پروژه بهره برداري نيروگاه بوشهر</v>
      </c>
      <c r="F197" s="1">
        <v>15291949</v>
      </c>
      <c r="G197" s="1">
        <v>0</v>
      </c>
      <c r="H197" s="1">
        <v>0</v>
      </c>
      <c r="I197" s="1">
        <v>7225271</v>
      </c>
      <c r="J197" s="1">
        <v>0</v>
      </c>
      <c r="K197" s="1">
        <v>11017977</v>
      </c>
      <c r="L197" s="1">
        <v>0</v>
      </c>
      <c r="M197" s="1">
        <v>4620000</v>
      </c>
      <c r="N197" s="1">
        <v>0</v>
      </c>
      <c r="O197" s="1">
        <v>1000000</v>
      </c>
      <c r="P197" s="1">
        <v>2451246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1848000</v>
      </c>
      <c r="W197" s="1">
        <v>0</v>
      </c>
      <c r="X197" s="1">
        <v>18548596</v>
      </c>
      <c r="Y197" s="1">
        <v>4000000</v>
      </c>
      <c r="Z197" s="1">
        <v>2219799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1925979</v>
      </c>
      <c r="AH197" s="1">
        <v>3670854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10995087</v>
      </c>
      <c r="AO197" s="1">
        <v>0</v>
      </c>
      <c r="AP197" s="1">
        <v>0</v>
      </c>
      <c r="AQ197" s="1">
        <v>0</v>
      </c>
      <c r="AR197" s="1">
        <v>84814758</v>
      </c>
      <c r="AS197" s="1">
        <v>27784725</v>
      </c>
      <c r="AT197" s="1">
        <v>57030033</v>
      </c>
      <c r="AU197" s="1">
        <v>16228781</v>
      </c>
      <c r="AV197" s="1">
        <v>2434317</v>
      </c>
      <c r="AW197" s="1">
        <f t="shared" si="17"/>
        <v>103477856</v>
      </c>
    </row>
    <row r="198" spans="1:49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 t="shared" ref="D198:D208" si="18">"قراردادي کارگري"</f>
        <v>قراردادي کارگري</v>
      </c>
      <c r="E198" s="1" t="str">
        <f t="shared" ref="E198:E208" si="19">"پروژه تعميرات نيروگاه بوشهر"</f>
        <v>پروژه تعميرات نيروگاه بوشهر</v>
      </c>
      <c r="F198" s="1">
        <v>0</v>
      </c>
      <c r="G198" s="1">
        <v>7942233</v>
      </c>
      <c r="H198" s="1">
        <v>4606496</v>
      </c>
      <c r="I198" s="1">
        <v>2192035</v>
      </c>
      <c r="J198" s="1">
        <v>0</v>
      </c>
      <c r="K198" s="1">
        <v>14180063</v>
      </c>
      <c r="L198" s="1">
        <v>0</v>
      </c>
      <c r="M198" s="1">
        <v>0</v>
      </c>
      <c r="N198" s="1">
        <v>11331151</v>
      </c>
      <c r="O198" s="1">
        <v>2000000</v>
      </c>
      <c r="P198" s="1">
        <v>6353787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2640000</v>
      </c>
      <c r="W198" s="1">
        <v>0</v>
      </c>
      <c r="X198" s="1">
        <v>17714805</v>
      </c>
      <c r="Y198" s="1">
        <v>4000000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1835427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74795997</v>
      </c>
      <c r="AS198" s="1">
        <v>8412115</v>
      </c>
      <c r="AT198" s="1">
        <v>66383882</v>
      </c>
      <c r="AU198" s="1">
        <v>14592114</v>
      </c>
      <c r="AV198" s="1">
        <v>2188817</v>
      </c>
      <c r="AW198" s="1">
        <f t="shared" si="17"/>
        <v>91576928</v>
      </c>
    </row>
    <row r="199" spans="1:49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 t="shared" si="18"/>
        <v>قراردادي کارگري</v>
      </c>
      <c r="E199" s="1" t="str">
        <f t="shared" si="19"/>
        <v>پروژه تعميرات نيروگاه بوشهر</v>
      </c>
      <c r="F199" s="1">
        <v>0</v>
      </c>
      <c r="G199" s="1">
        <v>5970319</v>
      </c>
      <c r="H199" s="1">
        <v>3044862</v>
      </c>
      <c r="I199" s="1">
        <v>2419160</v>
      </c>
      <c r="J199" s="1">
        <v>0</v>
      </c>
      <c r="K199" s="1">
        <v>6671234</v>
      </c>
      <c r="L199" s="1">
        <v>0</v>
      </c>
      <c r="M199" s="1">
        <v>0</v>
      </c>
      <c r="N199" s="1">
        <v>11521166</v>
      </c>
      <c r="O199" s="1">
        <v>2000000</v>
      </c>
      <c r="P199" s="1">
        <v>4776255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16991808</v>
      </c>
      <c r="Y199" s="1">
        <v>4000000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4797575</v>
      </c>
      <c r="AG199" s="1">
        <v>0</v>
      </c>
      <c r="AH199" s="1">
        <v>3670854</v>
      </c>
      <c r="AI199" s="1">
        <v>0</v>
      </c>
      <c r="AJ199" s="1">
        <v>0</v>
      </c>
      <c r="AK199" s="1">
        <v>0</v>
      </c>
      <c r="AL199" s="1">
        <v>4423607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70286840</v>
      </c>
      <c r="AS199" s="1">
        <v>11802294</v>
      </c>
      <c r="AT199" s="1">
        <v>58484546</v>
      </c>
      <c r="AU199" s="1">
        <v>13323197</v>
      </c>
      <c r="AV199" s="1">
        <v>1998480</v>
      </c>
      <c r="AW199" s="1">
        <f t="shared" si="17"/>
        <v>85608517</v>
      </c>
    </row>
    <row r="200" spans="1:49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0</v>
      </c>
      <c r="G200" s="1">
        <v>5965640</v>
      </c>
      <c r="H200" s="1">
        <v>3042476</v>
      </c>
      <c r="I200" s="1">
        <v>2756098</v>
      </c>
      <c r="J200" s="1">
        <v>0</v>
      </c>
      <c r="K200" s="1">
        <v>6575925</v>
      </c>
      <c r="L200" s="1">
        <v>0</v>
      </c>
      <c r="M200" s="1">
        <v>0</v>
      </c>
      <c r="N200" s="1">
        <v>11521166</v>
      </c>
      <c r="O200" s="1">
        <v>2000000</v>
      </c>
      <c r="P200" s="1">
        <v>4772512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16944585</v>
      </c>
      <c r="Y200" s="1">
        <v>4000000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4781658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2204878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64564938</v>
      </c>
      <c r="AS200" s="1">
        <v>8503285</v>
      </c>
      <c r="AT200" s="1">
        <v>56061653</v>
      </c>
      <c r="AU200" s="1">
        <v>12912988</v>
      </c>
      <c r="AV200" s="1">
        <v>1936948</v>
      </c>
      <c r="AW200" s="1">
        <f t="shared" si="17"/>
        <v>79414874</v>
      </c>
    </row>
    <row r="201" spans="1:49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0</v>
      </c>
      <c r="G201" s="1">
        <v>5829951</v>
      </c>
      <c r="H201" s="1">
        <v>3031575</v>
      </c>
      <c r="I201" s="1">
        <v>0</v>
      </c>
      <c r="J201" s="1">
        <v>0</v>
      </c>
      <c r="K201" s="1">
        <v>6468914</v>
      </c>
      <c r="L201" s="1">
        <v>0</v>
      </c>
      <c r="M201" s="1">
        <v>0</v>
      </c>
      <c r="N201" s="1">
        <v>11521166</v>
      </c>
      <c r="O201" s="1">
        <v>2000000</v>
      </c>
      <c r="P201" s="1">
        <v>4663960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2640000</v>
      </c>
      <c r="W201" s="1">
        <v>0</v>
      </c>
      <c r="X201" s="1">
        <v>16783427</v>
      </c>
      <c r="Y201" s="1">
        <v>4000000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5506281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62445274</v>
      </c>
      <c r="AS201" s="1">
        <v>10049852</v>
      </c>
      <c r="AT201" s="1">
        <v>52395422</v>
      </c>
      <c r="AU201" s="1">
        <v>11387799</v>
      </c>
      <c r="AV201" s="1">
        <v>1708170</v>
      </c>
      <c r="AW201" s="1">
        <f t="shared" si="17"/>
        <v>75541243</v>
      </c>
    </row>
    <row r="202" spans="1:49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0</v>
      </c>
      <c r="G202" s="1">
        <v>7149410</v>
      </c>
      <c r="H202" s="1">
        <v>3717694</v>
      </c>
      <c r="I202" s="1">
        <v>2724241</v>
      </c>
      <c r="J202" s="1">
        <v>0</v>
      </c>
      <c r="K202" s="1">
        <v>8150328</v>
      </c>
      <c r="L202" s="1">
        <v>0</v>
      </c>
      <c r="M202" s="1">
        <v>0</v>
      </c>
      <c r="N202" s="1">
        <v>11521166</v>
      </c>
      <c r="O202" s="1">
        <v>2000000</v>
      </c>
      <c r="P202" s="1">
        <v>5719528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18893866</v>
      </c>
      <c r="Y202" s="1">
        <v>4000000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5438719</v>
      </c>
      <c r="AG202" s="1">
        <v>0</v>
      </c>
      <c r="AH202" s="1">
        <v>3670854</v>
      </c>
      <c r="AI202" s="1">
        <v>0</v>
      </c>
      <c r="AJ202" s="1">
        <v>0</v>
      </c>
      <c r="AK202" s="1">
        <v>0</v>
      </c>
      <c r="AL202" s="1">
        <v>4981470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77967276</v>
      </c>
      <c r="AS202" s="1">
        <v>13322250</v>
      </c>
      <c r="AT202" s="1">
        <v>64645026</v>
      </c>
      <c r="AU202" s="1">
        <v>14859284</v>
      </c>
      <c r="AV202" s="1">
        <v>2228893</v>
      </c>
      <c r="AW202" s="1">
        <f t="shared" si="17"/>
        <v>95055453</v>
      </c>
    </row>
    <row r="203" spans="1:49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0</v>
      </c>
      <c r="G203" s="1">
        <v>6700233</v>
      </c>
      <c r="H203" s="1">
        <v>3417119</v>
      </c>
      <c r="I203" s="1">
        <v>3327009</v>
      </c>
      <c r="J203" s="1">
        <v>0</v>
      </c>
      <c r="K203" s="1">
        <v>7486840</v>
      </c>
      <c r="L203" s="1">
        <v>0</v>
      </c>
      <c r="M203" s="1">
        <v>0</v>
      </c>
      <c r="N203" s="1">
        <v>11521166</v>
      </c>
      <c r="O203" s="1">
        <v>2000000</v>
      </c>
      <c r="P203" s="1">
        <v>5360186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2640000</v>
      </c>
      <c r="W203" s="1">
        <v>0</v>
      </c>
      <c r="X203" s="1">
        <v>17901639</v>
      </c>
      <c r="Y203" s="1">
        <v>4000000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5172831</v>
      </c>
      <c r="AG203" s="1">
        <v>0</v>
      </c>
      <c r="AH203" s="1">
        <v>3670854</v>
      </c>
      <c r="AI203" s="1">
        <v>0</v>
      </c>
      <c r="AJ203" s="1">
        <v>0</v>
      </c>
      <c r="AK203" s="1">
        <v>0</v>
      </c>
      <c r="AL203" s="1">
        <v>4731745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77929622</v>
      </c>
      <c r="AS203" s="1">
        <v>13945423</v>
      </c>
      <c r="AT203" s="1">
        <v>63984199</v>
      </c>
      <c r="AU203" s="1">
        <v>14851754</v>
      </c>
      <c r="AV203" s="1">
        <v>2227763</v>
      </c>
      <c r="AW203" s="1">
        <f t="shared" si="17"/>
        <v>95009139</v>
      </c>
    </row>
    <row r="204" spans="1:49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0</v>
      </c>
      <c r="G204" s="1">
        <v>5581967</v>
      </c>
      <c r="H204" s="1">
        <v>2902623</v>
      </c>
      <c r="I204" s="1">
        <v>2312920</v>
      </c>
      <c r="J204" s="1">
        <v>0</v>
      </c>
      <c r="K204" s="1">
        <v>6024060</v>
      </c>
      <c r="L204" s="1">
        <v>0</v>
      </c>
      <c r="M204" s="1">
        <v>0</v>
      </c>
      <c r="N204" s="1">
        <v>11521166</v>
      </c>
      <c r="O204" s="1">
        <v>2000000</v>
      </c>
      <c r="P204" s="1">
        <v>4465574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16329448</v>
      </c>
      <c r="Y204" s="1">
        <v>4000000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4574308</v>
      </c>
      <c r="AG204" s="1">
        <v>0</v>
      </c>
      <c r="AH204" s="1">
        <v>5506281</v>
      </c>
      <c r="AI204" s="1">
        <v>0</v>
      </c>
      <c r="AJ204" s="1">
        <v>0</v>
      </c>
      <c r="AK204" s="1">
        <v>0</v>
      </c>
      <c r="AL204" s="1">
        <v>6344010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71562357</v>
      </c>
      <c r="AS204" s="1">
        <v>12104968</v>
      </c>
      <c r="AT204" s="1">
        <v>59457389</v>
      </c>
      <c r="AU204" s="1">
        <v>13211215</v>
      </c>
      <c r="AV204" s="1">
        <v>1981682</v>
      </c>
      <c r="AW204" s="1">
        <f t="shared" si="17"/>
        <v>86755254</v>
      </c>
    </row>
    <row r="205" spans="1:49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0</v>
      </c>
      <c r="G205" s="1">
        <v>5614720</v>
      </c>
      <c r="H205" s="1">
        <v>2919654</v>
      </c>
      <c r="I205" s="1">
        <v>2333050</v>
      </c>
      <c r="J205" s="1">
        <v>0</v>
      </c>
      <c r="K205" s="1">
        <v>6230094</v>
      </c>
      <c r="L205" s="1">
        <v>0</v>
      </c>
      <c r="M205" s="1">
        <v>0</v>
      </c>
      <c r="N205" s="1">
        <v>11521166</v>
      </c>
      <c r="O205" s="1">
        <v>2000000</v>
      </c>
      <c r="P205" s="1">
        <v>4491776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16454947</v>
      </c>
      <c r="Y205" s="1">
        <v>4000000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4616611</v>
      </c>
      <c r="AG205" s="1">
        <v>0</v>
      </c>
      <c r="AH205" s="1">
        <v>3670854</v>
      </c>
      <c r="AI205" s="1">
        <v>0</v>
      </c>
      <c r="AJ205" s="1">
        <v>0</v>
      </c>
      <c r="AK205" s="1">
        <v>0</v>
      </c>
      <c r="AL205" s="1">
        <v>4266148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68119020</v>
      </c>
      <c r="AS205" s="1">
        <v>21456137</v>
      </c>
      <c r="AT205" s="1">
        <v>46662883</v>
      </c>
      <c r="AU205" s="1">
        <v>12889633</v>
      </c>
      <c r="AV205" s="1">
        <v>1933445</v>
      </c>
      <c r="AW205" s="1">
        <f t="shared" si="17"/>
        <v>82942098</v>
      </c>
    </row>
    <row r="206" spans="1:49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0</v>
      </c>
      <c r="G206" s="1">
        <v>7261705</v>
      </c>
      <c r="H206" s="1">
        <v>3703470</v>
      </c>
      <c r="I206" s="1">
        <v>3957474</v>
      </c>
      <c r="J206" s="1">
        <v>0</v>
      </c>
      <c r="K206" s="1">
        <v>8662487</v>
      </c>
      <c r="L206" s="1">
        <v>0</v>
      </c>
      <c r="M206" s="1">
        <v>0</v>
      </c>
      <c r="N206" s="1">
        <v>11521166</v>
      </c>
      <c r="O206" s="1">
        <v>2000000</v>
      </c>
      <c r="P206" s="1">
        <v>5809364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2640000</v>
      </c>
      <c r="W206" s="1">
        <v>0</v>
      </c>
      <c r="X206" s="1">
        <v>14026412</v>
      </c>
      <c r="Y206" s="1">
        <v>4000000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5506281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69088359</v>
      </c>
      <c r="AS206" s="1">
        <v>15724742</v>
      </c>
      <c r="AT206" s="1">
        <v>53363617</v>
      </c>
      <c r="AU206" s="1">
        <v>12716416</v>
      </c>
      <c r="AV206" s="1">
        <v>1907462</v>
      </c>
      <c r="AW206" s="1">
        <f t="shared" si="17"/>
        <v>83712237</v>
      </c>
    </row>
    <row r="207" spans="1:49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0</v>
      </c>
      <c r="G207" s="1">
        <v>6672159</v>
      </c>
      <c r="H207" s="1">
        <v>3469523</v>
      </c>
      <c r="I207" s="1">
        <v>0</v>
      </c>
      <c r="J207" s="1">
        <v>0</v>
      </c>
      <c r="K207" s="1">
        <v>8011928</v>
      </c>
      <c r="L207" s="1">
        <v>0</v>
      </c>
      <c r="M207" s="1">
        <v>0</v>
      </c>
      <c r="N207" s="1">
        <v>11521166</v>
      </c>
      <c r="O207" s="1">
        <v>2000000</v>
      </c>
      <c r="P207" s="1">
        <v>5337727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2640000</v>
      </c>
      <c r="W207" s="1">
        <v>0</v>
      </c>
      <c r="X207" s="1">
        <v>12672844</v>
      </c>
      <c r="Y207" s="1">
        <v>4000000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3670854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59996201</v>
      </c>
      <c r="AS207" s="1">
        <v>20471907</v>
      </c>
      <c r="AT207" s="1">
        <v>39524294</v>
      </c>
      <c r="AU207" s="1">
        <v>11265069</v>
      </c>
      <c r="AV207" s="1">
        <v>1689760</v>
      </c>
      <c r="AW207" s="1">
        <f t="shared" si="17"/>
        <v>72951030</v>
      </c>
    </row>
    <row r="208" spans="1:49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0</v>
      </c>
      <c r="G208" s="1">
        <v>8050256</v>
      </c>
      <c r="H208" s="1">
        <v>4025128</v>
      </c>
      <c r="I208" s="1">
        <v>0</v>
      </c>
      <c r="J208" s="1">
        <v>0</v>
      </c>
      <c r="K208" s="1">
        <v>9781061</v>
      </c>
      <c r="L208" s="1">
        <v>0</v>
      </c>
      <c r="M208" s="1">
        <v>0</v>
      </c>
      <c r="N208" s="1">
        <v>11331151</v>
      </c>
      <c r="O208" s="1">
        <v>2000000</v>
      </c>
      <c r="P208" s="1">
        <v>6440204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2640000</v>
      </c>
      <c r="W208" s="1">
        <v>0</v>
      </c>
      <c r="X208" s="1">
        <v>11915228</v>
      </c>
      <c r="Y208" s="1">
        <v>4000000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1835427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62018455</v>
      </c>
      <c r="AS208" s="1">
        <v>7564626</v>
      </c>
      <c r="AT208" s="1">
        <v>54453829</v>
      </c>
      <c r="AU208" s="1">
        <v>12036606</v>
      </c>
      <c r="AV208" s="1">
        <v>1805491</v>
      </c>
      <c r="AW208" s="1">
        <f t="shared" si="17"/>
        <v>75860552</v>
      </c>
    </row>
    <row r="209" spans="1:49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"قراردادي بهره بردار"</f>
        <v>قراردادي بهره بردار</v>
      </c>
      <c r="E209" s="1" t="str">
        <f>"پروژه بهره برداري نيروگاه بوشهر"</f>
        <v>پروژه بهره برداري نيروگاه بوشهر</v>
      </c>
      <c r="F209" s="1">
        <v>17974968</v>
      </c>
      <c r="G209" s="1">
        <v>0</v>
      </c>
      <c r="H209" s="1">
        <v>0</v>
      </c>
      <c r="I209" s="1">
        <v>2225969</v>
      </c>
      <c r="J209" s="1">
        <v>0</v>
      </c>
      <c r="K209" s="1">
        <v>14486206</v>
      </c>
      <c r="L209" s="1">
        <v>0</v>
      </c>
      <c r="M209" s="1">
        <v>0</v>
      </c>
      <c r="N209" s="1">
        <v>0</v>
      </c>
      <c r="O209" s="1">
        <v>1000000</v>
      </c>
      <c r="P209" s="1">
        <v>3390304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1848000</v>
      </c>
      <c r="W209" s="1">
        <v>0</v>
      </c>
      <c r="X209" s="1">
        <v>14929771</v>
      </c>
      <c r="Y209" s="1">
        <v>4000000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2663809</v>
      </c>
      <c r="AH209" s="1">
        <v>3670854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9645265</v>
      </c>
      <c r="AO209" s="1">
        <v>0</v>
      </c>
      <c r="AP209" s="1">
        <v>0</v>
      </c>
      <c r="AQ209" s="1">
        <v>0</v>
      </c>
      <c r="AR209" s="1">
        <v>75835146</v>
      </c>
      <c r="AS209" s="1">
        <v>37695804</v>
      </c>
      <c r="AT209" s="1">
        <v>38139342</v>
      </c>
      <c r="AU209" s="1">
        <v>14432858</v>
      </c>
      <c r="AV209" s="1">
        <v>2164929</v>
      </c>
      <c r="AW209" s="1">
        <f t="shared" si="17"/>
        <v>92432933</v>
      </c>
    </row>
    <row r="210" spans="1:49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"قراردادي کارگري"</f>
        <v>قراردادي کارگري</v>
      </c>
      <c r="E210" s="1" t="str">
        <f>"پروژه تعميرات نيروگاه بوشهر"</f>
        <v>پروژه تعميرات نيروگاه بوشهر</v>
      </c>
      <c r="F210" s="1">
        <v>0</v>
      </c>
      <c r="G210" s="1">
        <v>9403110</v>
      </c>
      <c r="H210" s="1">
        <v>4701555</v>
      </c>
      <c r="I210" s="1">
        <v>3450786</v>
      </c>
      <c r="J210" s="1">
        <v>0</v>
      </c>
      <c r="K210" s="1">
        <v>11847919</v>
      </c>
      <c r="L210" s="1">
        <v>0</v>
      </c>
      <c r="M210" s="1">
        <v>0</v>
      </c>
      <c r="N210" s="1">
        <v>11331151</v>
      </c>
      <c r="O210" s="1">
        <v>2000000</v>
      </c>
      <c r="P210" s="1">
        <v>7522488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2640000</v>
      </c>
      <c r="W210" s="1">
        <v>0</v>
      </c>
      <c r="X210" s="1">
        <v>16321992</v>
      </c>
      <c r="Y210" s="1">
        <v>4000000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1835427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75054428</v>
      </c>
      <c r="AS210" s="1">
        <v>28663519</v>
      </c>
      <c r="AT210" s="1">
        <v>46390909</v>
      </c>
      <c r="AU210" s="1">
        <v>14643800</v>
      </c>
      <c r="AV210" s="1">
        <v>2196570</v>
      </c>
      <c r="AW210" s="1">
        <f t="shared" si="17"/>
        <v>91894798</v>
      </c>
    </row>
    <row r="211" spans="1:49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35592199</v>
      </c>
      <c r="G211" s="1">
        <v>0</v>
      </c>
      <c r="H211" s="1">
        <v>0</v>
      </c>
      <c r="I211" s="1">
        <v>1560843</v>
      </c>
      <c r="J211" s="1">
        <v>0</v>
      </c>
      <c r="K211" s="1">
        <v>36861176</v>
      </c>
      <c r="L211" s="1">
        <v>0</v>
      </c>
      <c r="M211" s="1">
        <v>5500000</v>
      </c>
      <c r="N211" s="1">
        <v>0</v>
      </c>
      <c r="O211" s="1">
        <v>1000000</v>
      </c>
      <c r="P211" s="1">
        <v>5547047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1848000</v>
      </c>
      <c r="W211" s="1">
        <v>0</v>
      </c>
      <c r="X211" s="1">
        <v>20313713</v>
      </c>
      <c r="Y211" s="1">
        <v>4000000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4358394</v>
      </c>
      <c r="AH211" s="1">
        <v>3670854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7924353</v>
      </c>
      <c r="AO211" s="1">
        <v>0</v>
      </c>
      <c r="AP211" s="1">
        <v>0</v>
      </c>
      <c r="AQ211" s="1">
        <v>0</v>
      </c>
      <c r="AR211" s="1">
        <v>128176579</v>
      </c>
      <c r="AS211" s="1">
        <v>19438036</v>
      </c>
      <c r="AT211" s="1">
        <v>108738543</v>
      </c>
      <c r="AU211" s="1">
        <v>24901145</v>
      </c>
      <c r="AV211" s="1">
        <v>3735172</v>
      </c>
      <c r="AW211" s="1">
        <f t="shared" si="17"/>
        <v>156812896</v>
      </c>
    </row>
    <row r="212" spans="1:49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16032613</v>
      </c>
      <c r="G212" s="1">
        <v>0</v>
      </c>
      <c r="H212" s="1">
        <v>0</v>
      </c>
      <c r="I212" s="1">
        <v>2905996</v>
      </c>
      <c r="J212" s="1">
        <v>0</v>
      </c>
      <c r="K212" s="1">
        <v>12314718</v>
      </c>
      <c r="L212" s="1">
        <v>0</v>
      </c>
      <c r="M212" s="1">
        <v>-4620000</v>
      </c>
      <c r="N212" s="1">
        <v>0</v>
      </c>
      <c r="O212" s="1">
        <v>1000000</v>
      </c>
      <c r="P212" s="1">
        <v>2710479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1848000</v>
      </c>
      <c r="W212" s="1">
        <v>0</v>
      </c>
      <c r="X212" s="1">
        <v>15171784</v>
      </c>
      <c r="Y212" s="1">
        <v>4000000</v>
      </c>
      <c r="Z212" s="1">
        <v>2327315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2129662</v>
      </c>
      <c r="AH212" s="1">
        <v>1835427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10472339</v>
      </c>
      <c r="AO212" s="1">
        <v>0</v>
      </c>
      <c r="AP212" s="1">
        <v>0</v>
      </c>
      <c r="AQ212" s="1">
        <v>0</v>
      </c>
      <c r="AR212" s="1">
        <v>68128333</v>
      </c>
      <c r="AS212" s="1">
        <v>32113583</v>
      </c>
      <c r="AT212" s="1">
        <v>36014750</v>
      </c>
      <c r="AU212" s="1">
        <v>13258581</v>
      </c>
      <c r="AV212" s="1">
        <v>1988787</v>
      </c>
      <c r="AW212" s="1">
        <f t="shared" si="17"/>
        <v>83375701</v>
      </c>
    </row>
    <row r="213" spans="1:49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15939400</v>
      </c>
      <c r="G213" s="1">
        <v>0</v>
      </c>
      <c r="H213" s="1">
        <v>0</v>
      </c>
      <c r="I213" s="1">
        <v>7386772</v>
      </c>
      <c r="J213" s="1">
        <v>0</v>
      </c>
      <c r="K213" s="1">
        <v>11966084</v>
      </c>
      <c r="L213" s="1">
        <v>0</v>
      </c>
      <c r="M213" s="1">
        <v>4620000</v>
      </c>
      <c r="N213" s="1">
        <v>0</v>
      </c>
      <c r="O213" s="1">
        <v>1000000</v>
      </c>
      <c r="P213" s="1">
        <v>2677854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1848000</v>
      </c>
      <c r="W213" s="1">
        <v>0</v>
      </c>
      <c r="X213" s="1">
        <v>14997604</v>
      </c>
      <c r="Y213" s="1">
        <v>4000000</v>
      </c>
      <c r="Z213" s="1">
        <v>2313784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2104029</v>
      </c>
      <c r="AH213" s="1">
        <v>3670854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10471206</v>
      </c>
      <c r="AO213" s="1">
        <v>0</v>
      </c>
      <c r="AP213" s="1">
        <v>0</v>
      </c>
      <c r="AQ213" s="1">
        <v>0</v>
      </c>
      <c r="AR213" s="1">
        <v>82995587</v>
      </c>
      <c r="AS213" s="1">
        <v>11209168</v>
      </c>
      <c r="AT213" s="1">
        <v>71786419</v>
      </c>
      <c r="AU213" s="1">
        <v>15864947</v>
      </c>
      <c r="AV213" s="1">
        <v>2379742</v>
      </c>
      <c r="AW213" s="1">
        <f t="shared" si="17"/>
        <v>101240276</v>
      </c>
    </row>
    <row r="214" spans="1:49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"قراردادي کارگري"</f>
        <v>قراردادي کارگري</v>
      </c>
      <c r="E214" s="1" t="str">
        <f>"پروژه تعميرات نيروگاه بوشهر"</f>
        <v>پروژه تعميرات نيروگاه بوشهر</v>
      </c>
      <c r="F214" s="1">
        <v>0</v>
      </c>
      <c r="G214" s="1">
        <v>5787841</v>
      </c>
      <c r="H214" s="1">
        <v>3009677</v>
      </c>
      <c r="I214" s="1">
        <v>10121432</v>
      </c>
      <c r="J214" s="1">
        <v>0</v>
      </c>
      <c r="K214" s="1">
        <v>6334212</v>
      </c>
      <c r="L214" s="1">
        <v>0</v>
      </c>
      <c r="M214" s="1">
        <v>0</v>
      </c>
      <c r="N214" s="1">
        <v>11521166</v>
      </c>
      <c r="O214" s="1">
        <v>2000000</v>
      </c>
      <c r="P214" s="1">
        <v>4630273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2640000</v>
      </c>
      <c r="W214" s="1">
        <v>0</v>
      </c>
      <c r="X214" s="1">
        <v>12182030</v>
      </c>
      <c r="Y214" s="1">
        <v>4000000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4692475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5888833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72807939</v>
      </c>
      <c r="AS214" s="1">
        <v>10968494</v>
      </c>
      <c r="AT214" s="1">
        <v>61839445</v>
      </c>
      <c r="AU214" s="1">
        <v>14561588</v>
      </c>
      <c r="AV214" s="1">
        <v>2184238</v>
      </c>
      <c r="AW214" s="1">
        <f t="shared" si="17"/>
        <v>89553765</v>
      </c>
    </row>
    <row r="215" spans="1:49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16664949</v>
      </c>
      <c r="G215" s="1">
        <v>0</v>
      </c>
      <c r="H215" s="1">
        <v>0</v>
      </c>
      <c r="I215" s="1">
        <v>7826015</v>
      </c>
      <c r="J215" s="1">
        <v>0</v>
      </c>
      <c r="K215" s="1">
        <v>12988630</v>
      </c>
      <c r="L215" s="1">
        <v>0</v>
      </c>
      <c r="M215" s="1">
        <v>4620000</v>
      </c>
      <c r="N215" s="1">
        <v>0</v>
      </c>
      <c r="O215" s="1">
        <v>1000000</v>
      </c>
      <c r="P215" s="1">
        <v>2931797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1848000</v>
      </c>
      <c r="W215" s="1">
        <v>0</v>
      </c>
      <c r="X215" s="1">
        <v>15889412</v>
      </c>
      <c r="Y215" s="1">
        <v>4000000</v>
      </c>
      <c r="Z215" s="1">
        <v>2419106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2303554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10835996</v>
      </c>
      <c r="AO215" s="1">
        <v>0</v>
      </c>
      <c r="AP215" s="1">
        <v>0</v>
      </c>
      <c r="AQ215" s="1">
        <v>0</v>
      </c>
      <c r="AR215" s="1">
        <v>83327459</v>
      </c>
      <c r="AS215" s="1">
        <v>12589575</v>
      </c>
      <c r="AT215" s="1">
        <v>70737884</v>
      </c>
      <c r="AU215" s="1">
        <v>16665492</v>
      </c>
      <c r="AV215" s="1">
        <v>2499824</v>
      </c>
      <c r="AW215" s="1">
        <f t="shared" si="17"/>
        <v>102492775</v>
      </c>
    </row>
    <row r="216" spans="1:49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16216520</v>
      </c>
      <c r="G216" s="1">
        <v>0</v>
      </c>
      <c r="H216" s="1">
        <v>0</v>
      </c>
      <c r="I216" s="1">
        <v>6774055</v>
      </c>
      <c r="J216" s="1">
        <v>0</v>
      </c>
      <c r="K216" s="1">
        <v>12766038</v>
      </c>
      <c r="L216" s="1">
        <v>0</v>
      </c>
      <c r="M216" s="1">
        <v>4620000</v>
      </c>
      <c r="N216" s="1">
        <v>0</v>
      </c>
      <c r="O216" s="1">
        <v>1000000</v>
      </c>
      <c r="P216" s="1">
        <v>2774846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1848000</v>
      </c>
      <c r="W216" s="1">
        <v>0</v>
      </c>
      <c r="X216" s="1">
        <v>15472782</v>
      </c>
      <c r="Y216" s="1">
        <v>4000000</v>
      </c>
      <c r="Z216" s="1">
        <v>2354011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2180236</v>
      </c>
      <c r="AH216" s="1">
        <v>3670854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10588352</v>
      </c>
      <c r="AO216" s="1">
        <v>0</v>
      </c>
      <c r="AP216" s="1">
        <v>0</v>
      </c>
      <c r="AQ216" s="1">
        <v>0</v>
      </c>
      <c r="AR216" s="1">
        <v>84265694</v>
      </c>
      <c r="AS216" s="1">
        <v>34112677</v>
      </c>
      <c r="AT216" s="1">
        <v>50153017</v>
      </c>
      <c r="AU216" s="1">
        <v>16118968</v>
      </c>
      <c r="AV216" s="1">
        <v>2417845</v>
      </c>
      <c r="AW216" s="1">
        <f t="shared" si="17"/>
        <v>102802507</v>
      </c>
    </row>
    <row r="217" spans="1:49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0</v>
      </c>
      <c r="G217" s="1">
        <v>6466286</v>
      </c>
      <c r="H217" s="1">
        <v>3362469</v>
      </c>
      <c r="I217" s="1">
        <v>8570455</v>
      </c>
      <c r="J217" s="1">
        <v>0</v>
      </c>
      <c r="K217" s="1">
        <v>7174990</v>
      </c>
      <c r="L217" s="1">
        <v>0</v>
      </c>
      <c r="M217" s="1">
        <v>0</v>
      </c>
      <c r="N217" s="1">
        <v>11558084</v>
      </c>
      <c r="O217" s="1">
        <v>2000000</v>
      </c>
      <c r="P217" s="1">
        <v>5173029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12978829</v>
      </c>
      <c r="Y217" s="1">
        <v>4000000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5060229</v>
      </c>
      <c r="AG217" s="1">
        <v>0</v>
      </c>
      <c r="AH217" s="1">
        <v>3670854</v>
      </c>
      <c r="AI217" s="1">
        <v>0</v>
      </c>
      <c r="AJ217" s="1">
        <v>0</v>
      </c>
      <c r="AK217" s="1">
        <v>0</v>
      </c>
      <c r="AL217" s="1">
        <v>6328951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76344176</v>
      </c>
      <c r="AS217" s="1">
        <v>14382437</v>
      </c>
      <c r="AT217" s="1">
        <v>61961739</v>
      </c>
      <c r="AU217" s="1">
        <v>14534664</v>
      </c>
      <c r="AV217" s="1">
        <v>2180200</v>
      </c>
      <c r="AW217" s="1">
        <f t="shared" si="17"/>
        <v>93059040</v>
      </c>
    </row>
    <row r="218" spans="1:49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 t="shared" ref="D218:D223" si="20">"قراردادي بهره بردار"</f>
        <v>قراردادي بهره بردار</v>
      </c>
      <c r="E218" s="1" t="str">
        <f t="shared" ref="E218:E223" si="21">"پروژه بهره برداري نيروگاه بوشهر"</f>
        <v>پروژه بهره برداري نيروگاه بوشهر</v>
      </c>
      <c r="F218" s="1">
        <v>30311817</v>
      </c>
      <c r="G218" s="1">
        <v>0</v>
      </c>
      <c r="H218" s="1">
        <v>0</v>
      </c>
      <c r="I218" s="1">
        <v>13544203</v>
      </c>
      <c r="J218" s="1">
        <v>0</v>
      </c>
      <c r="K218" s="1">
        <v>32794806</v>
      </c>
      <c r="L218" s="1">
        <v>0</v>
      </c>
      <c r="M218" s="1">
        <v>5500000</v>
      </c>
      <c r="N218" s="1">
        <v>0</v>
      </c>
      <c r="O218" s="1">
        <v>1000000</v>
      </c>
      <c r="P218" s="1">
        <v>4740252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1848000</v>
      </c>
      <c r="W218" s="1">
        <v>0</v>
      </c>
      <c r="X218" s="1">
        <v>17627208</v>
      </c>
      <c r="Y218" s="1">
        <v>4000000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3724484</v>
      </c>
      <c r="AH218" s="1">
        <v>7341708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6771789</v>
      </c>
      <c r="AO218" s="1">
        <v>0</v>
      </c>
      <c r="AP218" s="1">
        <v>0</v>
      </c>
      <c r="AQ218" s="1">
        <v>0</v>
      </c>
      <c r="AR218" s="1">
        <v>129204267</v>
      </c>
      <c r="AS218" s="1">
        <v>51621544</v>
      </c>
      <c r="AT218" s="1">
        <v>77582723</v>
      </c>
      <c r="AU218" s="1">
        <v>24372512</v>
      </c>
      <c r="AV218" s="1">
        <v>3655877</v>
      </c>
      <c r="AW218" s="1">
        <f t="shared" si="17"/>
        <v>157232656</v>
      </c>
    </row>
    <row r="219" spans="1:49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 t="shared" si="20"/>
        <v>قراردادي بهره بردار</v>
      </c>
      <c r="E219" s="1" t="str">
        <f t="shared" si="21"/>
        <v>پروژه بهره برداري نيروگاه بوشهر</v>
      </c>
      <c r="F219" s="1">
        <v>15579145</v>
      </c>
      <c r="G219" s="1">
        <v>0</v>
      </c>
      <c r="H219" s="1">
        <v>0</v>
      </c>
      <c r="I219" s="1">
        <v>2216240</v>
      </c>
      <c r="J219" s="1">
        <v>0</v>
      </c>
      <c r="K219" s="1">
        <v>11975500</v>
      </c>
      <c r="L219" s="1">
        <v>0</v>
      </c>
      <c r="M219" s="1">
        <v>4620000</v>
      </c>
      <c r="N219" s="1">
        <v>0</v>
      </c>
      <c r="O219" s="1">
        <v>1000000</v>
      </c>
      <c r="P219" s="1">
        <v>2551765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1848000</v>
      </c>
      <c r="W219" s="1">
        <v>0</v>
      </c>
      <c r="X219" s="1">
        <v>19344279</v>
      </c>
      <c r="Y219" s="1">
        <v>4000000</v>
      </c>
      <c r="Z219" s="1">
        <v>2216240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2004958</v>
      </c>
      <c r="AH219" s="1">
        <v>3670854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11358920</v>
      </c>
      <c r="AO219" s="1">
        <v>0</v>
      </c>
      <c r="AP219" s="1">
        <v>0</v>
      </c>
      <c r="AQ219" s="1">
        <v>0</v>
      </c>
      <c r="AR219" s="1">
        <v>82385901</v>
      </c>
      <c r="AS219" s="1">
        <v>32005645</v>
      </c>
      <c r="AT219" s="1">
        <v>50380256</v>
      </c>
      <c r="AU219" s="1">
        <v>15743009</v>
      </c>
      <c r="AV219" s="1">
        <v>2361451</v>
      </c>
      <c r="AW219" s="1">
        <f t="shared" si="17"/>
        <v>100490361</v>
      </c>
    </row>
    <row r="220" spans="1:49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16360118</v>
      </c>
      <c r="G220" s="1">
        <v>0</v>
      </c>
      <c r="H220" s="1">
        <v>0</v>
      </c>
      <c r="I220" s="1">
        <v>3737006</v>
      </c>
      <c r="J220" s="1">
        <v>0</v>
      </c>
      <c r="K220" s="1">
        <v>12646845</v>
      </c>
      <c r="L220" s="1">
        <v>0</v>
      </c>
      <c r="M220" s="1">
        <v>4620000</v>
      </c>
      <c r="N220" s="1">
        <v>0</v>
      </c>
      <c r="O220" s="1">
        <v>1000000</v>
      </c>
      <c r="P220" s="1">
        <v>2825105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1848000</v>
      </c>
      <c r="W220" s="1">
        <v>0</v>
      </c>
      <c r="X220" s="1">
        <v>20386354</v>
      </c>
      <c r="Y220" s="1">
        <v>4000000</v>
      </c>
      <c r="Z220" s="1">
        <v>1401377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2219726</v>
      </c>
      <c r="AH220" s="1">
        <v>3670854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11760240</v>
      </c>
      <c r="AO220" s="1">
        <v>0</v>
      </c>
      <c r="AP220" s="1">
        <v>0</v>
      </c>
      <c r="AQ220" s="1">
        <v>0</v>
      </c>
      <c r="AR220" s="1">
        <v>86475625</v>
      </c>
      <c r="AS220" s="1">
        <v>31103192</v>
      </c>
      <c r="AT220" s="1">
        <v>55372433</v>
      </c>
      <c r="AU220" s="1">
        <v>16560954</v>
      </c>
      <c r="AV220" s="1">
        <v>2484143</v>
      </c>
      <c r="AW220" s="1">
        <f t="shared" si="17"/>
        <v>105520722</v>
      </c>
    </row>
    <row r="221" spans="1:49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15659762</v>
      </c>
      <c r="G221" s="1">
        <v>0</v>
      </c>
      <c r="H221" s="1">
        <v>0</v>
      </c>
      <c r="I221" s="1">
        <v>5798068</v>
      </c>
      <c r="J221" s="1">
        <v>0</v>
      </c>
      <c r="K221" s="1">
        <v>12054547</v>
      </c>
      <c r="L221" s="1">
        <v>0</v>
      </c>
      <c r="M221" s="1">
        <v>4620000</v>
      </c>
      <c r="N221" s="1">
        <v>0</v>
      </c>
      <c r="O221" s="1">
        <v>1000000</v>
      </c>
      <c r="P221" s="1">
        <v>2579981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1848000</v>
      </c>
      <c r="W221" s="1">
        <v>0</v>
      </c>
      <c r="X221" s="1">
        <v>19464612</v>
      </c>
      <c r="Y221" s="1">
        <v>4000000</v>
      </c>
      <c r="Z221" s="1">
        <v>1338016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2027128</v>
      </c>
      <c r="AH221" s="1">
        <v>1835427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11419282</v>
      </c>
      <c r="AO221" s="1">
        <v>0</v>
      </c>
      <c r="AP221" s="1">
        <v>0</v>
      </c>
      <c r="AQ221" s="1">
        <v>0</v>
      </c>
      <c r="AR221" s="1">
        <v>83644823</v>
      </c>
      <c r="AS221" s="1">
        <v>26512239</v>
      </c>
      <c r="AT221" s="1">
        <v>57132584</v>
      </c>
      <c r="AU221" s="1">
        <v>16361879</v>
      </c>
      <c r="AV221" s="1">
        <v>2454282</v>
      </c>
      <c r="AW221" s="1">
        <f t="shared" si="17"/>
        <v>102460984</v>
      </c>
    </row>
    <row r="222" spans="1:49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29488016</v>
      </c>
      <c r="G222" s="1">
        <v>0</v>
      </c>
      <c r="H222" s="1">
        <v>0</v>
      </c>
      <c r="I222" s="1">
        <v>1313595</v>
      </c>
      <c r="J222" s="1">
        <v>0</v>
      </c>
      <c r="K222" s="1">
        <v>31547966</v>
      </c>
      <c r="L222" s="1">
        <v>0</v>
      </c>
      <c r="M222" s="1">
        <v>5500000</v>
      </c>
      <c r="N222" s="1">
        <v>0</v>
      </c>
      <c r="O222" s="1">
        <v>1000000</v>
      </c>
      <c r="P222" s="1">
        <v>4451922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1848000</v>
      </c>
      <c r="W222" s="1">
        <v>0</v>
      </c>
      <c r="X222" s="1">
        <v>17095887</v>
      </c>
      <c r="Y222" s="1">
        <v>4000000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3497939</v>
      </c>
      <c r="AH222" s="1">
        <v>3670854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6995877</v>
      </c>
      <c r="AO222" s="1">
        <v>0</v>
      </c>
      <c r="AP222" s="1">
        <v>0</v>
      </c>
      <c r="AQ222" s="1">
        <v>0</v>
      </c>
      <c r="AR222" s="1">
        <v>110410056</v>
      </c>
      <c r="AS222" s="1">
        <v>56537234</v>
      </c>
      <c r="AT222" s="1">
        <v>53872822</v>
      </c>
      <c r="AU222" s="1">
        <v>21347840</v>
      </c>
      <c r="AV222" s="1">
        <v>3202176</v>
      </c>
      <c r="AW222" s="1">
        <f t="shared" si="17"/>
        <v>134960072</v>
      </c>
    </row>
    <row r="223" spans="1:49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34420740</v>
      </c>
      <c r="G223" s="1">
        <v>0</v>
      </c>
      <c r="H223" s="1">
        <v>0</v>
      </c>
      <c r="I223" s="1">
        <v>8740995</v>
      </c>
      <c r="J223" s="1">
        <v>0</v>
      </c>
      <c r="K223" s="1">
        <v>34637160</v>
      </c>
      <c r="L223" s="1">
        <v>0</v>
      </c>
      <c r="M223" s="1">
        <v>5500000</v>
      </c>
      <c r="N223" s="1">
        <v>0</v>
      </c>
      <c r="O223" s="1">
        <v>1000000</v>
      </c>
      <c r="P223" s="1">
        <v>5137037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1848000</v>
      </c>
      <c r="W223" s="1">
        <v>0</v>
      </c>
      <c r="X223" s="1">
        <v>17383339</v>
      </c>
      <c r="Y223" s="1">
        <v>4000000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4036243</v>
      </c>
      <c r="AH223" s="1">
        <v>3670854</v>
      </c>
      <c r="AI223" s="1">
        <v>1007707</v>
      </c>
      <c r="AJ223" s="1">
        <v>0</v>
      </c>
      <c r="AK223" s="1">
        <v>0</v>
      </c>
      <c r="AL223" s="1">
        <v>0</v>
      </c>
      <c r="AM223" s="1">
        <v>0</v>
      </c>
      <c r="AN223" s="1">
        <v>6604762</v>
      </c>
      <c r="AO223" s="1">
        <v>0</v>
      </c>
      <c r="AP223" s="1">
        <v>0</v>
      </c>
      <c r="AQ223" s="1">
        <v>0</v>
      </c>
      <c r="AR223" s="1">
        <v>127986837</v>
      </c>
      <c r="AS223" s="1">
        <v>57903108</v>
      </c>
      <c r="AT223" s="1">
        <v>70083729</v>
      </c>
      <c r="AU223" s="1">
        <v>24863197</v>
      </c>
      <c r="AV223" s="1">
        <v>3729479</v>
      </c>
      <c r="AW223" s="1">
        <f t="shared" si="17"/>
        <v>156579513</v>
      </c>
    </row>
    <row r="224" spans="1:49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0</v>
      </c>
      <c r="G224" s="1">
        <v>7942233</v>
      </c>
      <c r="H224" s="1">
        <v>3971117</v>
      </c>
      <c r="I224" s="1">
        <v>6536877</v>
      </c>
      <c r="J224" s="1">
        <v>0</v>
      </c>
      <c r="K224" s="1">
        <v>10007213</v>
      </c>
      <c r="L224" s="1">
        <v>0</v>
      </c>
      <c r="M224" s="1">
        <v>0</v>
      </c>
      <c r="N224" s="1">
        <v>11331151</v>
      </c>
      <c r="O224" s="1">
        <v>2000000</v>
      </c>
      <c r="P224" s="1">
        <v>6353787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2640000</v>
      </c>
      <c r="W224" s="1">
        <v>0</v>
      </c>
      <c r="X224" s="1">
        <v>14886788</v>
      </c>
      <c r="Y224" s="1">
        <v>4000000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69669166</v>
      </c>
      <c r="AS224" s="1">
        <v>13156875</v>
      </c>
      <c r="AT224" s="1">
        <v>56512291</v>
      </c>
      <c r="AU224" s="1">
        <v>13933833</v>
      </c>
      <c r="AV224" s="1">
        <v>2090075</v>
      </c>
      <c r="AW224" s="1">
        <f t="shared" si="17"/>
        <v>85693074</v>
      </c>
    </row>
    <row r="225" spans="1:49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0</v>
      </c>
      <c r="G225" s="1">
        <v>6438212</v>
      </c>
      <c r="H225" s="1">
        <v>3283488</v>
      </c>
      <c r="I225" s="1">
        <v>3282550</v>
      </c>
      <c r="J225" s="1">
        <v>0</v>
      </c>
      <c r="K225" s="1">
        <v>7194058</v>
      </c>
      <c r="L225" s="1">
        <v>0</v>
      </c>
      <c r="M225" s="1">
        <v>0</v>
      </c>
      <c r="N225" s="1">
        <v>11521166</v>
      </c>
      <c r="O225" s="1">
        <v>2000000</v>
      </c>
      <c r="P225" s="1">
        <v>5150569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2640000</v>
      </c>
      <c r="W225" s="1">
        <v>0</v>
      </c>
      <c r="X225" s="1">
        <v>12930936</v>
      </c>
      <c r="Y225" s="1">
        <v>4000000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5506281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63947260</v>
      </c>
      <c r="AS225" s="1">
        <v>9760508</v>
      </c>
      <c r="AT225" s="1">
        <v>54186752</v>
      </c>
      <c r="AU225" s="1">
        <v>11688196</v>
      </c>
      <c r="AV225" s="1">
        <v>1753229</v>
      </c>
      <c r="AW225" s="1">
        <f t="shared" si="17"/>
        <v>77388685</v>
      </c>
    </row>
    <row r="226" spans="1:49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0</v>
      </c>
      <c r="G226" s="1">
        <v>5642794</v>
      </c>
      <c r="H226" s="1">
        <v>2934252</v>
      </c>
      <c r="I226" s="1">
        <v>0</v>
      </c>
      <c r="J226" s="1">
        <v>0</v>
      </c>
      <c r="K226" s="1">
        <v>6347014</v>
      </c>
      <c r="L226" s="1">
        <v>0</v>
      </c>
      <c r="M226" s="1">
        <v>0</v>
      </c>
      <c r="N226" s="1">
        <v>11521166</v>
      </c>
      <c r="O226" s="1">
        <v>2000000</v>
      </c>
      <c r="P226" s="1">
        <v>4514234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2640000</v>
      </c>
      <c r="W226" s="1">
        <v>0</v>
      </c>
      <c r="X226" s="1">
        <v>12076825</v>
      </c>
      <c r="Y226" s="1">
        <v>4000000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3670854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55347139</v>
      </c>
      <c r="AS226" s="1">
        <v>10655920</v>
      </c>
      <c r="AT226" s="1">
        <v>44691219</v>
      </c>
      <c r="AU226" s="1">
        <v>10335257</v>
      </c>
      <c r="AV226" s="1">
        <v>1550289</v>
      </c>
      <c r="AW226" s="1">
        <f t="shared" si="17"/>
        <v>67232685</v>
      </c>
    </row>
    <row r="227" spans="1:49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"قراردادي بهره بردار"</f>
        <v>قراردادي بهره بردار</v>
      </c>
      <c r="E227" s="1" t="str">
        <f>"پروژه بهره برداري نيروگاه بوشهر"</f>
        <v>پروژه بهره برداري نيروگاه بوشهر</v>
      </c>
      <c r="F227" s="1">
        <v>17879236</v>
      </c>
      <c r="G227" s="1">
        <v>0</v>
      </c>
      <c r="H227" s="1">
        <v>0</v>
      </c>
      <c r="I227" s="1">
        <v>2771390</v>
      </c>
      <c r="J227" s="1">
        <v>0</v>
      </c>
      <c r="K227" s="1">
        <v>15723011</v>
      </c>
      <c r="L227" s="1">
        <v>0</v>
      </c>
      <c r="M227" s="1">
        <v>4620000</v>
      </c>
      <c r="N227" s="1">
        <v>0</v>
      </c>
      <c r="O227" s="1">
        <v>1000000</v>
      </c>
      <c r="P227" s="1">
        <v>3356797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1848000</v>
      </c>
      <c r="W227" s="1">
        <v>0</v>
      </c>
      <c r="X227" s="1">
        <v>16880527</v>
      </c>
      <c r="Y227" s="1">
        <v>4000000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2637483</v>
      </c>
      <c r="AH227" s="1">
        <v>3670854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8980531</v>
      </c>
      <c r="AO227" s="1">
        <v>0</v>
      </c>
      <c r="AP227" s="1">
        <v>0</v>
      </c>
      <c r="AQ227" s="1">
        <v>0</v>
      </c>
      <c r="AR227" s="1">
        <v>83367829</v>
      </c>
      <c r="AS227" s="1">
        <v>38562289</v>
      </c>
      <c r="AT227" s="1">
        <v>44805540</v>
      </c>
      <c r="AU227" s="1">
        <v>15939395</v>
      </c>
      <c r="AV227" s="1">
        <v>2390909</v>
      </c>
      <c r="AW227" s="1">
        <f t="shared" si="17"/>
        <v>101698133</v>
      </c>
    </row>
    <row r="228" spans="1:49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0</v>
      </c>
      <c r="G228" s="1">
        <v>6957574</v>
      </c>
      <c r="H228" s="1">
        <v>3548362</v>
      </c>
      <c r="I228" s="1">
        <v>0</v>
      </c>
      <c r="J228" s="1">
        <v>0</v>
      </c>
      <c r="K228" s="1">
        <v>7774393</v>
      </c>
      <c r="L228" s="1">
        <v>0</v>
      </c>
      <c r="M228" s="1">
        <v>0</v>
      </c>
      <c r="N228" s="1">
        <v>11521166</v>
      </c>
      <c r="O228" s="1">
        <v>2000000</v>
      </c>
      <c r="P228" s="1">
        <v>5566059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2640000</v>
      </c>
      <c r="W228" s="1">
        <v>0</v>
      </c>
      <c r="X228" s="1">
        <v>13509455</v>
      </c>
      <c r="Y228" s="1">
        <v>4000000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3670854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61187863</v>
      </c>
      <c r="AS228" s="1">
        <v>9918793</v>
      </c>
      <c r="AT228" s="1">
        <v>51269070</v>
      </c>
      <c r="AU228" s="1">
        <v>11503402</v>
      </c>
      <c r="AV228" s="1">
        <v>1725510</v>
      </c>
      <c r="AW228" s="1">
        <f t="shared" si="17"/>
        <v>74416775</v>
      </c>
    </row>
    <row r="229" spans="1:49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0</v>
      </c>
      <c r="G229" s="1">
        <v>6873353</v>
      </c>
      <c r="H229" s="1">
        <v>3505410</v>
      </c>
      <c r="I229" s="1">
        <v>1579920</v>
      </c>
      <c r="J229" s="1">
        <v>0</v>
      </c>
      <c r="K229" s="1">
        <v>7680285</v>
      </c>
      <c r="L229" s="1">
        <v>0</v>
      </c>
      <c r="M229" s="1">
        <v>0</v>
      </c>
      <c r="N229" s="1">
        <v>11521166</v>
      </c>
      <c r="O229" s="1">
        <v>2000000</v>
      </c>
      <c r="P229" s="1">
        <v>5498683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2640000</v>
      </c>
      <c r="W229" s="1">
        <v>0</v>
      </c>
      <c r="X229" s="1">
        <v>9700541</v>
      </c>
      <c r="Y229" s="1">
        <v>4000000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54999358</v>
      </c>
      <c r="AS229" s="1">
        <v>5543896</v>
      </c>
      <c r="AT229" s="1">
        <v>49455462</v>
      </c>
      <c r="AU229" s="1">
        <v>10999872</v>
      </c>
      <c r="AV229" s="1">
        <v>1649981</v>
      </c>
      <c r="AW229" s="1">
        <f t="shared" si="17"/>
        <v>67649211</v>
      </c>
    </row>
    <row r="230" spans="1:49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0</v>
      </c>
      <c r="G230" s="1">
        <v>6606654</v>
      </c>
      <c r="H230" s="1">
        <v>3369393</v>
      </c>
      <c r="I230" s="1">
        <v>0</v>
      </c>
      <c r="J230" s="1">
        <v>0</v>
      </c>
      <c r="K230" s="1">
        <v>7382275</v>
      </c>
      <c r="L230" s="1">
        <v>0</v>
      </c>
      <c r="M230" s="1">
        <v>0</v>
      </c>
      <c r="N230" s="1">
        <v>11521166</v>
      </c>
      <c r="O230" s="1">
        <v>2000000</v>
      </c>
      <c r="P230" s="1">
        <v>5285323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2640000</v>
      </c>
      <c r="W230" s="1">
        <v>0</v>
      </c>
      <c r="X230" s="1">
        <v>14127684</v>
      </c>
      <c r="Y230" s="1">
        <v>4000000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1835427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58767922</v>
      </c>
      <c r="AS230" s="1">
        <v>26212305</v>
      </c>
      <c r="AT230" s="1">
        <v>32555617</v>
      </c>
      <c r="AU230" s="1">
        <v>11386499</v>
      </c>
      <c r="AV230" s="1">
        <v>1707975</v>
      </c>
      <c r="AW230" s="1">
        <f t="shared" si="17"/>
        <v>71862396</v>
      </c>
    </row>
    <row r="231" spans="1:49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"قراردادي بهره بردار"</f>
        <v>قراردادي بهره بردار</v>
      </c>
      <c r="E231" s="1" t="str">
        <f>"پروژه تعميرات نيروگاه بوشهر"</f>
        <v>پروژه تعميرات نيروگاه بوشهر</v>
      </c>
      <c r="F231" s="1">
        <v>18284837</v>
      </c>
      <c r="G231" s="1">
        <v>0</v>
      </c>
      <c r="H231" s="1">
        <v>0</v>
      </c>
      <c r="I231" s="1">
        <v>8790699</v>
      </c>
      <c r="J231" s="1">
        <v>0</v>
      </c>
      <c r="K231" s="1">
        <v>15771891</v>
      </c>
      <c r="L231" s="1">
        <v>0</v>
      </c>
      <c r="M231" s="1">
        <v>3465000</v>
      </c>
      <c r="N231" s="1">
        <v>0</v>
      </c>
      <c r="O231" s="1">
        <v>1000000</v>
      </c>
      <c r="P231" s="1">
        <v>3498757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1848000</v>
      </c>
      <c r="W231" s="1">
        <v>0</v>
      </c>
      <c r="X231" s="1">
        <v>14830567</v>
      </c>
      <c r="Y231" s="1">
        <v>4000000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2749024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7153307</v>
      </c>
      <c r="AO231" s="1">
        <v>0</v>
      </c>
      <c r="AP231" s="1">
        <v>0</v>
      </c>
      <c r="AQ231" s="1">
        <v>0</v>
      </c>
      <c r="AR231" s="1">
        <v>81392082</v>
      </c>
      <c r="AS231" s="1">
        <v>24866116</v>
      </c>
      <c r="AT231" s="1">
        <v>56525966</v>
      </c>
      <c r="AU231" s="1">
        <v>16278416</v>
      </c>
      <c r="AV231" s="1">
        <v>2441762</v>
      </c>
      <c r="AW231" s="1">
        <f t="shared" si="17"/>
        <v>100112260</v>
      </c>
    </row>
    <row r="232" spans="1:49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0</v>
      </c>
      <c r="G232" s="1">
        <v>6106008</v>
      </c>
      <c r="H232" s="1">
        <v>3053004</v>
      </c>
      <c r="I232" s="1">
        <v>2779081</v>
      </c>
      <c r="J232" s="1">
        <v>0</v>
      </c>
      <c r="K232" s="1">
        <v>6594488</v>
      </c>
      <c r="L232" s="1">
        <v>0</v>
      </c>
      <c r="M232" s="1">
        <v>0</v>
      </c>
      <c r="N232" s="1">
        <v>11521166</v>
      </c>
      <c r="O232" s="1">
        <v>2000000</v>
      </c>
      <c r="P232" s="1">
        <v>4884806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17069965</v>
      </c>
      <c r="Y232" s="1">
        <v>4000000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4823921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4446530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67278969</v>
      </c>
      <c r="AS232" s="1">
        <v>12551546</v>
      </c>
      <c r="AT232" s="1">
        <v>54727423</v>
      </c>
      <c r="AU232" s="1">
        <v>13455794</v>
      </c>
      <c r="AV232" s="1">
        <v>2018369</v>
      </c>
      <c r="AW232" s="1">
        <f t="shared" si="17"/>
        <v>82753132</v>
      </c>
    </row>
    <row r="233" spans="1:49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"قراردادي بهره بردار"</f>
        <v>قراردادي بهره بردار</v>
      </c>
      <c r="E233" s="1" t="str">
        <f>"پروژه بهره برداري نيروگاه بوشهر"</f>
        <v>پروژه بهره برداري نيروگاه بوشهر</v>
      </c>
      <c r="F233" s="1">
        <v>16350041</v>
      </c>
      <c r="G233" s="1">
        <v>0</v>
      </c>
      <c r="H233" s="1">
        <v>0</v>
      </c>
      <c r="I233" s="1">
        <v>3355482</v>
      </c>
      <c r="J233" s="1">
        <v>0</v>
      </c>
      <c r="K233" s="1">
        <v>12041024</v>
      </c>
      <c r="L233" s="1">
        <v>0</v>
      </c>
      <c r="M233" s="1">
        <v>4620000</v>
      </c>
      <c r="N233" s="1">
        <v>0</v>
      </c>
      <c r="O233" s="1">
        <v>1000000</v>
      </c>
      <c r="P233" s="1">
        <v>2821579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1848000</v>
      </c>
      <c r="W233" s="1">
        <v>0</v>
      </c>
      <c r="X233" s="1">
        <v>15328672</v>
      </c>
      <c r="Y233" s="1">
        <v>4000000</v>
      </c>
      <c r="Z233" s="1">
        <v>2373393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2216955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10681691</v>
      </c>
      <c r="AO233" s="1">
        <v>0</v>
      </c>
      <c r="AP233" s="1">
        <v>0</v>
      </c>
      <c r="AQ233" s="1">
        <v>0</v>
      </c>
      <c r="AR233" s="1">
        <v>76636837</v>
      </c>
      <c r="AS233" s="1">
        <v>28215852</v>
      </c>
      <c r="AT233" s="1">
        <v>48420985</v>
      </c>
      <c r="AU233" s="1">
        <v>15327367</v>
      </c>
      <c r="AV233" s="1">
        <v>2299105</v>
      </c>
      <c r="AW233" s="1">
        <f t="shared" si="17"/>
        <v>94263309</v>
      </c>
    </row>
    <row r="234" spans="1:49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0</v>
      </c>
      <c r="G234" s="1">
        <v>6003071</v>
      </c>
      <c r="H234" s="1">
        <v>3121597</v>
      </c>
      <c r="I234" s="1">
        <v>2832712</v>
      </c>
      <c r="J234" s="1">
        <v>0</v>
      </c>
      <c r="K234" s="1">
        <v>6478514</v>
      </c>
      <c r="L234" s="1">
        <v>0</v>
      </c>
      <c r="M234" s="1">
        <v>0</v>
      </c>
      <c r="N234" s="1">
        <v>11521166</v>
      </c>
      <c r="O234" s="1">
        <v>2000000</v>
      </c>
      <c r="P234" s="1">
        <v>4802457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2640000</v>
      </c>
      <c r="W234" s="1">
        <v>0</v>
      </c>
      <c r="X234" s="1">
        <v>12677163</v>
      </c>
      <c r="Y234" s="1">
        <v>4000000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4789021</v>
      </c>
      <c r="AG234" s="1">
        <v>0</v>
      </c>
      <c r="AH234" s="1">
        <v>1835427</v>
      </c>
      <c r="AI234" s="1">
        <v>0</v>
      </c>
      <c r="AJ234" s="1">
        <v>0</v>
      </c>
      <c r="AK234" s="1">
        <v>0</v>
      </c>
      <c r="AL234" s="1">
        <v>6043118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68744246</v>
      </c>
      <c r="AS234" s="1">
        <v>10341680</v>
      </c>
      <c r="AT234" s="1">
        <v>58402566</v>
      </c>
      <c r="AU234" s="1">
        <v>13381764</v>
      </c>
      <c r="AV234" s="1">
        <v>2007265</v>
      </c>
      <c r="AW234" s="1">
        <f t="shared" si="17"/>
        <v>84133275</v>
      </c>
    </row>
    <row r="235" spans="1:49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23393910</v>
      </c>
      <c r="G235" s="1">
        <v>0</v>
      </c>
      <c r="H235" s="1">
        <v>0</v>
      </c>
      <c r="I235" s="1">
        <v>5124952</v>
      </c>
      <c r="J235" s="1">
        <v>0</v>
      </c>
      <c r="K235" s="1">
        <v>21650225</v>
      </c>
      <c r="L235" s="1">
        <v>0</v>
      </c>
      <c r="M235" s="1">
        <v>5500000</v>
      </c>
      <c r="N235" s="1">
        <v>0</v>
      </c>
      <c r="O235" s="1">
        <v>1000000</v>
      </c>
      <c r="P235" s="1">
        <v>4876922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1848000</v>
      </c>
      <c r="W235" s="1">
        <v>0</v>
      </c>
      <c r="X235" s="1">
        <v>13339816</v>
      </c>
      <c r="Y235" s="1">
        <v>4000000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3831868</v>
      </c>
      <c r="AH235" s="1">
        <v>3670854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5535144</v>
      </c>
      <c r="AO235" s="1">
        <v>0</v>
      </c>
      <c r="AP235" s="1">
        <v>0</v>
      </c>
      <c r="AQ235" s="1">
        <v>0</v>
      </c>
      <c r="AR235" s="1">
        <v>93771691</v>
      </c>
      <c r="AS235" s="1">
        <v>46985573</v>
      </c>
      <c r="AT235" s="1">
        <v>46786118</v>
      </c>
      <c r="AU235" s="1">
        <v>18020167</v>
      </c>
      <c r="AV235" s="1">
        <v>2703025</v>
      </c>
      <c r="AW235" s="1">
        <f t="shared" si="17"/>
        <v>114494883</v>
      </c>
    </row>
    <row r="236" spans="1:49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17508903</v>
      </c>
      <c r="G236" s="1">
        <v>0</v>
      </c>
      <c r="H236" s="1">
        <v>0</v>
      </c>
      <c r="I236" s="1">
        <v>19063880</v>
      </c>
      <c r="J236" s="1">
        <v>0</v>
      </c>
      <c r="K236" s="1">
        <v>18281311</v>
      </c>
      <c r="L236" s="1">
        <v>0</v>
      </c>
      <c r="M236" s="1">
        <v>0</v>
      </c>
      <c r="N236" s="1">
        <v>0</v>
      </c>
      <c r="O236" s="1">
        <v>1000000</v>
      </c>
      <c r="P236" s="1">
        <v>3456434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1848000</v>
      </c>
      <c r="W236" s="1">
        <v>0</v>
      </c>
      <c r="X236" s="1">
        <v>4815729</v>
      </c>
      <c r="Y236" s="1">
        <v>4000000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2715769</v>
      </c>
      <c r="AH236" s="1">
        <v>3670854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6194877</v>
      </c>
      <c r="AO236" s="1">
        <v>0</v>
      </c>
      <c r="AP236" s="1">
        <v>0</v>
      </c>
      <c r="AQ236" s="1">
        <v>0</v>
      </c>
      <c r="AR236" s="1">
        <v>82555757</v>
      </c>
      <c r="AS236" s="1">
        <v>20593137</v>
      </c>
      <c r="AT236" s="1">
        <v>61962620</v>
      </c>
      <c r="AU236" s="1">
        <v>15776981</v>
      </c>
      <c r="AV236" s="1">
        <v>2366547</v>
      </c>
      <c r="AW236" s="1">
        <f t="shared" si="17"/>
        <v>100699285</v>
      </c>
    </row>
    <row r="237" spans="1:49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33891694</v>
      </c>
      <c r="G237" s="1">
        <v>0</v>
      </c>
      <c r="H237" s="1">
        <v>0</v>
      </c>
      <c r="I237" s="1">
        <v>5139552</v>
      </c>
      <c r="J237" s="1">
        <v>0</v>
      </c>
      <c r="K237" s="1">
        <v>38104547</v>
      </c>
      <c r="L237" s="1">
        <v>0</v>
      </c>
      <c r="M237" s="1">
        <v>5500000</v>
      </c>
      <c r="N237" s="1">
        <v>0</v>
      </c>
      <c r="O237" s="1">
        <v>1000000</v>
      </c>
      <c r="P237" s="1">
        <v>5679309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1848000</v>
      </c>
      <c r="W237" s="1">
        <v>0</v>
      </c>
      <c r="X237" s="1">
        <v>26923369</v>
      </c>
      <c r="Y237" s="1">
        <v>4000000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3892267</v>
      </c>
      <c r="AF237" s="1">
        <v>0</v>
      </c>
      <c r="AG237" s="1">
        <v>4462314</v>
      </c>
      <c r="AH237" s="1">
        <v>1835427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8437830</v>
      </c>
      <c r="AO237" s="1">
        <v>0</v>
      </c>
      <c r="AP237" s="1">
        <v>0</v>
      </c>
      <c r="AQ237" s="1">
        <v>0</v>
      </c>
      <c r="AR237" s="1">
        <v>140714309</v>
      </c>
      <c r="AS237" s="1">
        <v>54147478</v>
      </c>
      <c r="AT237" s="1">
        <v>86566831</v>
      </c>
      <c r="AU237" s="1">
        <v>27637511</v>
      </c>
      <c r="AV237" s="1">
        <v>4145627</v>
      </c>
      <c r="AW237" s="1">
        <f t="shared" si="17"/>
        <v>172497447</v>
      </c>
    </row>
    <row r="238" spans="1:49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31395101</v>
      </c>
      <c r="G238" s="1">
        <v>0</v>
      </c>
      <c r="H238" s="1">
        <v>0</v>
      </c>
      <c r="I238" s="1">
        <v>3886020</v>
      </c>
      <c r="J238" s="1">
        <v>0</v>
      </c>
      <c r="K238" s="1">
        <v>33522997</v>
      </c>
      <c r="L238" s="1">
        <v>0</v>
      </c>
      <c r="M238" s="1">
        <v>5500000</v>
      </c>
      <c r="N238" s="1">
        <v>0</v>
      </c>
      <c r="O238" s="1">
        <v>1000000</v>
      </c>
      <c r="P238" s="1">
        <v>5119402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1848000</v>
      </c>
      <c r="W238" s="1">
        <v>0</v>
      </c>
      <c r="X238" s="1">
        <v>13336150</v>
      </c>
      <c r="Y238" s="1">
        <v>4000000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4022387</v>
      </c>
      <c r="AH238" s="1">
        <v>3670854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4388058</v>
      </c>
      <c r="AO238" s="1">
        <v>0</v>
      </c>
      <c r="AP238" s="1">
        <v>0</v>
      </c>
      <c r="AQ238" s="1">
        <v>0</v>
      </c>
      <c r="AR238" s="1">
        <v>111688969</v>
      </c>
      <c r="AS238" s="1">
        <v>23895623</v>
      </c>
      <c r="AT238" s="1">
        <v>87793346</v>
      </c>
      <c r="AU238" s="1">
        <v>21603623</v>
      </c>
      <c r="AV238" s="1">
        <v>3240543</v>
      </c>
      <c r="AW238" s="1">
        <f t="shared" si="17"/>
        <v>136533135</v>
      </c>
    </row>
    <row r="239" spans="1:49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 t="shared" ref="D239:D246" si="22">"قراردادي کارگري"</f>
        <v>قراردادي کارگري</v>
      </c>
      <c r="E239" s="1" t="str">
        <f t="shared" ref="E239:E246" si="23">"پروژه تعميرات نيروگاه بوشهر"</f>
        <v>پروژه تعميرات نيروگاه بوشهر</v>
      </c>
      <c r="F239" s="1">
        <v>0</v>
      </c>
      <c r="G239" s="1">
        <v>5100037</v>
      </c>
      <c r="H239" s="1">
        <v>2805021</v>
      </c>
      <c r="I239" s="1">
        <v>0</v>
      </c>
      <c r="J239" s="1">
        <v>0</v>
      </c>
      <c r="K239" s="1">
        <v>7114552</v>
      </c>
      <c r="L239" s="1">
        <v>0</v>
      </c>
      <c r="M239" s="1">
        <v>0</v>
      </c>
      <c r="N239" s="1">
        <v>11572430</v>
      </c>
      <c r="O239" s="1">
        <v>2000000</v>
      </c>
      <c r="P239" s="1">
        <v>4080030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2640000</v>
      </c>
      <c r="W239" s="1">
        <v>0</v>
      </c>
      <c r="X239" s="1">
        <v>12905225</v>
      </c>
      <c r="Y239" s="1">
        <v>4000000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1835427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54052722</v>
      </c>
      <c r="AS239" s="1">
        <v>5030963</v>
      </c>
      <c r="AT239" s="1">
        <v>49021759</v>
      </c>
      <c r="AU239" s="1">
        <v>10443459</v>
      </c>
      <c r="AV239" s="1">
        <v>1566519</v>
      </c>
      <c r="AW239" s="1">
        <f t="shared" si="17"/>
        <v>66062700</v>
      </c>
    </row>
    <row r="240" spans="1:49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 t="shared" si="22"/>
        <v>قراردادي کارگري</v>
      </c>
      <c r="E240" s="1" t="str">
        <f t="shared" si="23"/>
        <v>پروژه تعميرات نيروگاه بوشهر</v>
      </c>
      <c r="F240" s="1">
        <v>0</v>
      </c>
      <c r="G240" s="1">
        <v>6587938</v>
      </c>
      <c r="H240" s="1">
        <v>3425727</v>
      </c>
      <c r="I240" s="1">
        <v>680601</v>
      </c>
      <c r="J240" s="1">
        <v>0</v>
      </c>
      <c r="K240" s="1">
        <v>7309976</v>
      </c>
      <c r="L240" s="1">
        <v>0</v>
      </c>
      <c r="M240" s="1">
        <v>0</v>
      </c>
      <c r="N240" s="1">
        <v>11521166</v>
      </c>
      <c r="O240" s="1">
        <v>2000000</v>
      </c>
      <c r="P240" s="1">
        <v>5270350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14110305</v>
      </c>
      <c r="Y240" s="1">
        <v>4000000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5117274</v>
      </c>
      <c r="AG240" s="1">
        <v>0</v>
      </c>
      <c r="AH240" s="1">
        <v>1835427</v>
      </c>
      <c r="AI240" s="1">
        <v>0</v>
      </c>
      <c r="AJ240" s="1">
        <v>0</v>
      </c>
      <c r="AK240" s="1">
        <v>0</v>
      </c>
      <c r="AL240" s="1">
        <v>15245469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77104233</v>
      </c>
      <c r="AS240" s="1">
        <v>9092357</v>
      </c>
      <c r="AT240" s="1">
        <v>68011876</v>
      </c>
      <c r="AU240" s="1">
        <v>15053761</v>
      </c>
      <c r="AV240" s="1">
        <v>2258064</v>
      </c>
      <c r="AW240" s="1">
        <f t="shared" si="17"/>
        <v>94416058</v>
      </c>
    </row>
    <row r="241" spans="1:49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0</v>
      </c>
      <c r="G241" s="1">
        <v>5628757</v>
      </c>
      <c r="H241" s="1">
        <v>2926954</v>
      </c>
      <c r="I241" s="1">
        <v>0</v>
      </c>
      <c r="J241" s="1">
        <v>0</v>
      </c>
      <c r="K241" s="1">
        <v>6160111</v>
      </c>
      <c r="L241" s="1">
        <v>0</v>
      </c>
      <c r="M241" s="1">
        <v>0</v>
      </c>
      <c r="N241" s="1">
        <v>11521166</v>
      </c>
      <c r="O241" s="1">
        <v>2000000</v>
      </c>
      <c r="P241" s="1">
        <v>4503005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2640000</v>
      </c>
      <c r="W241" s="1">
        <v>0</v>
      </c>
      <c r="X241" s="1">
        <v>12005498</v>
      </c>
      <c r="Y241" s="1">
        <v>4000000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3670854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55056345</v>
      </c>
      <c r="AS241" s="1">
        <v>9226121</v>
      </c>
      <c r="AT241" s="1">
        <v>45830224</v>
      </c>
      <c r="AU241" s="1">
        <v>10277098</v>
      </c>
      <c r="AV241" s="1">
        <v>1541565</v>
      </c>
      <c r="AW241" s="1">
        <f t="shared" si="17"/>
        <v>66875008</v>
      </c>
    </row>
    <row r="242" spans="1:49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0</v>
      </c>
      <c r="G242" s="1">
        <v>6012429</v>
      </c>
      <c r="H242" s="1">
        <v>3126464</v>
      </c>
      <c r="I242" s="1">
        <v>0</v>
      </c>
      <c r="J242" s="1">
        <v>0</v>
      </c>
      <c r="K242" s="1">
        <v>6671391</v>
      </c>
      <c r="L242" s="1">
        <v>0</v>
      </c>
      <c r="M242" s="1">
        <v>0</v>
      </c>
      <c r="N242" s="1">
        <v>11521166</v>
      </c>
      <c r="O242" s="1">
        <v>2000000</v>
      </c>
      <c r="P242" s="1">
        <v>4809943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2640000</v>
      </c>
      <c r="W242" s="1">
        <v>0</v>
      </c>
      <c r="X242" s="1">
        <v>14186315</v>
      </c>
      <c r="Y242" s="1">
        <v>4000000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1835427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56803135</v>
      </c>
      <c r="AS242" s="1">
        <v>7552530</v>
      </c>
      <c r="AT242" s="1">
        <v>49250605</v>
      </c>
      <c r="AU242" s="1">
        <v>10993542</v>
      </c>
      <c r="AV242" s="1">
        <v>1649031</v>
      </c>
      <c r="AW242" s="1">
        <f t="shared" si="17"/>
        <v>69445708</v>
      </c>
    </row>
    <row r="243" spans="1:49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0</v>
      </c>
      <c r="G243" s="1">
        <v>4758475</v>
      </c>
      <c r="H243" s="1">
        <v>2664747</v>
      </c>
      <c r="I243" s="1">
        <v>3158270</v>
      </c>
      <c r="J243" s="1">
        <v>0</v>
      </c>
      <c r="K243" s="1">
        <v>4750862</v>
      </c>
      <c r="L243" s="1">
        <v>0</v>
      </c>
      <c r="M243" s="1">
        <v>0</v>
      </c>
      <c r="N243" s="1">
        <v>11572430</v>
      </c>
      <c r="O243" s="1">
        <v>2000000</v>
      </c>
      <c r="P243" s="1">
        <v>3568857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2640000</v>
      </c>
      <c r="W243" s="1">
        <v>0</v>
      </c>
      <c r="X243" s="1">
        <v>15570255</v>
      </c>
      <c r="Y243" s="1">
        <v>4000000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1871573</v>
      </c>
      <c r="AF243" s="1">
        <v>0</v>
      </c>
      <c r="AG243" s="1">
        <v>0</v>
      </c>
      <c r="AH243" s="1">
        <v>3670854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60226323</v>
      </c>
      <c r="AS243" s="1">
        <v>7260827</v>
      </c>
      <c r="AT243" s="1">
        <v>52965496</v>
      </c>
      <c r="AU243" s="1">
        <v>11311094</v>
      </c>
      <c r="AV243" s="1">
        <v>1696664</v>
      </c>
      <c r="AW243" s="1">
        <f t="shared" si="17"/>
        <v>73234081</v>
      </c>
    </row>
    <row r="244" spans="1:49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0</v>
      </c>
      <c r="G244" s="1">
        <v>5731693</v>
      </c>
      <c r="H244" s="1">
        <v>2923164</v>
      </c>
      <c r="I244" s="1">
        <v>0</v>
      </c>
      <c r="J244" s="1">
        <v>0</v>
      </c>
      <c r="K244" s="1">
        <v>6404594</v>
      </c>
      <c r="L244" s="1">
        <v>0</v>
      </c>
      <c r="M244" s="1">
        <v>0</v>
      </c>
      <c r="N244" s="1">
        <v>11572430</v>
      </c>
      <c r="O244" s="1">
        <v>2000000</v>
      </c>
      <c r="P244" s="1">
        <v>4585355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2640000</v>
      </c>
      <c r="W244" s="1">
        <v>0</v>
      </c>
      <c r="X244" s="1">
        <v>16650670</v>
      </c>
      <c r="Y244" s="1">
        <v>4000000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1835427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58343333</v>
      </c>
      <c r="AS244" s="1">
        <v>8471075</v>
      </c>
      <c r="AT244" s="1">
        <v>49872258</v>
      </c>
      <c r="AU244" s="1">
        <v>11301581</v>
      </c>
      <c r="AV244" s="1">
        <v>1695237</v>
      </c>
      <c r="AW244" s="1">
        <f t="shared" si="17"/>
        <v>71340151</v>
      </c>
    </row>
    <row r="245" spans="1:49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0</v>
      </c>
      <c r="G245" s="1">
        <v>5656830</v>
      </c>
      <c r="H245" s="1">
        <v>2941552</v>
      </c>
      <c r="I245" s="1">
        <v>0</v>
      </c>
      <c r="J245" s="1">
        <v>0</v>
      </c>
      <c r="K245" s="1">
        <v>6276819</v>
      </c>
      <c r="L245" s="1">
        <v>0</v>
      </c>
      <c r="M245" s="1">
        <v>0</v>
      </c>
      <c r="N245" s="1">
        <v>11521166</v>
      </c>
      <c r="O245" s="1">
        <v>2000000</v>
      </c>
      <c r="P245" s="1">
        <v>4525465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2640000</v>
      </c>
      <c r="W245" s="1">
        <v>0</v>
      </c>
      <c r="X245" s="1">
        <v>12992640</v>
      </c>
      <c r="Y245" s="1">
        <v>4000000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1835427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54389899</v>
      </c>
      <c r="AS245" s="1">
        <v>6425122</v>
      </c>
      <c r="AT245" s="1">
        <v>47964777</v>
      </c>
      <c r="AU245" s="1">
        <v>10510894</v>
      </c>
      <c r="AV245" s="1">
        <v>1576634</v>
      </c>
      <c r="AW245" s="1">
        <f t="shared" si="17"/>
        <v>66477427</v>
      </c>
    </row>
    <row r="246" spans="1:49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0</v>
      </c>
      <c r="G246" s="1">
        <v>6687113</v>
      </c>
      <c r="H246" s="1">
        <v>3410428</v>
      </c>
      <c r="I246" s="1">
        <v>0</v>
      </c>
      <c r="J246" s="1">
        <v>0</v>
      </c>
      <c r="K246" s="1">
        <v>7371205</v>
      </c>
      <c r="L246" s="1">
        <v>0</v>
      </c>
      <c r="M246" s="1">
        <v>0</v>
      </c>
      <c r="N246" s="1">
        <v>11521166</v>
      </c>
      <c r="O246" s="1">
        <v>2000000</v>
      </c>
      <c r="P246" s="1">
        <v>5349691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2640000</v>
      </c>
      <c r="W246" s="1">
        <v>0</v>
      </c>
      <c r="X246" s="1">
        <v>10540297</v>
      </c>
      <c r="Y246" s="1">
        <v>4000000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1835427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55355327</v>
      </c>
      <c r="AS246" s="1">
        <v>15757311</v>
      </c>
      <c r="AT246" s="1">
        <v>39598016</v>
      </c>
      <c r="AU246" s="1">
        <v>10703980</v>
      </c>
      <c r="AV246" s="1">
        <v>1605597</v>
      </c>
      <c r="AW246" s="1">
        <f t="shared" si="17"/>
        <v>67664904</v>
      </c>
    </row>
    <row r="247" spans="1:49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 t="shared" ref="D247:D293" si="24">"قراردادي بهره بردار"</f>
        <v>قراردادي بهره بردار</v>
      </c>
      <c r="E247" s="1" t="str">
        <f t="shared" ref="E247:E257" si="25">"پروژه بهره برداري نيروگاه بوشهر"</f>
        <v>پروژه بهره برداري نيروگاه بوشهر</v>
      </c>
      <c r="F247" s="1">
        <v>16753123</v>
      </c>
      <c r="G247" s="1">
        <v>0</v>
      </c>
      <c r="H247" s="1">
        <v>0</v>
      </c>
      <c r="I247" s="1">
        <v>0</v>
      </c>
      <c r="J247" s="1">
        <v>0</v>
      </c>
      <c r="K247" s="1">
        <v>12253429</v>
      </c>
      <c r="L247" s="1">
        <v>0</v>
      </c>
      <c r="M247" s="1">
        <v>3465000</v>
      </c>
      <c r="N247" s="1">
        <v>0</v>
      </c>
      <c r="O247" s="1">
        <v>1000000</v>
      </c>
      <c r="P247" s="1">
        <v>2874483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1848000</v>
      </c>
      <c r="W247" s="1">
        <v>0</v>
      </c>
      <c r="X247" s="1">
        <v>7342491</v>
      </c>
      <c r="Y247" s="1">
        <v>4000000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2258523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5020394</v>
      </c>
      <c r="AO247" s="1">
        <v>0</v>
      </c>
      <c r="AP247" s="1">
        <v>0</v>
      </c>
      <c r="AQ247" s="1">
        <v>0</v>
      </c>
      <c r="AR247" s="1">
        <v>56815443</v>
      </c>
      <c r="AS247" s="1">
        <v>13268120</v>
      </c>
      <c r="AT247" s="1">
        <v>43547323</v>
      </c>
      <c r="AU247" s="1">
        <v>11363089</v>
      </c>
      <c r="AV247" s="1">
        <v>1704463</v>
      </c>
      <c r="AW247" s="1">
        <f t="shared" si="17"/>
        <v>69882995</v>
      </c>
    </row>
    <row r="248" spans="1:49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 t="shared" si="24"/>
        <v>قراردادي بهره بردار</v>
      </c>
      <c r="E248" s="1" t="str">
        <f t="shared" si="25"/>
        <v>پروژه بهره برداري نيروگاه بوشهر</v>
      </c>
      <c r="F248" s="1">
        <v>28815372</v>
      </c>
      <c r="G248" s="1">
        <v>0</v>
      </c>
      <c r="H248" s="1">
        <v>0</v>
      </c>
      <c r="I248" s="1">
        <v>4494610</v>
      </c>
      <c r="J248" s="1">
        <v>0</v>
      </c>
      <c r="K248" s="1">
        <v>24839681</v>
      </c>
      <c r="L248" s="1">
        <v>0</v>
      </c>
      <c r="M248" s="1">
        <v>5500000</v>
      </c>
      <c r="N248" s="1">
        <v>0</v>
      </c>
      <c r="O248" s="1">
        <v>1000000</v>
      </c>
      <c r="P248" s="1">
        <v>4712919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1848000</v>
      </c>
      <c r="W248" s="1">
        <v>0</v>
      </c>
      <c r="X248" s="1">
        <v>22189200</v>
      </c>
      <c r="Y248" s="1">
        <v>4000000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3703007</v>
      </c>
      <c r="AH248" s="1">
        <v>3670854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6732740</v>
      </c>
      <c r="AO248" s="1">
        <v>0</v>
      </c>
      <c r="AP248" s="1">
        <v>0</v>
      </c>
      <c r="AQ248" s="1">
        <v>0</v>
      </c>
      <c r="AR248" s="1">
        <v>111506383</v>
      </c>
      <c r="AS248" s="1">
        <v>48412619</v>
      </c>
      <c r="AT248" s="1">
        <v>63093764</v>
      </c>
      <c r="AU248" s="1">
        <v>21567106</v>
      </c>
      <c r="AV248" s="1">
        <v>3235066</v>
      </c>
      <c r="AW248" s="1">
        <f t="shared" si="17"/>
        <v>136308555</v>
      </c>
    </row>
    <row r="249" spans="1:49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18957482</v>
      </c>
      <c r="G249" s="1">
        <v>0</v>
      </c>
      <c r="H249" s="1">
        <v>0</v>
      </c>
      <c r="I249" s="1">
        <v>4451146</v>
      </c>
      <c r="J249" s="1">
        <v>0</v>
      </c>
      <c r="K249" s="1">
        <v>18562135</v>
      </c>
      <c r="L249" s="1">
        <v>0</v>
      </c>
      <c r="M249" s="1">
        <v>4620000</v>
      </c>
      <c r="N249" s="1">
        <v>0</v>
      </c>
      <c r="O249" s="1">
        <v>1000000</v>
      </c>
      <c r="P249" s="1">
        <v>3734184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1848000</v>
      </c>
      <c r="W249" s="1">
        <v>0</v>
      </c>
      <c r="X249" s="1">
        <v>20225177</v>
      </c>
      <c r="Y249" s="1">
        <v>4000000</v>
      </c>
      <c r="Z249" s="1">
        <v>2751893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2934001</v>
      </c>
      <c r="AH249" s="1">
        <v>1835427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14435902</v>
      </c>
      <c r="AO249" s="1">
        <v>0</v>
      </c>
      <c r="AP249" s="1">
        <v>0</v>
      </c>
      <c r="AQ249" s="1">
        <v>0</v>
      </c>
      <c r="AR249" s="1">
        <v>99355347</v>
      </c>
      <c r="AS249" s="1">
        <v>15893737</v>
      </c>
      <c r="AT249" s="1">
        <v>83461610</v>
      </c>
      <c r="AU249" s="1">
        <v>19503984</v>
      </c>
      <c r="AV249" s="1">
        <v>2925598</v>
      </c>
      <c r="AW249" s="1">
        <f t="shared" si="17"/>
        <v>121784929</v>
      </c>
    </row>
    <row r="250" spans="1:49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16120787</v>
      </c>
      <c r="G250" s="1">
        <v>0</v>
      </c>
      <c r="H250" s="1">
        <v>0</v>
      </c>
      <c r="I250" s="1">
        <v>0</v>
      </c>
      <c r="J250" s="1">
        <v>0</v>
      </c>
      <c r="K250" s="1">
        <v>12776920</v>
      </c>
      <c r="L250" s="1">
        <v>0</v>
      </c>
      <c r="M250" s="1">
        <v>3465000</v>
      </c>
      <c r="N250" s="1">
        <v>0</v>
      </c>
      <c r="O250" s="1">
        <v>1000000</v>
      </c>
      <c r="P250" s="1">
        <v>3049951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1848000</v>
      </c>
      <c r="W250" s="1">
        <v>0</v>
      </c>
      <c r="X250" s="1">
        <v>3973679</v>
      </c>
      <c r="Y250" s="1">
        <v>4000000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2396390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5392742</v>
      </c>
      <c r="AO250" s="1">
        <v>0</v>
      </c>
      <c r="AP250" s="1">
        <v>0</v>
      </c>
      <c r="AQ250" s="1">
        <v>0</v>
      </c>
      <c r="AR250" s="1">
        <v>54023469</v>
      </c>
      <c r="AS250" s="1">
        <v>9237055</v>
      </c>
      <c r="AT250" s="1">
        <v>44786414</v>
      </c>
      <c r="AU250" s="1">
        <v>10804694</v>
      </c>
      <c r="AV250" s="1">
        <v>1620704</v>
      </c>
      <c r="AW250" s="1">
        <f t="shared" si="17"/>
        <v>66448867</v>
      </c>
    </row>
    <row r="251" spans="1:49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17062993</v>
      </c>
      <c r="G251" s="1">
        <v>0</v>
      </c>
      <c r="H251" s="1">
        <v>0</v>
      </c>
      <c r="I251" s="1">
        <v>14294788</v>
      </c>
      <c r="J251" s="1">
        <v>0</v>
      </c>
      <c r="K251" s="1">
        <v>14276303</v>
      </c>
      <c r="L251" s="1">
        <v>0</v>
      </c>
      <c r="M251" s="1">
        <v>4620000</v>
      </c>
      <c r="N251" s="1">
        <v>0</v>
      </c>
      <c r="O251" s="1">
        <v>1000000</v>
      </c>
      <c r="P251" s="1">
        <v>3071112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1848000</v>
      </c>
      <c r="W251" s="1">
        <v>0</v>
      </c>
      <c r="X251" s="1">
        <v>22624642</v>
      </c>
      <c r="Y251" s="1">
        <v>4000000</v>
      </c>
      <c r="Z251" s="1">
        <v>2476886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2413016</v>
      </c>
      <c r="AH251" s="1">
        <v>1835427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12901063</v>
      </c>
      <c r="AO251" s="1">
        <v>0</v>
      </c>
      <c r="AP251" s="1">
        <v>0</v>
      </c>
      <c r="AQ251" s="1">
        <v>0</v>
      </c>
      <c r="AR251" s="1">
        <v>102424230</v>
      </c>
      <c r="AS251" s="1">
        <v>37845046</v>
      </c>
      <c r="AT251" s="1">
        <v>64579184</v>
      </c>
      <c r="AU251" s="1">
        <v>20117761</v>
      </c>
      <c r="AV251" s="1">
        <v>3017664</v>
      </c>
      <c r="AW251" s="1">
        <f t="shared" si="17"/>
        <v>125559655</v>
      </c>
    </row>
    <row r="252" spans="1:49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27853012</v>
      </c>
      <c r="G252" s="1">
        <v>0</v>
      </c>
      <c r="H252" s="1">
        <v>0</v>
      </c>
      <c r="I252" s="1">
        <v>7291717</v>
      </c>
      <c r="J252" s="1">
        <v>0</v>
      </c>
      <c r="K252" s="1">
        <v>23193795</v>
      </c>
      <c r="L252" s="1">
        <v>0</v>
      </c>
      <c r="M252" s="1">
        <v>5500000</v>
      </c>
      <c r="N252" s="1">
        <v>0</v>
      </c>
      <c r="O252" s="1">
        <v>1000000</v>
      </c>
      <c r="P252" s="1">
        <v>4376092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1848000</v>
      </c>
      <c r="W252" s="1">
        <v>0</v>
      </c>
      <c r="X252" s="1">
        <v>20998883</v>
      </c>
      <c r="Y252" s="1">
        <v>4000000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3438358</v>
      </c>
      <c r="AH252" s="1">
        <v>1835427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6251560</v>
      </c>
      <c r="AO252" s="1">
        <v>0</v>
      </c>
      <c r="AP252" s="1">
        <v>0</v>
      </c>
      <c r="AQ252" s="1">
        <v>0</v>
      </c>
      <c r="AR252" s="1">
        <v>107586844</v>
      </c>
      <c r="AS252" s="1">
        <v>33752642</v>
      </c>
      <c r="AT252" s="1">
        <v>73834202</v>
      </c>
      <c r="AU252" s="1">
        <v>21150283</v>
      </c>
      <c r="AV252" s="1">
        <v>3172543</v>
      </c>
      <c r="AW252" s="1">
        <f t="shared" si="17"/>
        <v>131909670</v>
      </c>
    </row>
    <row r="253" spans="1:49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17571885</v>
      </c>
      <c r="G253" s="1">
        <v>0</v>
      </c>
      <c r="H253" s="1">
        <v>0</v>
      </c>
      <c r="I253" s="1">
        <v>15652255</v>
      </c>
      <c r="J253" s="1">
        <v>0</v>
      </c>
      <c r="K253" s="1">
        <v>15919903</v>
      </c>
      <c r="L253" s="1">
        <v>0</v>
      </c>
      <c r="M253" s="1">
        <v>4620000</v>
      </c>
      <c r="N253" s="1">
        <v>0</v>
      </c>
      <c r="O253" s="1">
        <v>1000000</v>
      </c>
      <c r="P253" s="1">
        <v>3249225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1848000</v>
      </c>
      <c r="W253" s="1">
        <v>0</v>
      </c>
      <c r="X253" s="1">
        <v>12306872</v>
      </c>
      <c r="Y253" s="1">
        <v>4000000</v>
      </c>
      <c r="Z253" s="1">
        <v>2550758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2552962</v>
      </c>
      <c r="AH253" s="1">
        <v>3670854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13638805</v>
      </c>
      <c r="AO253" s="1">
        <v>0</v>
      </c>
      <c r="AP253" s="1">
        <v>0</v>
      </c>
      <c r="AQ253" s="1">
        <v>0</v>
      </c>
      <c r="AR253" s="1">
        <v>98581519</v>
      </c>
      <c r="AS253" s="1">
        <v>41859767</v>
      </c>
      <c r="AT253" s="1">
        <v>56721752</v>
      </c>
      <c r="AU253" s="1">
        <v>18982133</v>
      </c>
      <c r="AV253" s="1">
        <v>2847320</v>
      </c>
      <c r="AW253" s="1">
        <f t="shared" si="17"/>
        <v>120410972</v>
      </c>
    </row>
    <row r="254" spans="1:49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18332704</v>
      </c>
      <c r="G254" s="1">
        <v>0</v>
      </c>
      <c r="H254" s="1">
        <v>0</v>
      </c>
      <c r="I254" s="1">
        <v>4467660</v>
      </c>
      <c r="J254" s="1">
        <v>0</v>
      </c>
      <c r="K254" s="1">
        <v>17734218</v>
      </c>
      <c r="L254" s="1">
        <v>0</v>
      </c>
      <c r="M254" s="1">
        <v>4620000</v>
      </c>
      <c r="N254" s="1">
        <v>0</v>
      </c>
      <c r="O254" s="1">
        <v>1000000</v>
      </c>
      <c r="P254" s="1">
        <v>3515511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1848000</v>
      </c>
      <c r="W254" s="1">
        <v>0</v>
      </c>
      <c r="X254" s="1">
        <v>13270500</v>
      </c>
      <c r="Y254" s="1">
        <v>4000000</v>
      </c>
      <c r="Z254" s="1">
        <v>2661199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2762187</v>
      </c>
      <c r="AH254" s="1">
        <v>1835427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14732798</v>
      </c>
      <c r="AO254" s="1">
        <v>0</v>
      </c>
      <c r="AP254" s="1">
        <v>0</v>
      </c>
      <c r="AQ254" s="1">
        <v>0</v>
      </c>
      <c r="AR254" s="1">
        <v>90780204</v>
      </c>
      <c r="AS254" s="1">
        <v>29063894</v>
      </c>
      <c r="AT254" s="1">
        <v>61716310</v>
      </c>
      <c r="AU254" s="1">
        <v>17788955</v>
      </c>
      <c r="AV254" s="1">
        <v>2668343</v>
      </c>
      <c r="AW254" s="1">
        <f t="shared" si="17"/>
        <v>111237502</v>
      </c>
    </row>
    <row r="255" spans="1:49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16715334</v>
      </c>
      <c r="G255" s="1">
        <v>0</v>
      </c>
      <c r="H255" s="1">
        <v>0</v>
      </c>
      <c r="I255" s="1">
        <v>7502199</v>
      </c>
      <c r="J255" s="1">
        <v>0</v>
      </c>
      <c r="K255" s="1">
        <v>14157213</v>
      </c>
      <c r="L255" s="1">
        <v>0</v>
      </c>
      <c r="M255" s="1">
        <v>4620000</v>
      </c>
      <c r="N255" s="1">
        <v>0</v>
      </c>
      <c r="O255" s="1">
        <v>1000000</v>
      </c>
      <c r="P255" s="1">
        <v>2949432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1848000</v>
      </c>
      <c r="W255" s="1">
        <v>0</v>
      </c>
      <c r="X255" s="1">
        <v>22080730</v>
      </c>
      <c r="Y255" s="1">
        <v>4000000</v>
      </c>
      <c r="Z255" s="1">
        <v>2426420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2317410</v>
      </c>
      <c r="AH255" s="1">
        <v>1835427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12657803</v>
      </c>
      <c r="AO255" s="1">
        <v>0</v>
      </c>
      <c r="AP255" s="1">
        <v>0</v>
      </c>
      <c r="AQ255" s="1">
        <v>0</v>
      </c>
      <c r="AR255" s="1">
        <v>94109968</v>
      </c>
      <c r="AS255" s="1">
        <v>37796178</v>
      </c>
      <c r="AT255" s="1">
        <v>56313790</v>
      </c>
      <c r="AU255" s="1">
        <v>18454908</v>
      </c>
      <c r="AV255" s="1">
        <v>2768236</v>
      </c>
      <c r="AW255" s="1">
        <f t="shared" si="17"/>
        <v>115333112</v>
      </c>
    </row>
    <row r="256" spans="1:49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18753421</v>
      </c>
      <c r="G256" s="1">
        <v>0</v>
      </c>
      <c r="H256" s="1">
        <v>0</v>
      </c>
      <c r="I256" s="1">
        <v>2452498</v>
      </c>
      <c r="J256" s="1">
        <v>0</v>
      </c>
      <c r="K256" s="1">
        <v>16728397</v>
      </c>
      <c r="L256" s="1">
        <v>0</v>
      </c>
      <c r="M256" s="1">
        <v>4620000</v>
      </c>
      <c r="N256" s="1">
        <v>0</v>
      </c>
      <c r="O256" s="1">
        <v>1000000</v>
      </c>
      <c r="P256" s="1">
        <v>3662762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1848000</v>
      </c>
      <c r="W256" s="1">
        <v>0</v>
      </c>
      <c r="X256" s="1">
        <v>13112583</v>
      </c>
      <c r="Y256" s="1">
        <v>4000000</v>
      </c>
      <c r="Z256" s="1">
        <v>2452498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2877884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14375742</v>
      </c>
      <c r="AO256" s="1">
        <v>0</v>
      </c>
      <c r="AP256" s="1">
        <v>0</v>
      </c>
      <c r="AQ256" s="1">
        <v>0</v>
      </c>
      <c r="AR256" s="1">
        <v>85883785</v>
      </c>
      <c r="AS256" s="1">
        <v>39509869</v>
      </c>
      <c r="AT256" s="1">
        <v>46373916</v>
      </c>
      <c r="AU256" s="1">
        <v>17176757</v>
      </c>
      <c r="AV256" s="1">
        <v>2576514</v>
      </c>
      <c r="AW256" s="1">
        <f t="shared" si="17"/>
        <v>105637056</v>
      </c>
    </row>
    <row r="257" spans="1:49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20270020</v>
      </c>
      <c r="G257" s="1">
        <v>0</v>
      </c>
      <c r="H257" s="1">
        <v>0</v>
      </c>
      <c r="I257" s="1">
        <v>2235838</v>
      </c>
      <c r="J257" s="1">
        <v>0</v>
      </c>
      <c r="K257" s="1">
        <v>19730322</v>
      </c>
      <c r="L257" s="1">
        <v>0</v>
      </c>
      <c r="M257" s="1">
        <v>4620000</v>
      </c>
      <c r="N257" s="1">
        <v>0</v>
      </c>
      <c r="O257" s="1">
        <v>1000000</v>
      </c>
      <c r="P257" s="1">
        <v>4193572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15072830</v>
      </c>
      <c r="Y257" s="1">
        <v>4000000</v>
      </c>
      <c r="Z257" s="1">
        <v>2794797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3294949</v>
      </c>
      <c r="AH257" s="1">
        <v>3670854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16650841</v>
      </c>
      <c r="AO257" s="1">
        <v>0</v>
      </c>
      <c r="AP257" s="1">
        <v>0</v>
      </c>
      <c r="AQ257" s="1">
        <v>0</v>
      </c>
      <c r="AR257" s="1">
        <v>97534023</v>
      </c>
      <c r="AS257" s="1">
        <v>31884971</v>
      </c>
      <c r="AT257" s="1">
        <v>65649052</v>
      </c>
      <c r="AU257" s="1">
        <v>18772634</v>
      </c>
      <c r="AV257" s="1">
        <v>2815895</v>
      </c>
      <c r="AW257" s="1">
        <f t="shared" si="17"/>
        <v>119122552</v>
      </c>
    </row>
    <row r="258" spans="1:49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 t="shared" si="24"/>
        <v>قراردادي بهره بردار</v>
      </c>
      <c r="E258" s="1" t="str">
        <f>"پروژه تعميرات نيروگاه بوشهر"</f>
        <v>پروژه تعميرات نيروگاه بوشهر</v>
      </c>
      <c r="F258" s="1">
        <v>28326634</v>
      </c>
      <c r="G258" s="1">
        <v>0</v>
      </c>
      <c r="H258" s="1">
        <v>0</v>
      </c>
      <c r="I258" s="1">
        <v>14586922</v>
      </c>
      <c r="J258" s="1">
        <v>0</v>
      </c>
      <c r="K258" s="1">
        <v>28748110</v>
      </c>
      <c r="L258" s="1">
        <v>0</v>
      </c>
      <c r="M258" s="1">
        <v>5500000</v>
      </c>
      <c r="N258" s="1">
        <v>0</v>
      </c>
      <c r="O258" s="1">
        <v>1000000</v>
      </c>
      <c r="P258" s="1">
        <v>4541860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1848000</v>
      </c>
      <c r="W258" s="1">
        <v>0</v>
      </c>
      <c r="X258" s="1">
        <v>19536760</v>
      </c>
      <c r="Y258" s="1">
        <v>4000000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3401010</v>
      </c>
      <c r="AF258" s="1">
        <v>0</v>
      </c>
      <c r="AG258" s="1">
        <v>3568604</v>
      </c>
      <c r="AH258" s="1">
        <v>1835427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5839534</v>
      </c>
      <c r="AO258" s="1">
        <v>0</v>
      </c>
      <c r="AP258" s="1">
        <v>0</v>
      </c>
      <c r="AQ258" s="1">
        <v>0</v>
      </c>
      <c r="AR258" s="1">
        <v>122732861</v>
      </c>
      <c r="AS258" s="1">
        <v>55645050</v>
      </c>
      <c r="AT258" s="1">
        <v>67087811</v>
      </c>
      <c r="AU258" s="1">
        <v>24179487</v>
      </c>
      <c r="AV258" s="1">
        <v>3626923</v>
      </c>
      <c r="AW258" s="1">
        <f t="shared" si="17"/>
        <v>150539271</v>
      </c>
    </row>
    <row r="259" spans="1:49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 t="shared" si="24"/>
        <v>قراردادي بهره بردار</v>
      </c>
      <c r="E259" s="1" t="str">
        <f t="shared" ref="E259:E266" si="26">"پروژه بهره برداري نيروگاه بوشهر"</f>
        <v>پروژه بهره برداري نيروگاه بوشهر</v>
      </c>
      <c r="F259" s="1">
        <v>19264832</v>
      </c>
      <c r="G259" s="1">
        <v>0</v>
      </c>
      <c r="H259" s="1">
        <v>0</v>
      </c>
      <c r="I259" s="1">
        <v>4184100</v>
      </c>
      <c r="J259" s="1">
        <v>0</v>
      </c>
      <c r="K259" s="1">
        <v>18791197</v>
      </c>
      <c r="L259" s="1">
        <v>0</v>
      </c>
      <c r="M259" s="1">
        <v>4620000</v>
      </c>
      <c r="N259" s="1">
        <v>0</v>
      </c>
      <c r="O259" s="1">
        <v>1000000</v>
      </c>
      <c r="P259" s="1">
        <v>3841756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1848000</v>
      </c>
      <c r="W259" s="1">
        <v>0</v>
      </c>
      <c r="X259" s="1">
        <v>13981755</v>
      </c>
      <c r="Y259" s="1">
        <v>4000000</v>
      </c>
      <c r="Z259" s="1">
        <v>2796508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3018523</v>
      </c>
      <c r="AH259" s="1">
        <v>1835427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15220276</v>
      </c>
      <c r="AO259" s="1">
        <v>0</v>
      </c>
      <c r="AP259" s="1">
        <v>0</v>
      </c>
      <c r="AQ259" s="1">
        <v>0</v>
      </c>
      <c r="AR259" s="1">
        <v>94402374</v>
      </c>
      <c r="AS259" s="1">
        <v>36548804</v>
      </c>
      <c r="AT259" s="1">
        <v>57853570</v>
      </c>
      <c r="AU259" s="1">
        <v>18513389</v>
      </c>
      <c r="AV259" s="1">
        <v>2777008</v>
      </c>
      <c r="AW259" s="1">
        <f t="shared" ref="AW259:AW322" si="27">AR259+AU259+AV259</f>
        <v>115692771</v>
      </c>
    </row>
    <row r="260" spans="1:49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 t="shared" si="24"/>
        <v>قراردادي بهره بردار</v>
      </c>
      <c r="E260" s="1" t="str">
        <f t="shared" si="26"/>
        <v>پروژه بهره برداري نيروگاه بوشهر</v>
      </c>
      <c r="F260" s="1">
        <v>25076780</v>
      </c>
      <c r="G260" s="1">
        <v>0</v>
      </c>
      <c r="H260" s="1">
        <v>0</v>
      </c>
      <c r="I260" s="1">
        <v>1177379</v>
      </c>
      <c r="J260" s="1">
        <v>0</v>
      </c>
      <c r="K260" s="1">
        <v>19610052</v>
      </c>
      <c r="L260" s="1">
        <v>0</v>
      </c>
      <c r="M260" s="1">
        <v>5500000</v>
      </c>
      <c r="N260" s="1">
        <v>0</v>
      </c>
      <c r="O260" s="1">
        <v>1000000</v>
      </c>
      <c r="P260" s="1">
        <v>4478375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1848000</v>
      </c>
      <c r="W260" s="1">
        <v>0</v>
      </c>
      <c r="X260" s="1">
        <v>24983887</v>
      </c>
      <c r="Y260" s="1">
        <v>4000000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3518723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5757910</v>
      </c>
      <c r="AO260" s="1">
        <v>0</v>
      </c>
      <c r="AP260" s="1">
        <v>0</v>
      </c>
      <c r="AQ260" s="1">
        <v>0</v>
      </c>
      <c r="AR260" s="1">
        <v>96951106</v>
      </c>
      <c r="AS260" s="1">
        <v>38557952</v>
      </c>
      <c r="AT260" s="1">
        <v>58393154</v>
      </c>
      <c r="AU260" s="1">
        <v>19390221</v>
      </c>
      <c r="AV260" s="1">
        <v>2908533</v>
      </c>
      <c r="AW260" s="1">
        <f t="shared" si="27"/>
        <v>119249860</v>
      </c>
    </row>
    <row r="261" spans="1:49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 t="shared" si="24"/>
        <v>قراردادي بهره بردار</v>
      </c>
      <c r="E261" s="1" t="str">
        <f t="shared" si="26"/>
        <v>پروژه بهره برداري نيروگاه بوشهر</v>
      </c>
      <c r="F261" s="1">
        <v>27943706</v>
      </c>
      <c r="G261" s="1">
        <v>0</v>
      </c>
      <c r="H261" s="1">
        <v>0</v>
      </c>
      <c r="I261" s="1">
        <v>3899198</v>
      </c>
      <c r="J261" s="1">
        <v>0</v>
      </c>
      <c r="K261" s="1">
        <v>24721543</v>
      </c>
      <c r="L261" s="1">
        <v>0</v>
      </c>
      <c r="M261" s="1">
        <v>5500000</v>
      </c>
      <c r="N261" s="1">
        <v>0</v>
      </c>
      <c r="O261" s="1">
        <v>1000000</v>
      </c>
      <c r="P261" s="1">
        <v>4407835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1848000</v>
      </c>
      <c r="W261" s="1">
        <v>0</v>
      </c>
      <c r="X261" s="1">
        <v>24002667</v>
      </c>
      <c r="Y261" s="1">
        <v>4000000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3463299</v>
      </c>
      <c r="AH261" s="1">
        <v>1835427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7556288</v>
      </c>
      <c r="AO261" s="1">
        <v>0</v>
      </c>
      <c r="AP261" s="1">
        <v>0</v>
      </c>
      <c r="AQ261" s="1">
        <v>0</v>
      </c>
      <c r="AR261" s="1">
        <v>110177963</v>
      </c>
      <c r="AS261" s="1">
        <v>64276986</v>
      </c>
      <c r="AT261" s="1">
        <v>45900977</v>
      </c>
      <c r="AU261" s="1">
        <v>21668507</v>
      </c>
      <c r="AV261" s="1">
        <v>3250276</v>
      </c>
      <c r="AW261" s="1">
        <f t="shared" si="27"/>
        <v>135096746</v>
      </c>
    </row>
    <row r="262" spans="1:49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 t="shared" si="24"/>
        <v>قراردادي بهره بردار</v>
      </c>
      <c r="E262" s="1" t="str">
        <f t="shared" si="26"/>
        <v>پروژه بهره برداري نيروگاه بوشهر</v>
      </c>
      <c r="F262" s="1">
        <v>18236971</v>
      </c>
      <c r="G262" s="1">
        <v>0</v>
      </c>
      <c r="H262" s="1">
        <v>0</v>
      </c>
      <c r="I262" s="1">
        <v>2901011</v>
      </c>
      <c r="J262" s="1">
        <v>0</v>
      </c>
      <c r="K262" s="1">
        <v>16958591</v>
      </c>
      <c r="L262" s="1">
        <v>0</v>
      </c>
      <c r="M262" s="1">
        <v>0</v>
      </c>
      <c r="N262" s="1">
        <v>0</v>
      </c>
      <c r="O262" s="1">
        <v>1000000</v>
      </c>
      <c r="P262" s="1">
        <v>3482005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1848000</v>
      </c>
      <c r="W262" s="1">
        <v>0</v>
      </c>
      <c r="X262" s="1">
        <v>18229856</v>
      </c>
      <c r="Y262" s="1">
        <v>4000000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2735861</v>
      </c>
      <c r="AH262" s="1">
        <v>3670854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8875830</v>
      </c>
      <c r="AO262" s="1">
        <v>0</v>
      </c>
      <c r="AP262" s="1">
        <v>0</v>
      </c>
      <c r="AQ262" s="1">
        <v>0</v>
      </c>
      <c r="AR262" s="1">
        <v>81938979</v>
      </c>
      <c r="AS262" s="1">
        <v>45620538</v>
      </c>
      <c r="AT262" s="1">
        <v>36318441</v>
      </c>
      <c r="AU262" s="1">
        <v>15653625</v>
      </c>
      <c r="AV262" s="1">
        <v>2348044</v>
      </c>
      <c r="AW262" s="1">
        <f t="shared" si="27"/>
        <v>99940648</v>
      </c>
    </row>
    <row r="263" spans="1:49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 t="shared" si="24"/>
        <v>قراردادي بهره بردار</v>
      </c>
      <c r="E263" s="1" t="str">
        <f t="shared" si="26"/>
        <v>پروژه بهره برداري نيروگاه بوشهر</v>
      </c>
      <c r="F263" s="1">
        <v>28301442</v>
      </c>
      <c r="G263" s="1">
        <v>0</v>
      </c>
      <c r="H263" s="1">
        <v>0</v>
      </c>
      <c r="I263" s="1">
        <v>8007676</v>
      </c>
      <c r="J263" s="1">
        <v>0</v>
      </c>
      <c r="K263" s="1">
        <v>25190053</v>
      </c>
      <c r="L263" s="1">
        <v>0</v>
      </c>
      <c r="M263" s="1">
        <v>5500000</v>
      </c>
      <c r="N263" s="1">
        <v>0</v>
      </c>
      <c r="O263" s="1">
        <v>1000000</v>
      </c>
      <c r="P263" s="1">
        <v>4533042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34720195</v>
      </c>
      <c r="Y263" s="1">
        <v>4000000</v>
      </c>
      <c r="Z263" s="1">
        <v>4108274</v>
      </c>
      <c r="AA263" s="1">
        <v>0</v>
      </c>
      <c r="AB263" s="1">
        <v>0</v>
      </c>
      <c r="AC263" s="1">
        <v>0</v>
      </c>
      <c r="AD263" s="1">
        <v>0</v>
      </c>
      <c r="AE263" s="1">
        <v>4459102</v>
      </c>
      <c r="AF263" s="1">
        <v>0</v>
      </c>
      <c r="AG263" s="1">
        <v>3561676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25323618</v>
      </c>
      <c r="AO263" s="1">
        <v>0</v>
      </c>
      <c r="AP263" s="1">
        <v>0</v>
      </c>
      <c r="AQ263" s="1">
        <v>0</v>
      </c>
      <c r="AR263" s="1">
        <v>148705078</v>
      </c>
      <c r="AS263" s="1">
        <v>60266193</v>
      </c>
      <c r="AT263" s="1">
        <v>88438885</v>
      </c>
      <c r="AU263" s="1">
        <v>27637511</v>
      </c>
      <c r="AV263" s="1">
        <v>4145627</v>
      </c>
      <c r="AW263" s="1">
        <f t="shared" si="27"/>
        <v>180488216</v>
      </c>
    </row>
    <row r="264" spans="1:49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 t="shared" si="24"/>
        <v>قراردادي بهره بردار</v>
      </c>
      <c r="E264" s="1" t="str">
        <f t="shared" si="26"/>
        <v>پروژه بهره برداري نيروگاه بوشهر</v>
      </c>
      <c r="F264" s="1">
        <v>16967261</v>
      </c>
      <c r="G264" s="1">
        <v>0</v>
      </c>
      <c r="H264" s="1">
        <v>0</v>
      </c>
      <c r="I264" s="1">
        <v>3541623</v>
      </c>
      <c r="J264" s="1">
        <v>0</v>
      </c>
      <c r="K264" s="1">
        <v>14435428</v>
      </c>
      <c r="L264" s="1">
        <v>0</v>
      </c>
      <c r="M264" s="1">
        <v>4620000</v>
      </c>
      <c r="N264" s="1">
        <v>0</v>
      </c>
      <c r="O264" s="1">
        <v>1000000</v>
      </c>
      <c r="P264" s="1">
        <v>3037606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22421585</v>
      </c>
      <c r="Y264" s="1">
        <v>4000000</v>
      </c>
      <c r="Z264" s="1">
        <v>2462990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2386690</v>
      </c>
      <c r="AH264" s="1">
        <v>1835427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12451223</v>
      </c>
      <c r="AO264" s="1">
        <v>0</v>
      </c>
      <c r="AP264" s="1">
        <v>0</v>
      </c>
      <c r="AQ264" s="1">
        <v>0</v>
      </c>
      <c r="AR264" s="1">
        <v>89159833</v>
      </c>
      <c r="AS264" s="1">
        <v>38222085</v>
      </c>
      <c r="AT264" s="1">
        <v>50937748</v>
      </c>
      <c r="AU264" s="1">
        <v>17464881</v>
      </c>
      <c r="AV264" s="1">
        <v>2619732</v>
      </c>
      <c r="AW264" s="1">
        <f t="shared" si="27"/>
        <v>109244446</v>
      </c>
    </row>
    <row r="265" spans="1:49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 t="shared" si="24"/>
        <v>قراردادي بهره بردار</v>
      </c>
      <c r="E265" s="1" t="str">
        <f t="shared" si="26"/>
        <v>پروژه بهره برداري نيروگاه بوشهر</v>
      </c>
      <c r="F265" s="1">
        <v>18904577</v>
      </c>
      <c r="G265" s="1">
        <v>0</v>
      </c>
      <c r="H265" s="1">
        <v>0</v>
      </c>
      <c r="I265" s="1">
        <v>2927475</v>
      </c>
      <c r="J265" s="1">
        <v>0</v>
      </c>
      <c r="K265" s="1">
        <v>17122045</v>
      </c>
      <c r="L265" s="1">
        <v>0</v>
      </c>
      <c r="M265" s="1">
        <v>4620000</v>
      </c>
      <c r="N265" s="1">
        <v>0</v>
      </c>
      <c r="O265" s="1">
        <v>1000000</v>
      </c>
      <c r="P265" s="1">
        <v>3715666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1848000</v>
      </c>
      <c r="W265" s="1">
        <v>0</v>
      </c>
      <c r="X265" s="1">
        <v>11180077</v>
      </c>
      <c r="Y265" s="1">
        <v>4000000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2919452</v>
      </c>
      <c r="AH265" s="1">
        <v>3670854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5424611</v>
      </c>
      <c r="AO265" s="1">
        <v>0</v>
      </c>
      <c r="AP265" s="1">
        <v>0</v>
      </c>
      <c r="AQ265" s="1">
        <v>0</v>
      </c>
      <c r="AR265" s="1">
        <v>77332757</v>
      </c>
      <c r="AS265" s="1">
        <v>15767026</v>
      </c>
      <c r="AT265" s="1">
        <v>61565731</v>
      </c>
      <c r="AU265" s="1">
        <v>14732381</v>
      </c>
      <c r="AV265" s="1">
        <v>2209857</v>
      </c>
      <c r="AW265" s="1">
        <f t="shared" si="27"/>
        <v>94274995</v>
      </c>
    </row>
    <row r="266" spans="1:49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 t="shared" si="24"/>
        <v>قراردادي بهره بردار</v>
      </c>
      <c r="E266" s="1" t="str">
        <f t="shared" si="26"/>
        <v>پروژه بهره برداري نيروگاه بوشهر</v>
      </c>
      <c r="F266" s="1">
        <v>28387097</v>
      </c>
      <c r="G266" s="1">
        <v>0</v>
      </c>
      <c r="H266" s="1">
        <v>0</v>
      </c>
      <c r="I266" s="1">
        <v>0</v>
      </c>
      <c r="J266" s="1">
        <v>0</v>
      </c>
      <c r="K266" s="1">
        <v>21814038</v>
      </c>
      <c r="L266" s="1">
        <v>2530000</v>
      </c>
      <c r="M266" s="1">
        <v>4125000</v>
      </c>
      <c r="N266" s="1">
        <v>0</v>
      </c>
      <c r="O266" s="1">
        <v>1000000</v>
      </c>
      <c r="P266" s="1">
        <v>4563022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1848000</v>
      </c>
      <c r="W266" s="1">
        <v>0</v>
      </c>
      <c r="X266" s="1">
        <v>11391600</v>
      </c>
      <c r="Y266" s="1">
        <v>4000000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3585232</v>
      </c>
      <c r="AH266" s="1">
        <v>1835427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5828639</v>
      </c>
      <c r="AO266" s="1">
        <v>0</v>
      </c>
      <c r="AP266" s="1">
        <v>0</v>
      </c>
      <c r="AQ266" s="1">
        <v>0</v>
      </c>
      <c r="AR266" s="1">
        <v>90908055</v>
      </c>
      <c r="AS266" s="1">
        <v>40670345</v>
      </c>
      <c r="AT266" s="1">
        <v>50237710</v>
      </c>
      <c r="AU266" s="1">
        <v>17308526</v>
      </c>
      <c r="AV266" s="1">
        <v>2596279</v>
      </c>
      <c r="AW266" s="1">
        <f t="shared" si="27"/>
        <v>110812860</v>
      </c>
    </row>
    <row r="267" spans="1:49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 t="shared" si="24"/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23734011</v>
      </c>
      <c r="G267" s="1">
        <v>0</v>
      </c>
      <c r="H267" s="1">
        <v>0</v>
      </c>
      <c r="I267" s="1">
        <v>0</v>
      </c>
      <c r="J267" s="1">
        <v>0</v>
      </c>
      <c r="K267" s="1">
        <v>24843996</v>
      </c>
      <c r="L267" s="1">
        <v>0</v>
      </c>
      <c r="M267" s="1">
        <v>5500000</v>
      </c>
      <c r="N267" s="1">
        <v>0</v>
      </c>
      <c r="O267" s="1">
        <v>1000000</v>
      </c>
      <c r="P267" s="1">
        <v>4008405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1848000</v>
      </c>
      <c r="W267" s="1">
        <v>0</v>
      </c>
      <c r="X267" s="1">
        <v>14693194</v>
      </c>
      <c r="Y267" s="1">
        <v>4000000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3149462</v>
      </c>
      <c r="AH267" s="1">
        <v>1835427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7460657</v>
      </c>
      <c r="AO267" s="1">
        <v>0</v>
      </c>
      <c r="AP267" s="1">
        <v>0</v>
      </c>
      <c r="AQ267" s="1">
        <v>0</v>
      </c>
      <c r="AR267" s="1">
        <v>92073152</v>
      </c>
      <c r="AS267" s="1">
        <v>41469470</v>
      </c>
      <c r="AT267" s="1">
        <v>50603682</v>
      </c>
      <c r="AU267" s="1">
        <v>18047545</v>
      </c>
      <c r="AV267" s="1">
        <v>2707132</v>
      </c>
      <c r="AW267" s="1">
        <f t="shared" si="27"/>
        <v>112827829</v>
      </c>
    </row>
    <row r="268" spans="1:49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 t="shared" si="24"/>
        <v>قراردادي بهره بردار</v>
      </c>
      <c r="E268" s="1" t="str">
        <f t="shared" ref="E268:E293" si="28">"پروژه بهره برداري نيروگاه بوشهر"</f>
        <v>پروژه بهره برداري نيروگاه بوشهر</v>
      </c>
      <c r="F268" s="1">
        <v>18566995</v>
      </c>
      <c r="G268" s="1">
        <v>0</v>
      </c>
      <c r="H268" s="1">
        <v>0</v>
      </c>
      <c r="I268" s="1">
        <v>3444041</v>
      </c>
      <c r="J268" s="1">
        <v>0</v>
      </c>
      <c r="K268" s="1">
        <v>17251189</v>
      </c>
      <c r="L268" s="1">
        <v>0</v>
      </c>
      <c r="M268" s="1">
        <v>4620000</v>
      </c>
      <c r="N268" s="1">
        <v>0</v>
      </c>
      <c r="O268" s="1">
        <v>1000000</v>
      </c>
      <c r="P268" s="1">
        <v>3597513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1848000</v>
      </c>
      <c r="W268" s="1">
        <v>0</v>
      </c>
      <c r="X268" s="1">
        <v>18456422</v>
      </c>
      <c r="Y268" s="1">
        <v>4000000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2826617</v>
      </c>
      <c r="AH268" s="1">
        <v>1835427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9025525</v>
      </c>
      <c r="AO268" s="1">
        <v>0</v>
      </c>
      <c r="AP268" s="1">
        <v>0</v>
      </c>
      <c r="AQ268" s="1">
        <v>0</v>
      </c>
      <c r="AR268" s="1">
        <v>86471729</v>
      </c>
      <c r="AS268" s="1">
        <v>32174627</v>
      </c>
      <c r="AT268" s="1">
        <v>54297102</v>
      </c>
      <c r="AU268" s="1">
        <v>16927260</v>
      </c>
      <c r="AV268" s="1">
        <v>2539089</v>
      </c>
      <c r="AW268" s="1">
        <f t="shared" si="27"/>
        <v>105938078</v>
      </c>
    </row>
    <row r="269" spans="1:49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 t="shared" si="24"/>
        <v>قراردادي بهره بردار</v>
      </c>
      <c r="E269" s="1" t="str">
        <f t="shared" si="28"/>
        <v>پروژه بهره برداري نيروگاه بوشهر</v>
      </c>
      <c r="F269" s="1">
        <v>18123604</v>
      </c>
      <c r="G269" s="1">
        <v>0</v>
      </c>
      <c r="H269" s="1">
        <v>0</v>
      </c>
      <c r="I269" s="1">
        <v>4694582</v>
      </c>
      <c r="J269" s="1">
        <v>0</v>
      </c>
      <c r="K269" s="1">
        <v>16814457</v>
      </c>
      <c r="L269" s="1">
        <v>0</v>
      </c>
      <c r="M269" s="1">
        <v>4620000</v>
      </c>
      <c r="N269" s="1">
        <v>0</v>
      </c>
      <c r="O269" s="1">
        <v>1000000</v>
      </c>
      <c r="P269" s="1">
        <v>3442326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18961159</v>
      </c>
      <c r="Y269" s="1">
        <v>4000000</v>
      </c>
      <c r="Z269" s="1">
        <v>2630846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2704685</v>
      </c>
      <c r="AH269" s="1">
        <v>1835427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13874811</v>
      </c>
      <c r="AO269" s="1">
        <v>0</v>
      </c>
      <c r="AP269" s="1">
        <v>0</v>
      </c>
      <c r="AQ269" s="1">
        <v>0</v>
      </c>
      <c r="AR269" s="1">
        <v>92701897</v>
      </c>
      <c r="AS269" s="1">
        <v>48926644</v>
      </c>
      <c r="AT269" s="1">
        <v>43775253</v>
      </c>
      <c r="AU269" s="1">
        <v>18173294</v>
      </c>
      <c r="AV269" s="1">
        <v>2725994</v>
      </c>
      <c r="AW269" s="1">
        <f t="shared" si="27"/>
        <v>113601185</v>
      </c>
    </row>
    <row r="270" spans="1:49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18310030</v>
      </c>
      <c r="G270" s="1">
        <v>0</v>
      </c>
      <c r="H270" s="1">
        <v>0</v>
      </c>
      <c r="I270" s="1">
        <v>0</v>
      </c>
      <c r="J270" s="1">
        <v>0</v>
      </c>
      <c r="K270" s="1">
        <v>15531799</v>
      </c>
      <c r="L270" s="1">
        <v>0</v>
      </c>
      <c r="M270" s="1">
        <v>4620000</v>
      </c>
      <c r="N270" s="1">
        <v>0</v>
      </c>
      <c r="O270" s="1">
        <v>1000000</v>
      </c>
      <c r="P270" s="1">
        <v>3507575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1848000</v>
      </c>
      <c r="W270" s="1">
        <v>0</v>
      </c>
      <c r="X270" s="1">
        <v>10854421</v>
      </c>
      <c r="Y270" s="1">
        <v>4000000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2755952</v>
      </c>
      <c r="AH270" s="1">
        <v>1835427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6580325</v>
      </c>
      <c r="AO270" s="1">
        <v>0</v>
      </c>
      <c r="AP270" s="1">
        <v>0</v>
      </c>
      <c r="AQ270" s="1">
        <v>0</v>
      </c>
      <c r="AR270" s="1">
        <v>70843529</v>
      </c>
      <c r="AS270" s="1">
        <v>33508701</v>
      </c>
      <c r="AT270" s="1">
        <v>37334828</v>
      </c>
      <c r="AU270" s="1">
        <v>13801620</v>
      </c>
      <c r="AV270" s="1">
        <v>2070243</v>
      </c>
      <c r="AW270" s="1">
        <f t="shared" si="27"/>
        <v>86715392</v>
      </c>
    </row>
    <row r="271" spans="1:49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24877758</v>
      </c>
      <c r="G271" s="1">
        <v>0</v>
      </c>
      <c r="H271" s="1">
        <v>0</v>
      </c>
      <c r="I271" s="1">
        <v>5001500</v>
      </c>
      <c r="J271" s="1">
        <v>0</v>
      </c>
      <c r="K271" s="1">
        <v>20500533</v>
      </c>
      <c r="L271" s="1">
        <v>0</v>
      </c>
      <c r="M271" s="1">
        <v>5500000</v>
      </c>
      <c r="N271" s="1">
        <v>0</v>
      </c>
      <c r="O271" s="1">
        <v>1000000</v>
      </c>
      <c r="P271" s="1">
        <v>4408717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1848000</v>
      </c>
      <c r="W271" s="1">
        <v>0</v>
      </c>
      <c r="X271" s="1">
        <v>19204606</v>
      </c>
      <c r="Y271" s="1">
        <v>4000000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3463992</v>
      </c>
      <c r="AH271" s="1">
        <v>1835427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6298167</v>
      </c>
      <c r="AO271" s="1">
        <v>0</v>
      </c>
      <c r="AP271" s="1">
        <v>0</v>
      </c>
      <c r="AQ271" s="1">
        <v>0</v>
      </c>
      <c r="AR271" s="1">
        <v>97938700</v>
      </c>
      <c r="AS271" s="1">
        <v>44987814</v>
      </c>
      <c r="AT271" s="1">
        <v>52950886</v>
      </c>
      <c r="AU271" s="1">
        <v>19220655</v>
      </c>
      <c r="AV271" s="1">
        <v>2883098</v>
      </c>
      <c r="AW271" s="1">
        <f t="shared" si="27"/>
        <v>120042453</v>
      </c>
    </row>
    <row r="272" spans="1:49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17967410</v>
      </c>
      <c r="G272" s="1">
        <v>0</v>
      </c>
      <c r="H272" s="1">
        <v>0</v>
      </c>
      <c r="I272" s="1">
        <v>9134456</v>
      </c>
      <c r="J272" s="1">
        <v>0</v>
      </c>
      <c r="K272" s="1">
        <v>16251044</v>
      </c>
      <c r="L272" s="1">
        <v>0</v>
      </c>
      <c r="M272" s="1">
        <v>4620000</v>
      </c>
      <c r="N272" s="1">
        <v>0</v>
      </c>
      <c r="O272" s="1">
        <v>1000000</v>
      </c>
      <c r="P272" s="1">
        <v>3387658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1848000</v>
      </c>
      <c r="W272" s="1">
        <v>0</v>
      </c>
      <c r="X272" s="1">
        <v>23082601</v>
      </c>
      <c r="Y272" s="1">
        <v>4000000</v>
      </c>
      <c r="Z272" s="1">
        <v>2608172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2661731</v>
      </c>
      <c r="AH272" s="1">
        <v>3670854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12795608</v>
      </c>
      <c r="AO272" s="1">
        <v>0</v>
      </c>
      <c r="AP272" s="1">
        <v>0</v>
      </c>
      <c r="AQ272" s="1">
        <v>0</v>
      </c>
      <c r="AR272" s="1">
        <v>103027534</v>
      </c>
      <c r="AS272" s="1">
        <v>41528595</v>
      </c>
      <c r="AT272" s="1">
        <v>61498939</v>
      </c>
      <c r="AU272" s="1">
        <v>19871336</v>
      </c>
      <c r="AV272" s="1">
        <v>2980700</v>
      </c>
      <c r="AW272" s="1">
        <f t="shared" si="27"/>
        <v>125879570</v>
      </c>
    </row>
    <row r="273" spans="1:49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28094862</v>
      </c>
      <c r="G273" s="1">
        <v>0</v>
      </c>
      <c r="H273" s="1">
        <v>0</v>
      </c>
      <c r="I273" s="1">
        <v>35266005</v>
      </c>
      <c r="J273" s="1">
        <v>0</v>
      </c>
      <c r="K273" s="1">
        <v>24876586</v>
      </c>
      <c r="L273" s="1">
        <v>0</v>
      </c>
      <c r="M273" s="1">
        <v>5500000</v>
      </c>
      <c r="N273" s="1">
        <v>0</v>
      </c>
      <c r="O273" s="1">
        <v>1000000</v>
      </c>
      <c r="P273" s="1">
        <v>4460740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34404433</v>
      </c>
      <c r="Y273" s="1">
        <v>4000000</v>
      </c>
      <c r="Z273" s="1">
        <v>4078286</v>
      </c>
      <c r="AA273" s="1">
        <v>0</v>
      </c>
      <c r="AB273" s="1">
        <v>0</v>
      </c>
      <c r="AC273" s="1">
        <v>0</v>
      </c>
      <c r="AD273" s="1">
        <v>0</v>
      </c>
      <c r="AE273" s="1">
        <v>4459102</v>
      </c>
      <c r="AF273" s="1">
        <v>0</v>
      </c>
      <c r="AG273" s="1">
        <v>3504867</v>
      </c>
      <c r="AH273" s="1">
        <v>1835427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25141828</v>
      </c>
      <c r="AO273" s="1">
        <v>0</v>
      </c>
      <c r="AP273" s="1">
        <v>0</v>
      </c>
      <c r="AQ273" s="1">
        <v>0</v>
      </c>
      <c r="AR273" s="1">
        <v>176622136</v>
      </c>
      <c r="AS273" s="1">
        <v>64634866</v>
      </c>
      <c r="AT273" s="1">
        <v>111987270</v>
      </c>
      <c r="AU273" s="1">
        <v>27637511</v>
      </c>
      <c r="AV273" s="1">
        <v>4145627</v>
      </c>
      <c r="AW273" s="1">
        <f t="shared" si="27"/>
        <v>208405274</v>
      </c>
    </row>
    <row r="274" spans="1:49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17544173</v>
      </c>
      <c r="G274" s="1">
        <v>0</v>
      </c>
      <c r="H274" s="1">
        <v>0</v>
      </c>
      <c r="I274" s="1">
        <v>0</v>
      </c>
      <c r="J274" s="1">
        <v>0</v>
      </c>
      <c r="K274" s="1">
        <v>13131980</v>
      </c>
      <c r="L274" s="1">
        <v>0</v>
      </c>
      <c r="M274" s="1">
        <v>4620000</v>
      </c>
      <c r="N274" s="1">
        <v>0</v>
      </c>
      <c r="O274" s="1">
        <v>1000000</v>
      </c>
      <c r="P274" s="1">
        <v>3239525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1848000</v>
      </c>
      <c r="W274" s="1">
        <v>0</v>
      </c>
      <c r="X274" s="1">
        <v>9703558</v>
      </c>
      <c r="Y274" s="1">
        <v>4000000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2545341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5274715</v>
      </c>
      <c r="AO274" s="1">
        <v>0</v>
      </c>
      <c r="AP274" s="1">
        <v>0</v>
      </c>
      <c r="AQ274" s="1">
        <v>0</v>
      </c>
      <c r="AR274" s="1">
        <v>62907292</v>
      </c>
      <c r="AS274" s="1">
        <v>11400328</v>
      </c>
      <c r="AT274" s="1">
        <v>51506964</v>
      </c>
      <c r="AU274" s="1">
        <v>12581458</v>
      </c>
      <c r="AV274" s="1">
        <v>1887219</v>
      </c>
      <c r="AW274" s="1">
        <f t="shared" si="27"/>
        <v>77375969</v>
      </c>
    </row>
    <row r="275" spans="1:49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18274760</v>
      </c>
      <c r="G275" s="1">
        <v>0</v>
      </c>
      <c r="H275" s="1">
        <v>0</v>
      </c>
      <c r="I275" s="1">
        <v>16246130</v>
      </c>
      <c r="J275" s="1">
        <v>0</v>
      </c>
      <c r="K275" s="1">
        <v>16233572</v>
      </c>
      <c r="L275" s="1">
        <v>0</v>
      </c>
      <c r="M275" s="1">
        <v>4620000</v>
      </c>
      <c r="N275" s="1">
        <v>0</v>
      </c>
      <c r="O275" s="1">
        <v>1000000</v>
      </c>
      <c r="P275" s="1">
        <v>3495230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1848000</v>
      </c>
      <c r="W275" s="1">
        <v>0</v>
      </c>
      <c r="X275" s="1">
        <v>12773817</v>
      </c>
      <c r="Y275" s="1">
        <v>4000000</v>
      </c>
      <c r="Z275" s="1">
        <v>2652788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2746253</v>
      </c>
      <c r="AH275" s="1">
        <v>1835427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14191332</v>
      </c>
      <c r="AO275" s="1">
        <v>0</v>
      </c>
      <c r="AP275" s="1">
        <v>0</v>
      </c>
      <c r="AQ275" s="1">
        <v>0</v>
      </c>
      <c r="AR275" s="1">
        <v>99917309</v>
      </c>
      <c r="AS275" s="1">
        <v>39616071</v>
      </c>
      <c r="AT275" s="1">
        <v>60301238</v>
      </c>
      <c r="AU275" s="1">
        <v>19616376</v>
      </c>
      <c r="AV275" s="1">
        <v>2942456</v>
      </c>
      <c r="AW275" s="1">
        <f t="shared" si="27"/>
        <v>122476141</v>
      </c>
    </row>
    <row r="276" spans="1:49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18483860</v>
      </c>
      <c r="G276" s="1">
        <v>0</v>
      </c>
      <c r="H276" s="1">
        <v>0</v>
      </c>
      <c r="I276" s="1">
        <v>0</v>
      </c>
      <c r="J276" s="1">
        <v>0</v>
      </c>
      <c r="K276" s="1">
        <v>16316359</v>
      </c>
      <c r="L276" s="1">
        <v>0</v>
      </c>
      <c r="M276" s="1">
        <v>3465000</v>
      </c>
      <c r="N276" s="1">
        <v>0</v>
      </c>
      <c r="O276" s="1">
        <v>1000000</v>
      </c>
      <c r="P276" s="1">
        <v>3568415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1848000</v>
      </c>
      <c r="W276" s="1">
        <v>0</v>
      </c>
      <c r="X276" s="1">
        <v>15874647</v>
      </c>
      <c r="Y276" s="1">
        <v>4000000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2803755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8051324</v>
      </c>
      <c r="AO276" s="1">
        <v>0</v>
      </c>
      <c r="AP276" s="1">
        <v>0</v>
      </c>
      <c r="AQ276" s="1">
        <v>0</v>
      </c>
      <c r="AR276" s="1">
        <v>75411360</v>
      </c>
      <c r="AS276" s="1">
        <v>28888216</v>
      </c>
      <c r="AT276" s="1">
        <v>46523144</v>
      </c>
      <c r="AU276" s="1">
        <v>15082272</v>
      </c>
      <c r="AV276" s="1">
        <v>2262341</v>
      </c>
      <c r="AW276" s="1">
        <f t="shared" si="27"/>
        <v>92755973</v>
      </c>
    </row>
    <row r="277" spans="1:49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17554250</v>
      </c>
      <c r="G277" s="1">
        <v>0</v>
      </c>
      <c r="H277" s="1">
        <v>0</v>
      </c>
      <c r="I277" s="1">
        <v>4041575</v>
      </c>
      <c r="J277" s="1">
        <v>0</v>
      </c>
      <c r="K277" s="1">
        <v>16400014</v>
      </c>
      <c r="L277" s="1">
        <v>0</v>
      </c>
      <c r="M277" s="1">
        <v>4620000</v>
      </c>
      <c r="N277" s="1">
        <v>0</v>
      </c>
      <c r="O277" s="1">
        <v>1000000</v>
      </c>
      <c r="P277" s="1">
        <v>3243052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1848000</v>
      </c>
      <c r="W277" s="1">
        <v>0</v>
      </c>
      <c r="X277" s="1">
        <v>18364160</v>
      </c>
      <c r="Y277" s="1">
        <v>4000000</v>
      </c>
      <c r="Z277" s="1">
        <v>2548198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2548112</v>
      </c>
      <c r="AH277" s="1">
        <v>1835427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13484022</v>
      </c>
      <c r="AO277" s="1">
        <v>0</v>
      </c>
      <c r="AP277" s="1">
        <v>0</v>
      </c>
      <c r="AQ277" s="1">
        <v>0</v>
      </c>
      <c r="AR277" s="1">
        <v>91486810</v>
      </c>
      <c r="AS277" s="1">
        <v>21475088</v>
      </c>
      <c r="AT277" s="1">
        <v>70011722</v>
      </c>
      <c r="AU277" s="1">
        <v>17930277</v>
      </c>
      <c r="AV277" s="1">
        <v>2689541</v>
      </c>
      <c r="AW277" s="1">
        <f t="shared" si="27"/>
        <v>112106628</v>
      </c>
    </row>
    <row r="278" spans="1:49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18231933</v>
      </c>
      <c r="G278" s="1">
        <v>0</v>
      </c>
      <c r="H278" s="1">
        <v>0</v>
      </c>
      <c r="I278" s="1">
        <v>4193524</v>
      </c>
      <c r="J278" s="1">
        <v>0</v>
      </c>
      <c r="K278" s="1">
        <v>16626181</v>
      </c>
      <c r="L278" s="1">
        <v>0</v>
      </c>
      <c r="M278" s="1">
        <v>4620000</v>
      </c>
      <c r="N278" s="1">
        <v>0</v>
      </c>
      <c r="O278" s="1">
        <v>1000000</v>
      </c>
      <c r="P278" s="1">
        <v>3480241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19259150</v>
      </c>
      <c r="Y278" s="1">
        <v>4000000</v>
      </c>
      <c r="Z278" s="1">
        <v>2646571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2734475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13953311</v>
      </c>
      <c r="AO278" s="1">
        <v>0</v>
      </c>
      <c r="AP278" s="1">
        <v>0</v>
      </c>
      <c r="AQ278" s="1">
        <v>0</v>
      </c>
      <c r="AR278" s="1">
        <v>90745386</v>
      </c>
      <c r="AS278" s="1">
        <v>30681167</v>
      </c>
      <c r="AT278" s="1">
        <v>60064219</v>
      </c>
      <c r="AU278" s="1">
        <v>18149077</v>
      </c>
      <c r="AV278" s="1">
        <v>2722362</v>
      </c>
      <c r="AW278" s="1">
        <f t="shared" si="27"/>
        <v>111616825</v>
      </c>
    </row>
    <row r="279" spans="1:49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18141239</v>
      </c>
      <c r="G279" s="1">
        <v>0</v>
      </c>
      <c r="H279" s="1">
        <v>0</v>
      </c>
      <c r="I279" s="1">
        <v>6735804</v>
      </c>
      <c r="J279" s="1">
        <v>0</v>
      </c>
      <c r="K279" s="1">
        <v>17271628</v>
      </c>
      <c r="L279" s="1">
        <v>0</v>
      </c>
      <c r="M279" s="1">
        <v>4620000</v>
      </c>
      <c r="N279" s="1">
        <v>0</v>
      </c>
      <c r="O279" s="1">
        <v>1000000</v>
      </c>
      <c r="P279" s="1">
        <v>3448498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1848000</v>
      </c>
      <c r="W279" s="1">
        <v>0</v>
      </c>
      <c r="X279" s="1">
        <v>12862076</v>
      </c>
      <c r="Y279" s="1">
        <v>4000000</v>
      </c>
      <c r="Z279" s="1">
        <v>2633406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2709534</v>
      </c>
      <c r="AH279" s="1">
        <v>1835427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13749855</v>
      </c>
      <c r="AO279" s="1">
        <v>0</v>
      </c>
      <c r="AP279" s="1">
        <v>0</v>
      </c>
      <c r="AQ279" s="1">
        <v>0</v>
      </c>
      <c r="AR279" s="1">
        <v>90855467</v>
      </c>
      <c r="AS279" s="1">
        <v>44784397</v>
      </c>
      <c r="AT279" s="1">
        <v>46071070</v>
      </c>
      <c r="AU279" s="1">
        <v>17804008</v>
      </c>
      <c r="AV279" s="1">
        <v>2670601</v>
      </c>
      <c r="AW279" s="1">
        <f t="shared" si="27"/>
        <v>111330076</v>
      </c>
    </row>
    <row r="280" spans="1:49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18642573</v>
      </c>
      <c r="G280" s="1">
        <v>0</v>
      </c>
      <c r="H280" s="1">
        <v>0</v>
      </c>
      <c r="I280" s="1">
        <v>7421568</v>
      </c>
      <c r="J280" s="1">
        <v>0</v>
      </c>
      <c r="K280" s="1">
        <v>17906219</v>
      </c>
      <c r="L280" s="1">
        <v>0</v>
      </c>
      <c r="M280" s="1">
        <v>4620000</v>
      </c>
      <c r="N280" s="1">
        <v>0</v>
      </c>
      <c r="O280" s="1">
        <v>1000000</v>
      </c>
      <c r="P280" s="1">
        <v>3623965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24524678</v>
      </c>
      <c r="Y280" s="1">
        <v>4000000</v>
      </c>
      <c r="Z280" s="1">
        <v>2706180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2847402</v>
      </c>
      <c r="AH280" s="1">
        <v>3670854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13358412</v>
      </c>
      <c r="AO280" s="1">
        <v>0</v>
      </c>
      <c r="AP280" s="1">
        <v>0</v>
      </c>
      <c r="AQ280" s="1">
        <v>0</v>
      </c>
      <c r="AR280" s="1">
        <v>104321851</v>
      </c>
      <c r="AS280" s="1">
        <v>48984532</v>
      </c>
      <c r="AT280" s="1">
        <v>55337319</v>
      </c>
      <c r="AU280" s="1">
        <v>20130199</v>
      </c>
      <c r="AV280" s="1">
        <v>3019530</v>
      </c>
      <c r="AW280" s="1">
        <f t="shared" si="27"/>
        <v>127471580</v>
      </c>
    </row>
    <row r="281" spans="1:49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27039289</v>
      </c>
      <c r="G281" s="1">
        <v>0</v>
      </c>
      <c r="H281" s="1">
        <v>0</v>
      </c>
      <c r="I281" s="1">
        <v>6477722</v>
      </c>
      <c r="J281" s="1">
        <v>0</v>
      </c>
      <c r="K281" s="1">
        <v>21975840</v>
      </c>
      <c r="L281" s="1">
        <v>0</v>
      </c>
      <c r="M281" s="1">
        <v>0</v>
      </c>
      <c r="N281" s="1">
        <v>0</v>
      </c>
      <c r="O281" s="1">
        <v>1000000</v>
      </c>
      <c r="P281" s="1">
        <v>4091289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1848000</v>
      </c>
      <c r="W281" s="1">
        <v>0</v>
      </c>
      <c r="X281" s="1">
        <v>21521340</v>
      </c>
      <c r="Y281" s="1">
        <v>4000000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3214584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5610911</v>
      </c>
      <c r="AO281" s="1">
        <v>0</v>
      </c>
      <c r="AP281" s="1">
        <v>0</v>
      </c>
      <c r="AQ281" s="1">
        <v>0</v>
      </c>
      <c r="AR281" s="1">
        <v>96778975</v>
      </c>
      <c r="AS281" s="1">
        <v>32098840</v>
      </c>
      <c r="AT281" s="1">
        <v>64680135</v>
      </c>
      <c r="AU281" s="1">
        <v>19355795</v>
      </c>
      <c r="AV281" s="1">
        <v>2903369</v>
      </c>
      <c r="AW281" s="1">
        <f t="shared" si="27"/>
        <v>119038139</v>
      </c>
    </row>
    <row r="282" spans="1:49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18128643</v>
      </c>
      <c r="G282" s="1">
        <v>0</v>
      </c>
      <c r="H282" s="1">
        <v>0</v>
      </c>
      <c r="I282" s="1">
        <v>4439912</v>
      </c>
      <c r="J282" s="1">
        <v>0</v>
      </c>
      <c r="K282" s="1">
        <v>16361523</v>
      </c>
      <c r="L282" s="1">
        <v>0</v>
      </c>
      <c r="M282" s="1">
        <v>4620000</v>
      </c>
      <c r="N282" s="1">
        <v>0</v>
      </c>
      <c r="O282" s="1">
        <v>1000000</v>
      </c>
      <c r="P282" s="1">
        <v>3444090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1848000</v>
      </c>
      <c r="W282" s="1">
        <v>0</v>
      </c>
      <c r="X282" s="1">
        <v>24501938</v>
      </c>
      <c r="Y282" s="1">
        <v>4000000</v>
      </c>
      <c r="Z282" s="1">
        <v>2631577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2706071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13507602</v>
      </c>
      <c r="AO282" s="1">
        <v>0</v>
      </c>
      <c r="AP282" s="1">
        <v>0</v>
      </c>
      <c r="AQ282" s="1">
        <v>0</v>
      </c>
      <c r="AR282" s="1">
        <v>97189356</v>
      </c>
      <c r="AS282" s="1">
        <v>38117025</v>
      </c>
      <c r="AT282" s="1">
        <v>59072331</v>
      </c>
      <c r="AU282" s="1">
        <v>19437871</v>
      </c>
      <c r="AV282" s="1">
        <v>2915681</v>
      </c>
      <c r="AW282" s="1">
        <f t="shared" si="27"/>
        <v>119542908</v>
      </c>
    </row>
    <row r="283" spans="1:49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17954814</v>
      </c>
      <c r="G283" s="1">
        <v>0</v>
      </c>
      <c r="H283" s="1">
        <v>0</v>
      </c>
      <c r="I283" s="1">
        <v>11214310</v>
      </c>
      <c r="J283" s="1">
        <v>0</v>
      </c>
      <c r="K283" s="1">
        <v>16280628</v>
      </c>
      <c r="L283" s="1">
        <v>0</v>
      </c>
      <c r="M283" s="1">
        <v>4620000</v>
      </c>
      <c r="N283" s="1">
        <v>0</v>
      </c>
      <c r="O283" s="1">
        <v>1000000</v>
      </c>
      <c r="P283" s="1">
        <v>3383249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1848000</v>
      </c>
      <c r="W283" s="1">
        <v>0</v>
      </c>
      <c r="X283" s="1">
        <v>18529355</v>
      </c>
      <c r="Y283" s="1">
        <v>4000000</v>
      </c>
      <c r="Z283" s="1">
        <v>2606344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2658268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13431319</v>
      </c>
      <c r="AO283" s="1">
        <v>0</v>
      </c>
      <c r="AP283" s="1">
        <v>0</v>
      </c>
      <c r="AQ283" s="1">
        <v>0</v>
      </c>
      <c r="AR283" s="1">
        <v>97526287</v>
      </c>
      <c r="AS283" s="1">
        <v>29291373</v>
      </c>
      <c r="AT283" s="1">
        <v>68234914</v>
      </c>
      <c r="AU283" s="1">
        <v>19505257</v>
      </c>
      <c r="AV283" s="1">
        <v>2925789</v>
      </c>
      <c r="AW283" s="1">
        <f t="shared" si="27"/>
        <v>119957333</v>
      </c>
    </row>
    <row r="284" spans="1:49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29568633</v>
      </c>
      <c r="G284" s="1">
        <v>0</v>
      </c>
      <c r="H284" s="1">
        <v>0</v>
      </c>
      <c r="I284" s="1">
        <v>10382646</v>
      </c>
      <c r="J284" s="1">
        <v>0</v>
      </c>
      <c r="K284" s="1">
        <v>26526743</v>
      </c>
      <c r="L284" s="1">
        <v>0</v>
      </c>
      <c r="M284" s="1">
        <v>5500000</v>
      </c>
      <c r="N284" s="1">
        <v>0</v>
      </c>
      <c r="O284" s="1">
        <v>1000000</v>
      </c>
      <c r="P284" s="1">
        <v>4976559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1848000</v>
      </c>
      <c r="W284" s="1">
        <v>0</v>
      </c>
      <c r="X284" s="1">
        <v>25431073</v>
      </c>
      <c r="Y284" s="1">
        <v>4000000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3910154</v>
      </c>
      <c r="AH284" s="1">
        <v>3670854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7678120</v>
      </c>
      <c r="AO284" s="1">
        <v>0</v>
      </c>
      <c r="AP284" s="1">
        <v>0</v>
      </c>
      <c r="AQ284" s="1">
        <v>0</v>
      </c>
      <c r="AR284" s="1">
        <v>124492782</v>
      </c>
      <c r="AS284" s="1">
        <v>59575928</v>
      </c>
      <c r="AT284" s="1">
        <v>64916854</v>
      </c>
      <c r="AU284" s="1">
        <v>24164386</v>
      </c>
      <c r="AV284" s="1">
        <v>3624658</v>
      </c>
      <c r="AW284" s="1">
        <f t="shared" si="27"/>
        <v>152281826</v>
      </c>
    </row>
    <row r="285" spans="1:49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27956302</v>
      </c>
      <c r="G285" s="1">
        <v>0</v>
      </c>
      <c r="H285" s="1">
        <v>0</v>
      </c>
      <c r="I285" s="1">
        <v>3195409</v>
      </c>
      <c r="J285" s="1">
        <v>0</v>
      </c>
      <c r="K285" s="1">
        <v>22053906</v>
      </c>
      <c r="L285" s="1">
        <v>2530000</v>
      </c>
      <c r="M285" s="1">
        <v>4125000</v>
      </c>
      <c r="N285" s="1">
        <v>0</v>
      </c>
      <c r="O285" s="1">
        <v>1000000</v>
      </c>
      <c r="P285" s="1">
        <v>4412243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1848000</v>
      </c>
      <c r="W285" s="1">
        <v>0</v>
      </c>
      <c r="X285" s="1">
        <v>11240587</v>
      </c>
      <c r="Y285" s="1">
        <v>4000000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3466763</v>
      </c>
      <c r="AH285" s="1">
        <v>1835427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6342707</v>
      </c>
      <c r="AO285" s="1">
        <v>0</v>
      </c>
      <c r="AP285" s="1">
        <v>0</v>
      </c>
      <c r="AQ285" s="1">
        <v>0</v>
      </c>
      <c r="AR285" s="1">
        <v>94006344</v>
      </c>
      <c r="AS285" s="1">
        <v>14262910</v>
      </c>
      <c r="AT285" s="1">
        <v>79743434</v>
      </c>
      <c r="AU285" s="1">
        <v>17928183</v>
      </c>
      <c r="AV285" s="1">
        <v>2689228</v>
      </c>
      <c r="AW285" s="1">
        <f t="shared" si="27"/>
        <v>114623755</v>
      </c>
    </row>
    <row r="286" spans="1:49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18637535</v>
      </c>
      <c r="G286" s="1">
        <v>0</v>
      </c>
      <c r="H286" s="1">
        <v>0</v>
      </c>
      <c r="I286" s="1">
        <v>0</v>
      </c>
      <c r="J286" s="1">
        <v>0</v>
      </c>
      <c r="K286" s="1">
        <v>15073075</v>
      </c>
      <c r="L286" s="1">
        <v>0</v>
      </c>
      <c r="M286" s="1">
        <v>3465000</v>
      </c>
      <c r="N286" s="1">
        <v>0</v>
      </c>
      <c r="O286" s="1">
        <v>1000000</v>
      </c>
      <c r="P286" s="1">
        <v>3622201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1848000</v>
      </c>
      <c r="W286" s="1">
        <v>0</v>
      </c>
      <c r="X286" s="1">
        <v>4586859</v>
      </c>
      <c r="Y286" s="1">
        <v>4000000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2846016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5689764</v>
      </c>
      <c r="AO286" s="1">
        <v>0</v>
      </c>
      <c r="AP286" s="1">
        <v>0</v>
      </c>
      <c r="AQ286" s="1">
        <v>0</v>
      </c>
      <c r="AR286" s="1">
        <v>60768450</v>
      </c>
      <c r="AS286" s="1">
        <v>37223483</v>
      </c>
      <c r="AT286" s="1">
        <v>23544967</v>
      </c>
      <c r="AU286" s="1">
        <v>12153690</v>
      </c>
      <c r="AV286" s="1">
        <v>1823054</v>
      </c>
      <c r="AW286" s="1">
        <f t="shared" si="27"/>
        <v>74745194</v>
      </c>
    </row>
    <row r="287" spans="1:49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27218157</v>
      </c>
      <c r="G287" s="1">
        <v>0</v>
      </c>
      <c r="H287" s="1">
        <v>0</v>
      </c>
      <c r="I287" s="1">
        <v>2140824</v>
      </c>
      <c r="J287" s="1">
        <v>0</v>
      </c>
      <c r="K287" s="1">
        <v>22835679</v>
      </c>
      <c r="L287" s="1">
        <v>0</v>
      </c>
      <c r="M287" s="1">
        <v>4125000</v>
      </c>
      <c r="N287" s="1">
        <v>0</v>
      </c>
      <c r="O287" s="1">
        <v>1000000</v>
      </c>
      <c r="P287" s="1">
        <v>4153893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1848000</v>
      </c>
      <c r="W287" s="1">
        <v>0</v>
      </c>
      <c r="X287" s="1">
        <v>11433315</v>
      </c>
      <c r="Y287" s="1">
        <v>4000000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3263773</v>
      </c>
      <c r="AH287" s="1">
        <v>1835427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6941537</v>
      </c>
      <c r="AO287" s="1">
        <v>0</v>
      </c>
      <c r="AP287" s="1">
        <v>0</v>
      </c>
      <c r="AQ287" s="1">
        <v>0</v>
      </c>
      <c r="AR287" s="1">
        <v>90795605</v>
      </c>
      <c r="AS287" s="1">
        <v>13327671</v>
      </c>
      <c r="AT287" s="1">
        <v>77467934</v>
      </c>
      <c r="AU287" s="1">
        <v>17792036</v>
      </c>
      <c r="AV287" s="1">
        <v>2668805</v>
      </c>
      <c r="AW287" s="1">
        <f t="shared" si="27"/>
        <v>111256446</v>
      </c>
    </row>
    <row r="288" spans="1:49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27719491</v>
      </c>
      <c r="G288" s="1">
        <v>0</v>
      </c>
      <c r="H288" s="1">
        <v>0</v>
      </c>
      <c r="I288" s="1">
        <v>6656370</v>
      </c>
      <c r="J288" s="1">
        <v>0</v>
      </c>
      <c r="K288" s="1">
        <v>23454302</v>
      </c>
      <c r="L288" s="1">
        <v>0</v>
      </c>
      <c r="M288" s="1">
        <v>5500000</v>
      </c>
      <c r="N288" s="1">
        <v>0</v>
      </c>
      <c r="O288" s="1">
        <v>1000000</v>
      </c>
      <c r="P288" s="1">
        <v>4329360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1848000</v>
      </c>
      <c r="W288" s="1">
        <v>0</v>
      </c>
      <c r="X288" s="1">
        <v>20417808</v>
      </c>
      <c r="Y288" s="1">
        <v>4000000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3401640</v>
      </c>
      <c r="AH288" s="1">
        <v>1835427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6432192</v>
      </c>
      <c r="AO288" s="1">
        <v>0</v>
      </c>
      <c r="AP288" s="1">
        <v>0</v>
      </c>
      <c r="AQ288" s="1">
        <v>0</v>
      </c>
      <c r="AR288" s="1">
        <v>106594590</v>
      </c>
      <c r="AS288" s="1">
        <v>48985718</v>
      </c>
      <c r="AT288" s="1">
        <v>57608872</v>
      </c>
      <c r="AU288" s="1">
        <v>20951833</v>
      </c>
      <c r="AV288" s="1">
        <v>3142775</v>
      </c>
      <c r="AW288" s="1">
        <f t="shared" si="27"/>
        <v>130689198</v>
      </c>
    </row>
    <row r="289" spans="1:49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19727131</v>
      </c>
      <c r="G289" s="1">
        <v>0</v>
      </c>
      <c r="H289" s="1">
        <v>0</v>
      </c>
      <c r="I289" s="1">
        <v>0</v>
      </c>
      <c r="J289" s="1">
        <v>0</v>
      </c>
      <c r="K289" s="1">
        <v>19141541</v>
      </c>
      <c r="L289" s="1">
        <v>0</v>
      </c>
      <c r="M289" s="1">
        <v>4620000</v>
      </c>
      <c r="N289" s="1">
        <v>0</v>
      </c>
      <c r="O289" s="1">
        <v>1000000</v>
      </c>
      <c r="P289" s="1">
        <v>3911511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1848000</v>
      </c>
      <c r="W289" s="1">
        <v>0</v>
      </c>
      <c r="X289" s="1">
        <v>5702972</v>
      </c>
      <c r="Y289" s="1">
        <v>4000000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3069104</v>
      </c>
      <c r="AH289" s="1">
        <v>1835427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11180437</v>
      </c>
      <c r="AO289" s="1">
        <v>0</v>
      </c>
      <c r="AP289" s="1">
        <v>0</v>
      </c>
      <c r="AQ289" s="1">
        <v>0</v>
      </c>
      <c r="AR289" s="1">
        <v>76036123</v>
      </c>
      <c r="AS289" s="1">
        <v>33572583</v>
      </c>
      <c r="AT289" s="1">
        <v>42463540</v>
      </c>
      <c r="AU289" s="1">
        <v>14840139</v>
      </c>
      <c r="AV289" s="1">
        <v>2226021</v>
      </c>
      <c r="AW289" s="1">
        <f t="shared" si="27"/>
        <v>93102283</v>
      </c>
    </row>
    <row r="290" spans="1:49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18524168</v>
      </c>
      <c r="G290" s="1">
        <v>0</v>
      </c>
      <c r="H290" s="1">
        <v>0</v>
      </c>
      <c r="I290" s="1">
        <v>5342505</v>
      </c>
      <c r="J290" s="1">
        <v>0</v>
      </c>
      <c r="K290" s="1">
        <v>15812751</v>
      </c>
      <c r="L290" s="1">
        <v>0</v>
      </c>
      <c r="M290" s="1">
        <v>4620000</v>
      </c>
      <c r="N290" s="1">
        <v>0</v>
      </c>
      <c r="O290" s="1">
        <v>1000000</v>
      </c>
      <c r="P290" s="1">
        <v>3582523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1848000</v>
      </c>
      <c r="W290" s="1">
        <v>0</v>
      </c>
      <c r="X290" s="1">
        <v>10986296</v>
      </c>
      <c r="Y290" s="1">
        <v>4000000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2814839</v>
      </c>
      <c r="AH290" s="1">
        <v>1835427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6518603</v>
      </c>
      <c r="AO290" s="1">
        <v>0</v>
      </c>
      <c r="AP290" s="1">
        <v>0</v>
      </c>
      <c r="AQ290" s="1">
        <v>0</v>
      </c>
      <c r="AR290" s="1">
        <v>76885112</v>
      </c>
      <c r="AS290" s="1">
        <v>34755118</v>
      </c>
      <c r="AT290" s="1">
        <v>42129994</v>
      </c>
      <c r="AU290" s="1">
        <v>15009937</v>
      </c>
      <c r="AV290" s="1">
        <v>2251491</v>
      </c>
      <c r="AW290" s="1">
        <f t="shared" si="27"/>
        <v>94146540</v>
      </c>
    </row>
    <row r="291" spans="1:49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18138720</v>
      </c>
      <c r="G291" s="1">
        <v>0</v>
      </c>
      <c r="H291" s="1">
        <v>0</v>
      </c>
      <c r="I291" s="1">
        <v>6672346</v>
      </c>
      <c r="J291" s="1">
        <v>0</v>
      </c>
      <c r="K291" s="1">
        <v>16628788</v>
      </c>
      <c r="L291" s="1">
        <v>0</v>
      </c>
      <c r="M291" s="1">
        <v>3465000</v>
      </c>
      <c r="N291" s="1">
        <v>0</v>
      </c>
      <c r="O291" s="1">
        <v>1000000</v>
      </c>
      <c r="P291" s="1">
        <v>3447616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1848000</v>
      </c>
      <c r="W291" s="1">
        <v>0</v>
      </c>
      <c r="X291" s="1">
        <v>12740903</v>
      </c>
      <c r="Y291" s="1">
        <v>4000000</v>
      </c>
      <c r="Z291" s="1">
        <v>2633040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2708842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13875617</v>
      </c>
      <c r="AO291" s="1">
        <v>0</v>
      </c>
      <c r="AP291" s="1">
        <v>0</v>
      </c>
      <c r="AQ291" s="1">
        <v>0</v>
      </c>
      <c r="AR291" s="1">
        <v>87158872</v>
      </c>
      <c r="AS291" s="1">
        <v>31096280</v>
      </c>
      <c r="AT291" s="1">
        <v>56062592</v>
      </c>
      <c r="AU291" s="1">
        <v>17431774</v>
      </c>
      <c r="AV291" s="1">
        <v>2614766</v>
      </c>
      <c r="AW291" s="1">
        <f t="shared" si="27"/>
        <v>107205412</v>
      </c>
    </row>
    <row r="292" spans="1:49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25535287</v>
      </c>
      <c r="G292" s="1">
        <v>0</v>
      </c>
      <c r="H292" s="1">
        <v>0</v>
      </c>
      <c r="I292" s="1">
        <v>4902154</v>
      </c>
      <c r="J292" s="1">
        <v>0</v>
      </c>
      <c r="K292" s="1">
        <v>22260726</v>
      </c>
      <c r="L292" s="1">
        <v>0</v>
      </c>
      <c r="M292" s="1">
        <v>5500000</v>
      </c>
      <c r="N292" s="1">
        <v>0</v>
      </c>
      <c r="O292" s="1">
        <v>1000000</v>
      </c>
      <c r="P292" s="1">
        <v>4638851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1848000</v>
      </c>
      <c r="W292" s="1">
        <v>0</v>
      </c>
      <c r="X292" s="1">
        <v>21790849</v>
      </c>
      <c r="Y292" s="1">
        <v>4000000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3401010</v>
      </c>
      <c r="AF292" s="1">
        <v>0</v>
      </c>
      <c r="AG292" s="1">
        <v>3644812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5566622</v>
      </c>
      <c r="AO292" s="1">
        <v>0</v>
      </c>
      <c r="AP292" s="1">
        <v>0</v>
      </c>
      <c r="AQ292" s="1">
        <v>0</v>
      </c>
      <c r="AR292" s="1">
        <v>104088311</v>
      </c>
      <c r="AS292" s="1">
        <v>17402502</v>
      </c>
      <c r="AT292" s="1">
        <v>86685809</v>
      </c>
      <c r="AU292" s="1">
        <v>20817662</v>
      </c>
      <c r="AV292" s="1">
        <v>3122649</v>
      </c>
      <c r="AW292" s="1">
        <f t="shared" si="27"/>
        <v>128028622</v>
      </c>
    </row>
    <row r="293" spans="1:49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17093224</v>
      </c>
      <c r="G293" s="1">
        <v>0</v>
      </c>
      <c r="H293" s="1">
        <v>0</v>
      </c>
      <c r="I293" s="1">
        <v>7423312</v>
      </c>
      <c r="J293" s="1">
        <v>0</v>
      </c>
      <c r="K293" s="1">
        <v>12710769</v>
      </c>
      <c r="L293" s="1">
        <v>0</v>
      </c>
      <c r="M293" s="1">
        <v>4620000</v>
      </c>
      <c r="N293" s="1">
        <v>0</v>
      </c>
      <c r="O293" s="1">
        <v>1000000</v>
      </c>
      <c r="P293" s="1">
        <v>3081693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1848000</v>
      </c>
      <c r="W293" s="1">
        <v>0</v>
      </c>
      <c r="X293" s="1">
        <v>7294225</v>
      </c>
      <c r="Y293" s="1">
        <v>4000000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2421330</v>
      </c>
      <c r="AH293" s="1">
        <v>7341708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5216457</v>
      </c>
      <c r="AO293" s="1">
        <v>0</v>
      </c>
      <c r="AP293" s="1">
        <v>0</v>
      </c>
      <c r="AQ293" s="1">
        <v>0</v>
      </c>
      <c r="AR293" s="1">
        <v>74050718</v>
      </c>
      <c r="AS293" s="1">
        <v>42499260</v>
      </c>
      <c r="AT293" s="1">
        <v>31551458</v>
      </c>
      <c r="AU293" s="1">
        <v>13341802</v>
      </c>
      <c r="AV293" s="1">
        <v>2001270</v>
      </c>
      <c r="AW293" s="1">
        <f t="shared" si="27"/>
        <v>89393790</v>
      </c>
    </row>
    <row r="294" spans="1:49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 t="shared" ref="D294:D300" si="29">"قراردادي کارگري"</f>
        <v>قراردادي کارگري</v>
      </c>
      <c r="E294" s="1" t="str">
        <f t="shared" ref="E294:E300" si="30">"پروژه تعميرات نيروگاه بوشهر"</f>
        <v>پروژه تعميرات نيروگاه بوشهر</v>
      </c>
      <c r="F294" s="1">
        <v>0</v>
      </c>
      <c r="G294" s="1">
        <v>4987743</v>
      </c>
      <c r="H294" s="1">
        <v>2493871</v>
      </c>
      <c r="I294" s="1">
        <v>5392947</v>
      </c>
      <c r="J294" s="1">
        <v>0</v>
      </c>
      <c r="K294" s="1">
        <v>5910476</v>
      </c>
      <c r="L294" s="1">
        <v>0</v>
      </c>
      <c r="M294" s="1">
        <v>0</v>
      </c>
      <c r="N294" s="1">
        <v>11572430</v>
      </c>
      <c r="O294" s="1">
        <v>2000000</v>
      </c>
      <c r="P294" s="1">
        <v>3740807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2640000</v>
      </c>
      <c r="W294" s="1">
        <v>0</v>
      </c>
      <c r="X294" s="1">
        <v>11518758</v>
      </c>
      <c r="Y294" s="1">
        <v>4000000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4305799</v>
      </c>
      <c r="AG294" s="1">
        <v>0</v>
      </c>
      <c r="AH294" s="1">
        <v>3670854</v>
      </c>
      <c r="AI294" s="1">
        <v>0</v>
      </c>
      <c r="AJ294" s="1">
        <v>0</v>
      </c>
      <c r="AK294" s="1">
        <v>0</v>
      </c>
      <c r="AL294" s="1">
        <v>1816572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64050257</v>
      </c>
      <c r="AS294" s="1">
        <v>6544928</v>
      </c>
      <c r="AT294" s="1">
        <v>57505329</v>
      </c>
      <c r="AU294" s="1">
        <v>12075881</v>
      </c>
      <c r="AV294" s="1">
        <v>1811382</v>
      </c>
      <c r="AW294" s="1">
        <f t="shared" si="27"/>
        <v>77937520</v>
      </c>
    </row>
    <row r="295" spans="1:49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 t="shared" si="29"/>
        <v>قراردادي کارگري</v>
      </c>
      <c r="E295" s="1" t="str">
        <f t="shared" si="30"/>
        <v>پروژه تعميرات نيروگاه بوشهر</v>
      </c>
      <c r="F295" s="1">
        <v>0</v>
      </c>
      <c r="G295" s="1">
        <v>5764446</v>
      </c>
      <c r="H295" s="1">
        <v>2997512</v>
      </c>
      <c r="I295" s="1">
        <v>6687860</v>
      </c>
      <c r="J295" s="1">
        <v>0</v>
      </c>
      <c r="K295" s="1">
        <v>5958131</v>
      </c>
      <c r="L295" s="1">
        <v>0</v>
      </c>
      <c r="M295" s="1">
        <v>0</v>
      </c>
      <c r="N295" s="1">
        <v>11521166</v>
      </c>
      <c r="O295" s="1">
        <v>2000000</v>
      </c>
      <c r="P295" s="1">
        <v>4611557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2640000</v>
      </c>
      <c r="W295" s="1">
        <v>0</v>
      </c>
      <c r="X295" s="1">
        <v>12227428</v>
      </c>
      <c r="Y295" s="1">
        <v>4000000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4627922</v>
      </c>
      <c r="AG295" s="1">
        <v>0</v>
      </c>
      <c r="AH295" s="1">
        <v>3670854</v>
      </c>
      <c r="AI295" s="1">
        <v>0</v>
      </c>
      <c r="AJ295" s="1">
        <v>0</v>
      </c>
      <c r="AK295" s="1">
        <v>0</v>
      </c>
      <c r="AL295" s="1">
        <v>5836678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72543554</v>
      </c>
      <c r="AS295" s="1">
        <v>11623351</v>
      </c>
      <c r="AT295" s="1">
        <v>60920203</v>
      </c>
      <c r="AU295" s="1">
        <v>13774540</v>
      </c>
      <c r="AV295" s="1">
        <v>2066181</v>
      </c>
      <c r="AW295" s="1">
        <f t="shared" si="27"/>
        <v>88384275</v>
      </c>
    </row>
    <row r="296" spans="1:49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0</v>
      </c>
      <c r="G296" s="1">
        <v>7051153</v>
      </c>
      <c r="H296" s="1">
        <v>3596088</v>
      </c>
      <c r="I296" s="1">
        <v>2417646</v>
      </c>
      <c r="J296" s="1">
        <v>0</v>
      </c>
      <c r="K296" s="1">
        <v>7453069</v>
      </c>
      <c r="L296" s="1">
        <v>0</v>
      </c>
      <c r="M296" s="1">
        <v>0</v>
      </c>
      <c r="N296" s="1">
        <v>11521166</v>
      </c>
      <c r="O296" s="1">
        <v>2000000</v>
      </c>
      <c r="P296" s="1">
        <v>5640922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2640000</v>
      </c>
      <c r="W296" s="1">
        <v>0</v>
      </c>
      <c r="X296" s="1">
        <v>13682591</v>
      </c>
      <c r="Y296" s="1">
        <v>4000000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5289359</v>
      </c>
      <c r="AG296" s="1">
        <v>0</v>
      </c>
      <c r="AH296" s="1">
        <v>3670854</v>
      </c>
      <c r="AI296" s="1">
        <v>0</v>
      </c>
      <c r="AJ296" s="1">
        <v>0</v>
      </c>
      <c r="AK296" s="1">
        <v>0</v>
      </c>
      <c r="AL296" s="1">
        <v>4420838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73383686</v>
      </c>
      <c r="AS296" s="1">
        <v>9448677</v>
      </c>
      <c r="AT296" s="1">
        <v>63935009</v>
      </c>
      <c r="AU296" s="1">
        <v>13942566</v>
      </c>
      <c r="AV296" s="1">
        <v>2091385</v>
      </c>
      <c r="AW296" s="1">
        <f t="shared" si="27"/>
        <v>89417637</v>
      </c>
    </row>
    <row r="297" spans="1:49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0</v>
      </c>
      <c r="G297" s="1">
        <v>5605362</v>
      </c>
      <c r="H297" s="1">
        <v>2914788</v>
      </c>
      <c r="I297" s="1">
        <v>2326197</v>
      </c>
      <c r="J297" s="1">
        <v>0</v>
      </c>
      <c r="K297" s="1">
        <v>6219710</v>
      </c>
      <c r="L297" s="1">
        <v>0</v>
      </c>
      <c r="M297" s="1">
        <v>0</v>
      </c>
      <c r="N297" s="1">
        <v>11521166</v>
      </c>
      <c r="O297" s="1">
        <v>2000000</v>
      </c>
      <c r="P297" s="1">
        <v>4484290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16348303</v>
      </c>
      <c r="Y297" s="1">
        <v>4000000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4611797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4253617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64285230</v>
      </c>
      <c r="AS297" s="1">
        <v>11086604</v>
      </c>
      <c r="AT297" s="1">
        <v>53198626</v>
      </c>
      <c r="AU297" s="1">
        <v>12857046</v>
      </c>
      <c r="AV297" s="1">
        <v>1928557</v>
      </c>
      <c r="AW297" s="1">
        <f t="shared" si="27"/>
        <v>79070833</v>
      </c>
    </row>
    <row r="298" spans="1:49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0</v>
      </c>
      <c r="G298" s="1">
        <v>7776387</v>
      </c>
      <c r="H298" s="1">
        <v>3888194</v>
      </c>
      <c r="I298" s="1">
        <v>1626209</v>
      </c>
      <c r="J298" s="1">
        <v>0</v>
      </c>
      <c r="K298" s="1">
        <v>8631790</v>
      </c>
      <c r="L298" s="1">
        <v>0</v>
      </c>
      <c r="M298" s="1">
        <v>0</v>
      </c>
      <c r="N298" s="1">
        <v>11521166</v>
      </c>
      <c r="O298" s="1">
        <v>2000000</v>
      </c>
      <c r="P298" s="1">
        <v>6221110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19575601</v>
      </c>
      <c r="Y298" s="1">
        <v>4000000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5705797</v>
      </c>
      <c r="AG298" s="1">
        <v>0</v>
      </c>
      <c r="AH298" s="1">
        <v>1835427</v>
      </c>
      <c r="AI298" s="1">
        <v>0</v>
      </c>
      <c r="AJ298" s="1">
        <v>0</v>
      </c>
      <c r="AK298" s="1">
        <v>0</v>
      </c>
      <c r="AL298" s="1">
        <v>2601934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75383615</v>
      </c>
      <c r="AS298" s="1">
        <v>15692485</v>
      </c>
      <c r="AT298" s="1">
        <v>59691130</v>
      </c>
      <c r="AU298" s="1">
        <v>14709638</v>
      </c>
      <c r="AV298" s="1">
        <v>2206446</v>
      </c>
      <c r="AW298" s="1">
        <f t="shared" si="27"/>
        <v>92299699</v>
      </c>
    </row>
    <row r="299" spans="1:49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0</v>
      </c>
      <c r="G299" s="1">
        <v>6049861</v>
      </c>
      <c r="H299" s="1">
        <v>3024930</v>
      </c>
      <c r="I299" s="1">
        <v>0</v>
      </c>
      <c r="J299" s="1">
        <v>0</v>
      </c>
      <c r="K299" s="1">
        <v>6443102</v>
      </c>
      <c r="L299" s="1">
        <v>0</v>
      </c>
      <c r="M299" s="1">
        <v>0</v>
      </c>
      <c r="N299" s="1">
        <v>11521166</v>
      </c>
      <c r="O299" s="1">
        <v>2000000</v>
      </c>
      <c r="P299" s="1">
        <v>4839888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2640000</v>
      </c>
      <c r="W299" s="1">
        <v>0</v>
      </c>
      <c r="X299" s="1">
        <v>12280461</v>
      </c>
      <c r="Y299" s="1">
        <v>4000000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52799408</v>
      </c>
      <c r="AS299" s="1">
        <v>9507104</v>
      </c>
      <c r="AT299" s="1">
        <v>43292304</v>
      </c>
      <c r="AU299" s="1">
        <v>10559882</v>
      </c>
      <c r="AV299" s="1">
        <v>1583982</v>
      </c>
      <c r="AW299" s="1">
        <f t="shared" si="27"/>
        <v>64943272</v>
      </c>
    </row>
    <row r="300" spans="1:49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0</v>
      </c>
      <c r="G300" s="1">
        <v>6101329</v>
      </c>
      <c r="H300" s="1">
        <v>3111678</v>
      </c>
      <c r="I300" s="1">
        <v>2446439</v>
      </c>
      <c r="J300" s="1">
        <v>0</v>
      </c>
      <c r="K300" s="1">
        <v>6817625</v>
      </c>
      <c r="L300" s="1">
        <v>0</v>
      </c>
      <c r="M300" s="1">
        <v>0</v>
      </c>
      <c r="N300" s="1">
        <v>11521166</v>
      </c>
      <c r="O300" s="1">
        <v>2000000</v>
      </c>
      <c r="P300" s="1">
        <v>4881064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2640000</v>
      </c>
      <c r="W300" s="1">
        <v>0</v>
      </c>
      <c r="X300" s="1">
        <v>17095041</v>
      </c>
      <c r="Y300" s="1">
        <v>4000000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1835427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62449769</v>
      </c>
      <c r="AS300" s="1">
        <v>8408481</v>
      </c>
      <c r="AT300" s="1">
        <v>54041288</v>
      </c>
      <c r="AU300" s="1">
        <v>12122868</v>
      </c>
      <c r="AV300" s="1">
        <v>1818430</v>
      </c>
      <c r="AW300" s="1">
        <f t="shared" si="27"/>
        <v>76391067</v>
      </c>
    </row>
    <row r="301" spans="1:49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"قراردادي بهره بردار"</f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21169398</v>
      </c>
      <c r="G301" s="1">
        <v>0</v>
      </c>
      <c r="H301" s="1">
        <v>0</v>
      </c>
      <c r="I301" s="1">
        <v>10488255</v>
      </c>
      <c r="J301" s="1">
        <v>0</v>
      </c>
      <c r="K301" s="1">
        <v>19117900</v>
      </c>
      <c r="L301" s="1">
        <v>0</v>
      </c>
      <c r="M301" s="1">
        <v>4620000</v>
      </c>
      <c r="N301" s="1">
        <v>0</v>
      </c>
      <c r="O301" s="1">
        <v>1000000</v>
      </c>
      <c r="P301" s="1">
        <v>4098343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30396465</v>
      </c>
      <c r="Y301" s="1">
        <v>4000000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3220127</v>
      </c>
      <c r="AH301" s="1">
        <v>5506281</v>
      </c>
      <c r="AI301" s="1">
        <v>6188016</v>
      </c>
      <c r="AJ301" s="1">
        <v>0</v>
      </c>
      <c r="AK301" s="1">
        <v>0</v>
      </c>
      <c r="AL301" s="1">
        <v>0</v>
      </c>
      <c r="AM301" s="1">
        <v>0</v>
      </c>
      <c r="AN301" s="1">
        <v>14898792</v>
      </c>
      <c r="AO301" s="1">
        <v>0</v>
      </c>
      <c r="AP301" s="1">
        <v>0</v>
      </c>
      <c r="AQ301" s="1">
        <v>0</v>
      </c>
      <c r="AR301" s="1">
        <v>124703577</v>
      </c>
      <c r="AS301" s="1">
        <v>40869295</v>
      </c>
      <c r="AT301" s="1">
        <v>83834282</v>
      </c>
      <c r="AU301" s="1">
        <v>23839459</v>
      </c>
      <c r="AV301" s="1">
        <v>3575919</v>
      </c>
      <c r="AW301" s="1">
        <f t="shared" si="27"/>
        <v>152118955</v>
      </c>
    </row>
    <row r="302" spans="1:49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14594112</v>
      </c>
      <c r="G302" s="1">
        <v>0</v>
      </c>
      <c r="H302" s="1">
        <v>0</v>
      </c>
      <c r="I302" s="1">
        <v>5606052</v>
      </c>
      <c r="J302" s="1">
        <v>0</v>
      </c>
      <c r="K302" s="1">
        <v>10132291</v>
      </c>
      <c r="L302" s="1">
        <v>0</v>
      </c>
      <c r="M302" s="1">
        <v>4620000</v>
      </c>
      <c r="N302" s="1">
        <v>0</v>
      </c>
      <c r="O302" s="1">
        <v>1000000</v>
      </c>
      <c r="P302" s="1">
        <v>2207004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1848000</v>
      </c>
      <c r="W302" s="1">
        <v>0</v>
      </c>
      <c r="X302" s="1">
        <v>17407650</v>
      </c>
      <c r="Y302" s="1">
        <v>4000000</v>
      </c>
      <c r="Z302" s="1">
        <v>2002161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1734074</v>
      </c>
      <c r="AH302" s="1">
        <v>1835427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10671840</v>
      </c>
      <c r="AO302" s="1">
        <v>0</v>
      </c>
      <c r="AP302" s="1">
        <v>0</v>
      </c>
      <c r="AQ302" s="1">
        <v>0</v>
      </c>
      <c r="AR302" s="1">
        <v>77658611</v>
      </c>
      <c r="AS302" s="1">
        <v>16815387</v>
      </c>
      <c r="AT302" s="1">
        <v>60843224</v>
      </c>
      <c r="AU302" s="1">
        <v>15164637</v>
      </c>
      <c r="AV302" s="1">
        <v>2274696</v>
      </c>
      <c r="AW302" s="1">
        <f t="shared" si="27"/>
        <v>95097944</v>
      </c>
    </row>
    <row r="303" spans="1:49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 t="shared" ref="D303:D313" si="31">"قراردادي کارگري"</f>
        <v>قراردادي کارگري</v>
      </c>
      <c r="E303" s="1" t="str">
        <f t="shared" ref="E303:E313" si="32">"پروژه تعميرات نيروگاه بوشهر"</f>
        <v>پروژه تعميرات نيروگاه بوشهر</v>
      </c>
      <c r="F303" s="1">
        <v>0</v>
      </c>
      <c r="G303" s="1">
        <v>6862007</v>
      </c>
      <c r="H303" s="1">
        <v>3431004</v>
      </c>
      <c r="I303" s="1">
        <v>2262424</v>
      </c>
      <c r="J303" s="1">
        <v>0</v>
      </c>
      <c r="K303" s="1">
        <v>8028548</v>
      </c>
      <c r="L303" s="1">
        <v>0</v>
      </c>
      <c r="M303" s="1">
        <v>0</v>
      </c>
      <c r="N303" s="1">
        <v>11331151</v>
      </c>
      <c r="O303" s="1">
        <v>2000000</v>
      </c>
      <c r="P303" s="1">
        <v>5489606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2640000</v>
      </c>
      <c r="W303" s="1">
        <v>0</v>
      </c>
      <c r="X303" s="1">
        <v>18293974</v>
      </c>
      <c r="Y303" s="1">
        <v>4000000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3670854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68009568</v>
      </c>
      <c r="AS303" s="1">
        <v>8529496</v>
      </c>
      <c r="AT303" s="1">
        <v>59480072</v>
      </c>
      <c r="AU303" s="1">
        <v>12867743</v>
      </c>
      <c r="AV303" s="1">
        <v>1930161</v>
      </c>
      <c r="AW303" s="1">
        <f t="shared" si="27"/>
        <v>82807472</v>
      </c>
    </row>
    <row r="304" spans="1:49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 t="shared" si="31"/>
        <v>قراردادي کارگري</v>
      </c>
      <c r="E304" s="1" t="str">
        <f t="shared" si="32"/>
        <v>پروژه تعميرات نيروگاه بوشهر</v>
      </c>
      <c r="F304" s="1">
        <v>0</v>
      </c>
      <c r="G304" s="1">
        <v>5914172</v>
      </c>
      <c r="H304" s="1">
        <v>3016228</v>
      </c>
      <c r="I304" s="1">
        <v>0</v>
      </c>
      <c r="J304" s="1">
        <v>0</v>
      </c>
      <c r="K304" s="1">
        <v>6608495</v>
      </c>
      <c r="L304" s="1">
        <v>0</v>
      </c>
      <c r="M304" s="1">
        <v>0</v>
      </c>
      <c r="N304" s="1">
        <v>11521166</v>
      </c>
      <c r="O304" s="1">
        <v>2000000</v>
      </c>
      <c r="P304" s="1">
        <v>4731338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2640000</v>
      </c>
      <c r="W304" s="1">
        <v>0</v>
      </c>
      <c r="X304" s="1">
        <v>12252226</v>
      </c>
      <c r="Y304" s="1">
        <v>4000000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52683625</v>
      </c>
      <c r="AS304" s="1">
        <v>10388231</v>
      </c>
      <c r="AT304" s="1">
        <v>42295394</v>
      </c>
      <c r="AU304" s="1">
        <v>10536725</v>
      </c>
      <c r="AV304" s="1">
        <v>1580509</v>
      </c>
      <c r="AW304" s="1">
        <f t="shared" si="27"/>
        <v>64800859</v>
      </c>
    </row>
    <row r="305" spans="1:49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0</v>
      </c>
      <c r="G305" s="1">
        <v>8904149</v>
      </c>
      <c r="H305" s="1">
        <v>4452074</v>
      </c>
      <c r="I305" s="1">
        <v>3491112</v>
      </c>
      <c r="J305" s="1">
        <v>0</v>
      </c>
      <c r="K305" s="1">
        <v>12020600</v>
      </c>
      <c r="L305" s="1">
        <v>0</v>
      </c>
      <c r="M305" s="1">
        <v>0</v>
      </c>
      <c r="N305" s="1">
        <v>11331151</v>
      </c>
      <c r="O305" s="1">
        <v>2000000</v>
      </c>
      <c r="P305" s="1">
        <v>7123321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2640000</v>
      </c>
      <c r="W305" s="1">
        <v>0</v>
      </c>
      <c r="X305" s="1">
        <v>18011266</v>
      </c>
      <c r="Y305" s="1">
        <v>4000000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3670854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4383129</v>
      </c>
      <c r="AQ305" s="1">
        <v>0</v>
      </c>
      <c r="AR305" s="1">
        <v>82027656</v>
      </c>
      <c r="AS305" s="1">
        <v>17608056</v>
      </c>
      <c r="AT305" s="1">
        <v>64419600</v>
      </c>
      <c r="AU305" s="1">
        <v>15671360</v>
      </c>
      <c r="AV305" s="1">
        <v>2350704</v>
      </c>
      <c r="AW305" s="1">
        <f t="shared" si="27"/>
        <v>100049720</v>
      </c>
    </row>
    <row r="306" spans="1:49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0</v>
      </c>
      <c r="G306" s="1">
        <v>6353991</v>
      </c>
      <c r="H306" s="1">
        <v>3304075</v>
      </c>
      <c r="I306" s="1">
        <v>0</v>
      </c>
      <c r="J306" s="1">
        <v>0</v>
      </c>
      <c r="K306" s="1">
        <v>7050389</v>
      </c>
      <c r="L306" s="1">
        <v>0</v>
      </c>
      <c r="M306" s="1">
        <v>0</v>
      </c>
      <c r="N306" s="1">
        <v>11572430</v>
      </c>
      <c r="O306" s="1">
        <v>2000000</v>
      </c>
      <c r="P306" s="1">
        <v>5083193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2640000</v>
      </c>
      <c r="W306" s="1">
        <v>0</v>
      </c>
      <c r="X306" s="1">
        <v>12759416</v>
      </c>
      <c r="Y306" s="1">
        <v>4000000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5506281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3336408</v>
      </c>
      <c r="AQ306" s="1">
        <v>0</v>
      </c>
      <c r="AR306" s="1">
        <v>63606183</v>
      </c>
      <c r="AS306" s="1">
        <v>17526328</v>
      </c>
      <c r="AT306" s="1">
        <v>46079855</v>
      </c>
      <c r="AU306" s="1">
        <v>11619980</v>
      </c>
      <c r="AV306" s="1">
        <v>1742997</v>
      </c>
      <c r="AW306" s="1">
        <f t="shared" si="27"/>
        <v>76969160</v>
      </c>
    </row>
    <row r="307" spans="1:49" x14ac:dyDescent="0.2">
      <c r="A307" s="1" t="str">
        <f>"00358"</f>
        <v>00358</v>
      </c>
      <c r="B307" s="1" t="str">
        <f>"رضا"</f>
        <v>رضا</v>
      </c>
      <c r="C307" s="1" t="str">
        <f>"افسون"</f>
        <v>افسون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0</v>
      </c>
      <c r="G307" s="1">
        <v>6826564</v>
      </c>
      <c r="H307" s="1">
        <v>3413282</v>
      </c>
      <c r="I307" s="1">
        <v>1689552</v>
      </c>
      <c r="J307" s="1">
        <v>0</v>
      </c>
      <c r="K307" s="1">
        <v>7475087</v>
      </c>
      <c r="L307" s="1">
        <v>0</v>
      </c>
      <c r="M307" s="1">
        <v>0</v>
      </c>
      <c r="N307" s="1">
        <v>11521166</v>
      </c>
      <c r="O307" s="1">
        <v>2000000</v>
      </c>
      <c r="P307" s="1">
        <v>5461251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2640000</v>
      </c>
      <c r="W307" s="1">
        <v>0</v>
      </c>
      <c r="X307" s="1">
        <v>13189395</v>
      </c>
      <c r="Y307" s="1">
        <v>4000000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3670854</v>
      </c>
      <c r="AI307" s="1">
        <v>0</v>
      </c>
      <c r="AJ307" s="1">
        <v>0</v>
      </c>
      <c r="AK307" s="1">
        <v>0</v>
      </c>
      <c r="AL307" s="1">
        <v>2162627</v>
      </c>
      <c r="AM307" s="1">
        <v>0</v>
      </c>
      <c r="AN307" s="1">
        <v>0</v>
      </c>
      <c r="AO307" s="1">
        <v>0</v>
      </c>
      <c r="AP307" s="1">
        <v>3469735</v>
      </c>
      <c r="AQ307" s="1">
        <v>0</v>
      </c>
      <c r="AR307" s="1">
        <v>67519513</v>
      </c>
      <c r="AS307" s="1">
        <v>13526656</v>
      </c>
      <c r="AT307" s="1">
        <v>53992857</v>
      </c>
      <c r="AU307" s="1">
        <v>12769732</v>
      </c>
      <c r="AV307" s="1">
        <v>1915460</v>
      </c>
      <c r="AW307" s="1">
        <f t="shared" si="27"/>
        <v>82204705</v>
      </c>
    </row>
    <row r="308" spans="1:49" x14ac:dyDescent="0.2">
      <c r="A308" s="1" t="str">
        <f>"00359"</f>
        <v>00359</v>
      </c>
      <c r="B308" s="1" t="str">
        <f>"نعمت اله"</f>
        <v>نعمت اله</v>
      </c>
      <c r="C308" s="1" t="str">
        <f>"علي زاده"</f>
        <v>علي زاده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0</v>
      </c>
      <c r="G308" s="1">
        <v>7448862</v>
      </c>
      <c r="H308" s="1">
        <v>3798920</v>
      </c>
      <c r="I308" s="1">
        <v>0</v>
      </c>
      <c r="J308" s="1">
        <v>0</v>
      </c>
      <c r="K308" s="1">
        <v>8323358</v>
      </c>
      <c r="L308" s="1">
        <v>0</v>
      </c>
      <c r="M308" s="1">
        <v>0</v>
      </c>
      <c r="N308" s="1">
        <v>11521166</v>
      </c>
      <c r="O308" s="1">
        <v>2000000</v>
      </c>
      <c r="P308" s="1">
        <v>5959090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2640000</v>
      </c>
      <c r="W308" s="1">
        <v>0</v>
      </c>
      <c r="X308" s="1">
        <v>15137988</v>
      </c>
      <c r="Y308" s="1">
        <v>4000000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3670854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64500238</v>
      </c>
      <c r="AS308" s="1">
        <v>9296675</v>
      </c>
      <c r="AT308" s="1">
        <v>55203563</v>
      </c>
      <c r="AU308" s="1">
        <v>12165877</v>
      </c>
      <c r="AV308" s="1">
        <v>1824882</v>
      </c>
      <c r="AW308" s="1">
        <f t="shared" si="27"/>
        <v>78490997</v>
      </c>
    </row>
    <row r="309" spans="1:49" x14ac:dyDescent="0.2">
      <c r="A309" s="1" t="str">
        <f>"00360"</f>
        <v>00360</v>
      </c>
      <c r="B309" s="1" t="str">
        <f>"احمد"</f>
        <v>احمد</v>
      </c>
      <c r="C309" s="1" t="str">
        <f>"مقاتلي فرد"</f>
        <v>مقاتلي فرد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0</v>
      </c>
      <c r="G309" s="1">
        <v>5596004</v>
      </c>
      <c r="H309" s="1">
        <v>2909922</v>
      </c>
      <c r="I309" s="1">
        <v>10069649</v>
      </c>
      <c r="J309" s="1">
        <v>0</v>
      </c>
      <c r="K309" s="1">
        <v>6294386</v>
      </c>
      <c r="L309" s="1">
        <v>0</v>
      </c>
      <c r="M309" s="1">
        <v>0</v>
      </c>
      <c r="N309" s="1">
        <v>11521166</v>
      </c>
      <c r="O309" s="1">
        <v>2000000</v>
      </c>
      <c r="P309" s="1">
        <v>4476803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2640000</v>
      </c>
      <c r="W309" s="1">
        <v>0</v>
      </c>
      <c r="X309" s="1">
        <v>7769640</v>
      </c>
      <c r="Y309" s="1">
        <v>4000000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3670854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60948424</v>
      </c>
      <c r="AS309" s="1">
        <v>14789986</v>
      </c>
      <c r="AT309" s="1">
        <v>46158438</v>
      </c>
      <c r="AU309" s="1">
        <v>11455514</v>
      </c>
      <c r="AV309" s="1">
        <v>1718327</v>
      </c>
      <c r="AW309" s="1">
        <f t="shared" si="27"/>
        <v>74122265</v>
      </c>
    </row>
    <row r="310" spans="1:49" x14ac:dyDescent="0.2">
      <c r="A310" s="1" t="str">
        <f>"00361"</f>
        <v>00361</v>
      </c>
      <c r="B310" s="1" t="str">
        <f>"غلامعلي"</f>
        <v>غلامعلي</v>
      </c>
      <c r="C310" s="1" t="str">
        <f>"دشتي زاده"</f>
        <v>دشتي زاده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0</v>
      </c>
      <c r="G310" s="1">
        <v>8169418</v>
      </c>
      <c r="H310" s="1">
        <v>4574874</v>
      </c>
      <c r="I310" s="1">
        <v>0</v>
      </c>
      <c r="J310" s="1">
        <v>0</v>
      </c>
      <c r="K310" s="1">
        <v>9430776</v>
      </c>
      <c r="L310" s="1">
        <v>0</v>
      </c>
      <c r="M310" s="1">
        <v>0</v>
      </c>
      <c r="N310" s="1">
        <v>11521166</v>
      </c>
      <c r="O310" s="1">
        <v>2000000</v>
      </c>
      <c r="P310" s="1">
        <v>6535534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2640000</v>
      </c>
      <c r="W310" s="1">
        <v>0</v>
      </c>
      <c r="X310" s="1">
        <v>10868252</v>
      </c>
      <c r="Y310" s="1">
        <v>4000000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1871573</v>
      </c>
      <c r="AF310" s="1">
        <v>0</v>
      </c>
      <c r="AG310" s="1">
        <v>0</v>
      </c>
      <c r="AH310" s="1">
        <v>5506281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67117874</v>
      </c>
      <c r="AS310" s="1">
        <v>14399442</v>
      </c>
      <c r="AT310" s="1">
        <v>52718432</v>
      </c>
      <c r="AU310" s="1">
        <v>12322319</v>
      </c>
      <c r="AV310" s="1">
        <v>1848348</v>
      </c>
      <c r="AW310" s="1">
        <f t="shared" si="27"/>
        <v>81288541</v>
      </c>
    </row>
    <row r="311" spans="1:49" x14ac:dyDescent="0.2">
      <c r="A311" s="1" t="str">
        <f>"00362"</f>
        <v>00362</v>
      </c>
      <c r="B311" s="1" t="str">
        <f>"غلامرضا"</f>
        <v>غلامرضا</v>
      </c>
      <c r="C311" s="1" t="str">
        <f>"حسين پور بوشهري"</f>
        <v>حسين پور بوشهري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0</v>
      </c>
      <c r="G311" s="1">
        <v>6821885</v>
      </c>
      <c r="H311" s="1">
        <v>3888475</v>
      </c>
      <c r="I311" s="1">
        <v>3659362</v>
      </c>
      <c r="J311" s="1">
        <v>0</v>
      </c>
      <c r="K311" s="1">
        <v>8139873</v>
      </c>
      <c r="L311" s="1">
        <v>0</v>
      </c>
      <c r="M311" s="1">
        <v>0</v>
      </c>
      <c r="N311" s="1">
        <v>11521166</v>
      </c>
      <c r="O311" s="1">
        <v>2000000</v>
      </c>
      <c r="P311" s="1">
        <v>5457508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2640000</v>
      </c>
      <c r="W311" s="1">
        <v>0</v>
      </c>
      <c r="X311" s="1">
        <v>14157905</v>
      </c>
      <c r="Y311" s="1">
        <v>4000000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1871573</v>
      </c>
      <c r="AF311" s="1">
        <v>0</v>
      </c>
      <c r="AG311" s="1">
        <v>0</v>
      </c>
      <c r="AH311" s="1">
        <v>3670854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67828601</v>
      </c>
      <c r="AS311" s="1">
        <v>7160798</v>
      </c>
      <c r="AT311" s="1">
        <v>60667803</v>
      </c>
      <c r="AU311" s="1">
        <v>12831549</v>
      </c>
      <c r="AV311" s="1">
        <v>1924732</v>
      </c>
      <c r="AW311" s="1">
        <f t="shared" si="27"/>
        <v>82584882</v>
      </c>
    </row>
    <row r="312" spans="1:49" x14ac:dyDescent="0.2">
      <c r="A312" s="1" t="str">
        <f>"00363"</f>
        <v>00363</v>
      </c>
      <c r="B312" s="1" t="str">
        <f>"بابک"</f>
        <v>بابک</v>
      </c>
      <c r="C312" s="1" t="str">
        <f>"خدادادي"</f>
        <v>خدادادي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0</v>
      </c>
      <c r="G312" s="1">
        <v>7355825</v>
      </c>
      <c r="H312" s="1">
        <v>3677912</v>
      </c>
      <c r="I312" s="1">
        <v>0</v>
      </c>
      <c r="J312" s="1">
        <v>0</v>
      </c>
      <c r="K312" s="1">
        <v>8606315</v>
      </c>
      <c r="L312" s="1">
        <v>0</v>
      </c>
      <c r="M312" s="1">
        <v>0</v>
      </c>
      <c r="N312" s="1">
        <v>11331151</v>
      </c>
      <c r="O312" s="1">
        <v>2000000</v>
      </c>
      <c r="P312" s="1">
        <v>5884660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2640000</v>
      </c>
      <c r="W312" s="1">
        <v>0</v>
      </c>
      <c r="X312" s="1">
        <v>15069552</v>
      </c>
      <c r="Y312" s="1">
        <v>4000000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60565415</v>
      </c>
      <c r="AS312" s="1">
        <v>8972963</v>
      </c>
      <c r="AT312" s="1">
        <v>51592452</v>
      </c>
      <c r="AU312" s="1">
        <v>12113083</v>
      </c>
      <c r="AV312" s="1">
        <v>1816962</v>
      </c>
      <c r="AW312" s="1">
        <f t="shared" si="27"/>
        <v>74495460</v>
      </c>
    </row>
    <row r="313" spans="1:49" x14ac:dyDescent="0.2">
      <c r="A313" s="1" t="str">
        <f>"00364"</f>
        <v>00364</v>
      </c>
      <c r="B313" s="1" t="str">
        <f>"بهنام"</f>
        <v>بهنام</v>
      </c>
      <c r="C313" s="1" t="str">
        <f>"بهزادي"</f>
        <v>بهزادي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0</v>
      </c>
      <c r="G313" s="1">
        <v>5956282</v>
      </c>
      <c r="H313" s="1">
        <v>2978141</v>
      </c>
      <c r="I313" s="1">
        <v>3103377</v>
      </c>
      <c r="J313" s="1">
        <v>0</v>
      </c>
      <c r="K313" s="1">
        <v>6522129</v>
      </c>
      <c r="L313" s="1">
        <v>0</v>
      </c>
      <c r="M313" s="1">
        <v>0</v>
      </c>
      <c r="N313" s="1">
        <v>11521166</v>
      </c>
      <c r="O313" s="1">
        <v>2000000</v>
      </c>
      <c r="P313" s="1">
        <v>4765026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2640000</v>
      </c>
      <c r="W313" s="1">
        <v>0</v>
      </c>
      <c r="X313" s="1">
        <v>12236535</v>
      </c>
      <c r="Y313" s="1">
        <v>4000000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1835427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57558083</v>
      </c>
      <c r="AS313" s="1">
        <v>9503592</v>
      </c>
      <c r="AT313" s="1">
        <v>48054491</v>
      </c>
      <c r="AU313" s="1">
        <v>11144531</v>
      </c>
      <c r="AV313" s="1">
        <v>1671680</v>
      </c>
      <c r="AW313" s="1">
        <f t="shared" si="27"/>
        <v>70374294</v>
      </c>
    </row>
    <row r="314" spans="1:49" x14ac:dyDescent="0.2">
      <c r="A314" s="1" t="str">
        <f>"00365"</f>
        <v>00365</v>
      </c>
      <c r="B314" s="1" t="str">
        <f>"محسن"</f>
        <v>محسن</v>
      </c>
      <c r="C314" s="1" t="str">
        <f>"قديمي"</f>
        <v>قديمي</v>
      </c>
      <c r="D314" s="1" t="str">
        <f>"قراردادي بهره بردار"</f>
        <v>قراردادي بهره بردار</v>
      </c>
      <c r="E314" s="1" t="str">
        <f>"پروژه بهره برداري نيروگاه بوشهر"</f>
        <v>پروژه بهره برداري نيروگاه بوشهر</v>
      </c>
      <c r="F314" s="1">
        <v>27900878</v>
      </c>
      <c r="G314" s="1">
        <v>0</v>
      </c>
      <c r="H314" s="1">
        <v>0</v>
      </c>
      <c r="I314" s="1">
        <v>10251088</v>
      </c>
      <c r="J314" s="1">
        <v>0</v>
      </c>
      <c r="K314" s="1">
        <v>22559288</v>
      </c>
      <c r="L314" s="1">
        <v>0</v>
      </c>
      <c r="M314" s="1">
        <v>5500000</v>
      </c>
      <c r="N314" s="1">
        <v>0</v>
      </c>
      <c r="O314" s="1">
        <v>1000000</v>
      </c>
      <c r="P314" s="1">
        <v>4392846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1848000</v>
      </c>
      <c r="W314" s="1">
        <v>0</v>
      </c>
      <c r="X314" s="1">
        <v>29003628</v>
      </c>
      <c r="Y314" s="1">
        <v>4000000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3892267</v>
      </c>
      <c r="AF314" s="1">
        <v>0</v>
      </c>
      <c r="AG314" s="1">
        <v>3451521</v>
      </c>
      <c r="AH314" s="1">
        <v>1835427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5647944</v>
      </c>
      <c r="AO314" s="1">
        <v>0</v>
      </c>
      <c r="AP314" s="1">
        <v>0</v>
      </c>
      <c r="AQ314" s="1">
        <v>0</v>
      </c>
      <c r="AR314" s="1">
        <v>121282887</v>
      </c>
      <c r="AS314" s="1">
        <v>44252815</v>
      </c>
      <c r="AT314" s="1">
        <v>77030072</v>
      </c>
      <c r="AU314" s="1">
        <v>23889492</v>
      </c>
      <c r="AV314" s="1">
        <v>3583424</v>
      </c>
      <c r="AW314" s="1">
        <f t="shared" si="27"/>
        <v>148755803</v>
      </c>
    </row>
    <row r="315" spans="1:49" x14ac:dyDescent="0.2">
      <c r="A315" s="1" t="str">
        <f>"00366"</f>
        <v>00366</v>
      </c>
      <c r="B315" s="1" t="str">
        <f>"سهيل"</f>
        <v>سهيل</v>
      </c>
      <c r="C315" s="1" t="str">
        <f>"طاهري"</f>
        <v>طاهري</v>
      </c>
      <c r="D315" s="1" t="str">
        <f>"قراردادي بهره بردار"</f>
        <v>قراردادي بهره بردار</v>
      </c>
      <c r="E315" s="1" t="str">
        <f>"پروژه بهره برداري نيروگاه بوشهر"</f>
        <v>پروژه بهره برداري نيروگاه بوشهر</v>
      </c>
      <c r="F315" s="1">
        <v>23552624</v>
      </c>
      <c r="G315" s="1">
        <v>0</v>
      </c>
      <c r="H315" s="1">
        <v>0</v>
      </c>
      <c r="I315" s="1">
        <v>9825588</v>
      </c>
      <c r="J315" s="1">
        <v>0</v>
      </c>
      <c r="K315" s="1">
        <v>20272109</v>
      </c>
      <c r="L315" s="1">
        <v>0</v>
      </c>
      <c r="M315" s="1">
        <v>5500000</v>
      </c>
      <c r="N315" s="1">
        <v>0</v>
      </c>
      <c r="O315" s="1">
        <v>1000000</v>
      </c>
      <c r="P315" s="1">
        <v>3944919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1848000</v>
      </c>
      <c r="W315" s="1">
        <v>0</v>
      </c>
      <c r="X315" s="1">
        <v>12437482</v>
      </c>
      <c r="Y315" s="1">
        <v>4000000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3099579</v>
      </c>
      <c r="AH315" s="1">
        <v>1835427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6314593</v>
      </c>
      <c r="AO315" s="1">
        <v>0</v>
      </c>
      <c r="AP315" s="1">
        <v>0</v>
      </c>
      <c r="AQ315" s="1">
        <v>0</v>
      </c>
      <c r="AR315" s="1">
        <v>93630321</v>
      </c>
      <c r="AS315" s="1">
        <v>35693953</v>
      </c>
      <c r="AT315" s="1">
        <v>57936368</v>
      </c>
      <c r="AU315" s="1">
        <v>18358979</v>
      </c>
      <c r="AV315" s="1">
        <v>2753847</v>
      </c>
      <c r="AW315" s="1">
        <f t="shared" si="27"/>
        <v>114743147</v>
      </c>
    </row>
    <row r="316" spans="1:49" x14ac:dyDescent="0.2">
      <c r="A316" s="1" t="str">
        <f>"00367"</f>
        <v>00367</v>
      </c>
      <c r="B316" s="1" t="str">
        <f>"ميترا"</f>
        <v>ميترا</v>
      </c>
      <c r="C316" s="1" t="str">
        <f>"نوري"</f>
        <v>نوري</v>
      </c>
      <c r="D316" s="1" t="str">
        <f>"قراردادي بهره بردار"</f>
        <v>قراردادي بهره بردار</v>
      </c>
      <c r="E316" s="1" t="str">
        <f>"پروژه بهره برداري نيروگاه بوشهر"</f>
        <v>پروژه بهره برداري نيروگاه بوشهر</v>
      </c>
      <c r="F316" s="1">
        <v>25003722</v>
      </c>
      <c r="G316" s="1">
        <v>0</v>
      </c>
      <c r="H316" s="1">
        <v>0</v>
      </c>
      <c r="I316" s="1">
        <v>0</v>
      </c>
      <c r="J316" s="1">
        <v>0</v>
      </c>
      <c r="K316" s="1">
        <v>20924242</v>
      </c>
      <c r="L316" s="1">
        <v>0</v>
      </c>
      <c r="M316" s="1">
        <v>4125000</v>
      </c>
      <c r="N316" s="1">
        <v>0</v>
      </c>
      <c r="O316" s="1">
        <v>1000000</v>
      </c>
      <c r="P316" s="1">
        <v>4452804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1848000</v>
      </c>
      <c r="W316" s="1">
        <v>0</v>
      </c>
      <c r="X316" s="1">
        <v>10639931</v>
      </c>
      <c r="Y316" s="1">
        <v>4000000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3498632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6063875</v>
      </c>
      <c r="AO316" s="1">
        <v>0</v>
      </c>
      <c r="AP316" s="1">
        <v>0</v>
      </c>
      <c r="AQ316" s="1">
        <v>0</v>
      </c>
      <c r="AR316" s="1">
        <v>81556206</v>
      </c>
      <c r="AS316" s="1">
        <v>30758269</v>
      </c>
      <c r="AT316" s="1">
        <v>50797937</v>
      </c>
      <c r="AU316" s="1">
        <v>16311241</v>
      </c>
      <c r="AV316" s="1">
        <v>2446686</v>
      </c>
      <c r="AW316" s="1">
        <f t="shared" si="27"/>
        <v>100314133</v>
      </c>
    </row>
    <row r="317" spans="1:49" x14ac:dyDescent="0.2">
      <c r="A317" s="1" t="str">
        <f>"00368"</f>
        <v>00368</v>
      </c>
      <c r="B317" s="1" t="str">
        <f>"راضيه"</f>
        <v>راضيه</v>
      </c>
      <c r="C317" s="1" t="str">
        <f>"اژدري"</f>
        <v>اژدري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23293140</v>
      </c>
      <c r="G317" s="1">
        <v>0</v>
      </c>
      <c r="H317" s="1">
        <v>0</v>
      </c>
      <c r="I317" s="1">
        <v>0</v>
      </c>
      <c r="J317" s="1">
        <v>0</v>
      </c>
      <c r="K317" s="1">
        <v>18673280</v>
      </c>
      <c r="L317" s="1">
        <v>0</v>
      </c>
      <c r="M317" s="1">
        <v>4125000</v>
      </c>
      <c r="N317" s="1">
        <v>0</v>
      </c>
      <c r="O317" s="1">
        <v>1000000</v>
      </c>
      <c r="P317" s="1">
        <v>3854100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1848000</v>
      </c>
      <c r="W317" s="1">
        <v>0</v>
      </c>
      <c r="X317" s="1">
        <v>9693508</v>
      </c>
      <c r="Y317" s="1">
        <v>4000000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3028222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5762570</v>
      </c>
      <c r="AO317" s="1">
        <v>0</v>
      </c>
      <c r="AP317" s="1">
        <v>0</v>
      </c>
      <c r="AQ317" s="1">
        <v>0</v>
      </c>
      <c r="AR317" s="1">
        <v>75277820</v>
      </c>
      <c r="AS317" s="1">
        <v>24232491</v>
      </c>
      <c r="AT317" s="1">
        <v>51045329</v>
      </c>
      <c r="AU317" s="1">
        <v>15055564</v>
      </c>
      <c r="AV317" s="1">
        <v>2258335</v>
      </c>
      <c r="AW317" s="1">
        <f t="shared" si="27"/>
        <v>92591719</v>
      </c>
    </row>
    <row r="318" spans="1:49" x14ac:dyDescent="0.2">
      <c r="A318" s="1" t="str">
        <f>"00369"</f>
        <v>00369</v>
      </c>
      <c r="B318" s="1" t="str">
        <f>"غلامرضا"</f>
        <v>غلامرضا</v>
      </c>
      <c r="C318" s="1" t="str">
        <f>"ميرکي"</f>
        <v>ميرکي</v>
      </c>
      <c r="D318" s="1" t="str">
        <f t="shared" ref="D318:D327" si="33">"قراردادي کارگري"</f>
        <v>قراردادي کارگري</v>
      </c>
      <c r="E318" s="1" t="str">
        <f t="shared" ref="E318:E328" si="34">"پروژه تعميرات نيروگاه بوشهر"</f>
        <v>پروژه تعميرات نيروگاه بوشهر</v>
      </c>
      <c r="F318" s="1">
        <v>0</v>
      </c>
      <c r="G318" s="1">
        <v>7205557</v>
      </c>
      <c r="H318" s="1">
        <v>3674834</v>
      </c>
      <c r="I318" s="1">
        <v>3482165</v>
      </c>
      <c r="J318" s="1">
        <v>0</v>
      </c>
      <c r="K318" s="1">
        <v>7942686</v>
      </c>
      <c r="L318" s="1">
        <v>0</v>
      </c>
      <c r="M318" s="1">
        <v>0</v>
      </c>
      <c r="N318" s="1">
        <v>11521166</v>
      </c>
      <c r="O318" s="1">
        <v>2000000</v>
      </c>
      <c r="P318" s="1">
        <v>5764446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2640000</v>
      </c>
      <c r="W318" s="1">
        <v>0</v>
      </c>
      <c r="X318" s="1">
        <v>18721594</v>
      </c>
      <c r="Y318" s="1">
        <v>4000000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5416303</v>
      </c>
      <c r="AG318" s="1">
        <v>0</v>
      </c>
      <c r="AH318" s="1">
        <v>7341708</v>
      </c>
      <c r="AI318" s="1">
        <v>0</v>
      </c>
      <c r="AJ318" s="1">
        <v>0</v>
      </c>
      <c r="AK318" s="1">
        <v>0</v>
      </c>
      <c r="AL318" s="1">
        <v>4952413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84662872</v>
      </c>
      <c r="AS318" s="1">
        <v>11682320</v>
      </c>
      <c r="AT318" s="1">
        <v>72980552</v>
      </c>
      <c r="AU318" s="1">
        <v>15464233</v>
      </c>
      <c r="AV318" s="1">
        <v>2319635</v>
      </c>
      <c r="AW318" s="1">
        <f t="shared" si="27"/>
        <v>102446740</v>
      </c>
    </row>
    <row r="319" spans="1:49" x14ac:dyDescent="0.2">
      <c r="A319" s="1" t="str">
        <f>"00370"</f>
        <v>00370</v>
      </c>
      <c r="B319" s="1" t="str">
        <f>"احمد"</f>
        <v>احمد</v>
      </c>
      <c r="C319" s="1" t="str">
        <f>"عابدي"</f>
        <v>عابدي</v>
      </c>
      <c r="D319" s="1" t="str">
        <f t="shared" si="33"/>
        <v>قراردادي کارگري</v>
      </c>
      <c r="E319" s="1" t="str">
        <f t="shared" si="34"/>
        <v>پروژه تعميرات نيروگاه بوشهر</v>
      </c>
      <c r="F319" s="1">
        <v>0</v>
      </c>
      <c r="G319" s="1">
        <v>5698941</v>
      </c>
      <c r="H319" s="1">
        <v>2963449</v>
      </c>
      <c r="I319" s="1">
        <v>1337063</v>
      </c>
      <c r="J319" s="1">
        <v>0</v>
      </c>
      <c r="K319" s="1">
        <v>6323544</v>
      </c>
      <c r="L319" s="1">
        <v>0</v>
      </c>
      <c r="M319" s="1">
        <v>0</v>
      </c>
      <c r="N319" s="1">
        <v>11521166</v>
      </c>
      <c r="O319" s="1">
        <v>2000000</v>
      </c>
      <c r="P319" s="1">
        <v>4559152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16303986</v>
      </c>
      <c r="Y319" s="1">
        <v>4000000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4659938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4278602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63645841</v>
      </c>
      <c r="AS319" s="1">
        <v>7014273</v>
      </c>
      <c r="AT319" s="1">
        <v>56631568</v>
      </c>
      <c r="AU319" s="1">
        <v>12729168</v>
      </c>
      <c r="AV319" s="1">
        <v>1909375</v>
      </c>
      <c r="AW319" s="1">
        <f t="shared" si="27"/>
        <v>78284384</v>
      </c>
    </row>
    <row r="320" spans="1:49" x14ac:dyDescent="0.2">
      <c r="A320" s="1" t="str">
        <f>"00371"</f>
        <v>00371</v>
      </c>
      <c r="B320" s="1" t="str">
        <f>"اميد"</f>
        <v>اميد</v>
      </c>
      <c r="C320" s="1" t="str">
        <f>"محمدي"</f>
        <v>محمدي</v>
      </c>
      <c r="D320" s="1" t="str">
        <f t="shared" si="33"/>
        <v>قراردادي کارگري</v>
      </c>
      <c r="E320" s="1" t="str">
        <f t="shared" si="34"/>
        <v>پروژه تعميرات نيروگاه بوشهر</v>
      </c>
      <c r="F320" s="1">
        <v>0</v>
      </c>
      <c r="G320" s="1">
        <v>5787841</v>
      </c>
      <c r="H320" s="1">
        <v>3009677</v>
      </c>
      <c r="I320" s="1">
        <v>609460</v>
      </c>
      <c r="J320" s="1">
        <v>0</v>
      </c>
      <c r="K320" s="1">
        <v>5982312</v>
      </c>
      <c r="L320" s="1">
        <v>0</v>
      </c>
      <c r="M320" s="1">
        <v>0</v>
      </c>
      <c r="N320" s="1">
        <v>11521166</v>
      </c>
      <c r="O320" s="1">
        <v>2000000</v>
      </c>
      <c r="P320" s="1">
        <v>4630273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2640000</v>
      </c>
      <c r="W320" s="1">
        <v>0</v>
      </c>
      <c r="X320" s="1">
        <v>12253318</v>
      </c>
      <c r="Y320" s="1">
        <v>4000000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4639690</v>
      </c>
      <c r="AG320" s="1">
        <v>0</v>
      </c>
      <c r="AH320" s="1">
        <v>1835427</v>
      </c>
      <c r="AI320" s="1">
        <v>0</v>
      </c>
      <c r="AJ320" s="1">
        <v>0</v>
      </c>
      <c r="AK320" s="1">
        <v>0</v>
      </c>
      <c r="AL320" s="1">
        <v>1950272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60859436</v>
      </c>
      <c r="AS320" s="1">
        <v>9103046</v>
      </c>
      <c r="AT320" s="1">
        <v>51756390</v>
      </c>
      <c r="AU320" s="1">
        <v>11804802</v>
      </c>
      <c r="AV320" s="1">
        <v>1770720</v>
      </c>
      <c r="AW320" s="1">
        <f t="shared" si="27"/>
        <v>74434958</v>
      </c>
    </row>
    <row r="321" spans="1:49" x14ac:dyDescent="0.2">
      <c r="A321" s="1" t="str">
        <f>"00372"</f>
        <v>00372</v>
      </c>
      <c r="B321" s="1" t="str">
        <f>"رسول"</f>
        <v>رسول</v>
      </c>
      <c r="C321" s="1" t="str">
        <f>"حسن احمدي"</f>
        <v>حسن احمدي</v>
      </c>
      <c r="D321" s="1" t="str">
        <f t="shared" si="33"/>
        <v>قراردادي کارگري</v>
      </c>
      <c r="E321" s="1" t="str">
        <f t="shared" si="34"/>
        <v>پروژه تعميرات نيروگاه بوشهر</v>
      </c>
      <c r="F321" s="1">
        <v>0</v>
      </c>
      <c r="G321" s="1">
        <v>6868674</v>
      </c>
      <c r="H321" s="1">
        <v>3503024</v>
      </c>
      <c r="I321" s="1">
        <v>0</v>
      </c>
      <c r="J321" s="1">
        <v>0</v>
      </c>
      <c r="K321" s="1">
        <v>7467622</v>
      </c>
      <c r="L321" s="1">
        <v>0</v>
      </c>
      <c r="M321" s="1">
        <v>0</v>
      </c>
      <c r="N321" s="1">
        <v>11521166</v>
      </c>
      <c r="O321" s="1">
        <v>2000000</v>
      </c>
      <c r="P321" s="1">
        <v>5494939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2640000</v>
      </c>
      <c r="W321" s="1">
        <v>0</v>
      </c>
      <c r="X321" s="1">
        <v>13240375</v>
      </c>
      <c r="Y321" s="1">
        <v>4000000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5506281</v>
      </c>
      <c r="AI321" s="1">
        <v>0</v>
      </c>
      <c r="AJ321" s="1">
        <v>0</v>
      </c>
      <c r="AK321" s="1">
        <v>0</v>
      </c>
      <c r="AL321" s="1">
        <v>8688273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70930354</v>
      </c>
      <c r="AS321" s="1">
        <v>14434290</v>
      </c>
      <c r="AT321" s="1">
        <v>56496064</v>
      </c>
      <c r="AU321" s="1">
        <v>13084815</v>
      </c>
      <c r="AV321" s="1">
        <v>1962722</v>
      </c>
      <c r="AW321" s="1">
        <f t="shared" si="27"/>
        <v>85977891</v>
      </c>
    </row>
    <row r="322" spans="1:49" x14ac:dyDescent="0.2">
      <c r="A322" s="1" t="str">
        <f>"00373"</f>
        <v>00373</v>
      </c>
      <c r="B322" s="1" t="str">
        <f>"شکراله"</f>
        <v>شکراله</v>
      </c>
      <c r="C322" s="1" t="str">
        <f>"عباسي"</f>
        <v>عباسي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0</v>
      </c>
      <c r="G322" s="1">
        <v>9151994</v>
      </c>
      <c r="H322" s="1">
        <v>4575997</v>
      </c>
      <c r="I322" s="1">
        <v>0</v>
      </c>
      <c r="J322" s="1">
        <v>0</v>
      </c>
      <c r="K322" s="1">
        <v>12217911</v>
      </c>
      <c r="L322" s="1">
        <v>0</v>
      </c>
      <c r="M322" s="1">
        <v>0</v>
      </c>
      <c r="N322" s="1">
        <v>11521166</v>
      </c>
      <c r="O322" s="1">
        <v>2000000</v>
      </c>
      <c r="P322" s="1">
        <v>7321594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2640000</v>
      </c>
      <c r="W322" s="1">
        <v>0</v>
      </c>
      <c r="X322" s="1">
        <v>9305431</v>
      </c>
      <c r="Y322" s="1">
        <v>4000000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3670854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66404947</v>
      </c>
      <c r="AS322" s="1">
        <v>8143743</v>
      </c>
      <c r="AT322" s="1">
        <v>58261204</v>
      </c>
      <c r="AU322" s="1">
        <v>12546819</v>
      </c>
      <c r="AV322" s="1">
        <v>1882023</v>
      </c>
      <c r="AW322" s="1">
        <f t="shared" si="27"/>
        <v>80833789</v>
      </c>
    </row>
    <row r="323" spans="1:49" x14ac:dyDescent="0.2">
      <c r="A323" s="1" t="str">
        <f>"00374"</f>
        <v>00374</v>
      </c>
      <c r="B323" s="1" t="str">
        <f>"مهدي"</f>
        <v>مهدي</v>
      </c>
      <c r="C323" s="1" t="str">
        <f>"برتون"</f>
        <v>برتون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0</v>
      </c>
      <c r="G323" s="1">
        <v>7065189</v>
      </c>
      <c r="H323" s="1">
        <v>3603247</v>
      </c>
      <c r="I323" s="1">
        <v>11784789</v>
      </c>
      <c r="J323" s="1">
        <v>0</v>
      </c>
      <c r="K323" s="1">
        <v>7787958</v>
      </c>
      <c r="L323" s="1">
        <v>0</v>
      </c>
      <c r="M323" s="1">
        <v>0</v>
      </c>
      <c r="N323" s="1">
        <v>11521166</v>
      </c>
      <c r="O323" s="1">
        <v>2000000</v>
      </c>
      <c r="P323" s="1">
        <v>5652151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13490082</v>
      </c>
      <c r="Y323" s="1">
        <v>4000000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5344457</v>
      </c>
      <c r="AG323" s="1">
        <v>0</v>
      </c>
      <c r="AH323" s="1">
        <v>11012562</v>
      </c>
      <c r="AI323" s="1">
        <v>0</v>
      </c>
      <c r="AJ323" s="1">
        <v>0</v>
      </c>
      <c r="AK323" s="1">
        <v>0</v>
      </c>
      <c r="AL323" s="1">
        <v>6654940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89916541</v>
      </c>
      <c r="AS323" s="1">
        <v>17128366</v>
      </c>
      <c r="AT323" s="1">
        <v>72788175</v>
      </c>
      <c r="AU323" s="1">
        <v>15780796</v>
      </c>
      <c r="AV323" s="1">
        <v>2367119</v>
      </c>
      <c r="AW323" s="1">
        <f t="shared" ref="AW323:AW386" si="35">AR323+AU323+AV323</f>
        <v>108064456</v>
      </c>
    </row>
    <row r="324" spans="1:49" x14ac:dyDescent="0.2">
      <c r="A324" s="1" t="str">
        <f>"00375"</f>
        <v>00375</v>
      </c>
      <c r="B324" s="1" t="str">
        <f>"محمدرضا"</f>
        <v>محمدرضا</v>
      </c>
      <c r="C324" s="1" t="str">
        <f>"قادري"</f>
        <v>قادري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0</v>
      </c>
      <c r="G324" s="1">
        <v>10020382</v>
      </c>
      <c r="H324" s="1">
        <v>5010191</v>
      </c>
      <c r="I324" s="1">
        <v>2013011</v>
      </c>
      <c r="J324" s="1">
        <v>0</v>
      </c>
      <c r="K324" s="1">
        <v>12024459</v>
      </c>
      <c r="L324" s="1">
        <v>0</v>
      </c>
      <c r="M324" s="1">
        <v>0</v>
      </c>
      <c r="N324" s="1">
        <v>11331151</v>
      </c>
      <c r="O324" s="1">
        <v>2000000</v>
      </c>
      <c r="P324" s="1">
        <v>8016306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2640000</v>
      </c>
      <c r="W324" s="1">
        <v>0</v>
      </c>
      <c r="X324" s="1">
        <v>10652004</v>
      </c>
      <c r="Y324" s="1">
        <v>4000000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1835427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69542931</v>
      </c>
      <c r="AS324" s="1">
        <v>14681881</v>
      </c>
      <c r="AT324" s="1">
        <v>54861050</v>
      </c>
      <c r="AU324" s="1">
        <v>13541501</v>
      </c>
      <c r="AV324" s="1">
        <v>2031225</v>
      </c>
      <c r="AW324" s="1">
        <f t="shared" si="35"/>
        <v>85115657</v>
      </c>
    </row>
    <row r="325" spans="1:49" x14ac:dyDescent="0.2">
      <c r="A325" s="1" t="str">
        <f>"00376"</f>
        <v>00376</v>
      </c>
      <c r="B325" s="1" t="str">
        <f>"امين"</f>
        <v>امين</v>
      </c>
      <c r="C325" s="1" t="str">
        <f>"عسکرزاده شيرازي"</f>
        <v>عسکرزاده شيرازي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0</v>
      </c>
      <c r="G325" s="1">
        <v>9240893</v>
      </c>
      <c r="H325" s="1">
        <v>4712856</v>
      </c>
      <c r="I325" s="1">
        <v>8102393</v>
      </c>
      <c r="J325" s="1">
        <v>0</v>
      </c>
      <c r="K325" s="1">
        <v>10325775</v>
      </c>
      <c r="L325" s="1">
        <v>0</v>
      </c>
      <c r="M325" s="1">
        <v>0</v>
      </c>
      <c r="N325" s="1">
        <v>11521166</v>
      </c>
      <c r="O325" s="1">
        <v>2000000</v>
      </c>
      <c r="P325" s="1">
        <v>7392715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2640000</v>
      </c>
      <c r="W325" s="1">
        <v>0</v>
      </c>
      <c r="X325" s="1">
        <v>11483967</v>
      </c>
      <c r="Y325" s="1">
        <v>4000000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3670854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75090619</v>
      </c>
      <c r="AS325" s="1">
        <v>8344507</v>
      </c>
      <c r="AT325" s="1">
        <v>66746112</v>
      </c>
      <c r="AU325" s="1">
        <v>14283953</v>
      </c>
      <c r="AV325" s="1">
        <v>2142593</v>
      </c>
      <c r="AW325" s="1">
        <f t="shared" si="35"/>
        <v>91517165</v>
      </c>
    </row>
    <row r="326" spans="1:49" x14ac:dyDescent="0.2">
      <c r="A326" s="1" t="str">
        <f>"00377"</f>
        <v>00377</v>
      </c>
      <c r="B326" s="1" t="str">
        <f>"احمد"</f>
        <v>احمد</v>
      </c>
      <c r="C326" s="1" t="str">
        <f>"فقيه الاسلام جهرمي"</f>
        <v>فقيه الاسلام جهرمي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0</v>
      </c>
      <c r="G326" s="1">
        <v>8214862</v>
      </c>
      <c r="H326" s="1">
        <v>4107431</v>
      </c>
      <c r="I326" s="1">
        <v>1826563</v>
      </c>
      <c r="J326" s="1">
        <v>0</v>
      </c>
      <c r="K326" s="1">
        <v>11582955</v>
      </c>
      <c r="L326" s="1">
        <v>0</v>
      </c>
      <c r="M326" s="1">
        <v>0</v>
      </c>
      <c r="N326" s="1">
        <v>11331151</v>
      </c>
      <c r="O326" s="1">
        <v>2000000</v>
      </c>
      <c r="P326" s="1">
        <v>6571888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2640000</v>
      </c>
      <c r="W326" s="1">
        <v>0</v>
      </c>
      <c r="X326" s="1">
        <v>9961720</v>
      </c>
      <c r="Y326" s="1">
        <v>4000000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1835427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64071997</v>
      </c>
      <c r="AS326" s="1">
        <v>18108163</v>
      </c>
      <c r="AT326" s="1">
        <v>45963834</v>
      </c>
      <c r="AU326" s="1">
        <v>12447314</v>
      </c>
      <c r="AV326" s="1">
        <v>1867097</v>
      </c>
      <c r="AW326" s="1">
        <f t="shared" si="35"/>
        <v>78386408</v>
      </c>
    </row>
    <row r="327" spans="1:49" x14ac:dyDescent="0.2">
      <c r="A327" s="1" t="str">
        <f>"00380"</f>
        <v>00380</v>
      </c>
      <c r="B327" s="1" t="str">
        <f>"سجاد"</f>
        <v>سجاد</v>
      </c>
      <c r="C327" s="1" t="str">
        <f>"عاشوري"</f>
        <v>عاشوري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0</v>
      </c>
      <c r="G327" s="1">
        <v>5806556</v>
      </c>
      <c r="H327" s="1">
        <v>3019409</v>
      </c>
      <c r="I327" s="1">
        <v>2435925</v>
      </c>
      <c r="J327" s="1">
        <v>0</v>
      </c>
      <c r="K327" s="1">
        <v>5913397</v>
      </c>
      <c r="L327" s="1">
        <v>0</v>
      </c>
      <c r="M327" s="1">
        <v>0</v>
      </c>
      <c r="N327" s="1">
        <v>11521166</v>
      </c>
      <c r="O327" s="1">
        <v>2000000</v>
      </c>
      <c r="P327" s="1">
        <v>4645245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2640000</v>
      </c>
      <c r="W327" s="1">
        <v>0</v>
      </c>
      <c r="X327" s="1">
        <v>12244905</v>
      </c>
      <c r="Y327" s="1">
        <v>4000000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4635866</v>
      </c>
      <c r="AG327" s="1">
        <v>0</v>
      </c>
      <c r="AH327" s="1">
        <v>5506281</v>
      </c>
      <c r="AI327" s="1">
        <v>0</v>
      </c>
      <c r="AJ327" s="1">
        <v>0</v>
      </c>
      <c r="AK327" s="1">
        <v>0</v>
      </c>
      <c r="AL327" s="1">
        <v>5846221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70214971</v>
      </c>
      <c r="AS327" s="1">
        <v>7434145</v>
      </c>
      <c r="AT327" s="1">
        <v>62780826</v>
      </c>
      <c r="AU327" s="1">
        <v>12941738</v>
      </c>
      <c r="AV327" s="1">
        <v>1941261</v>
      </c>
      <c r="AW327" s="1">
        <f t="shared" si="35"/>
        <v>85097970</v>
      </c>
    </row>
    <row r="328" spans="1:49" x14ac:dyDescent="0.2">
      <c r="A328" s="1" t="str">
        <f>"00381"</f>
        <v>00381</v>
      </c>
      <c r="B328" s="1" t="str">
        <f>"سيد محمود"</f>
        <v>سيد محمود</v>
      </c>
      <c r="C328" s="1" t="str">
        <f>"سجاديان"</f>
        <v>سجاديان</v>
      </c>
      <c r="D328" s="1" t="str">
        <f>"قراردادي بهره بردار"</f>
        <v>قراردادي بهره بردار</v>
      </c>
      <c r="E328" s="1" t="str">
        <f t="shared" si="34"/>
        <v>پروژه تعميرات نيروگاه بوشهر</v>
      </c>
      <c r="F328" s="1">
        <v>29369611</v>
      </c>
      <c r="G328" s="1">
        <v>0</v>
      </c>
      <c r="H328" s="1">
        <v>0</v>
      </c>
      <c r="I328" s="1">
        <v>19205788</v>
      </c>
      <c r="J328" s="1">
        <v>0</v>
      </c>
      <c r="K328" s="1">
        <v>35731684</v>
      </c>
      <c r="L328" s="1">
        <v>0</v>
      </c>
      <c r="M328" s="1">
        <v>5500000</v>
      </c>
      <c r="N328" s="1">
        <v>0</v>
      </c>
      <c r="O328" s="1">
        <v>1000000</v>
      </c>
      <c r="P328" s="1">
        <v>4410481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1848000</v>
      </c>
      <c r="W328" s="1">
        <v>0</v>
      </c>
      <c r="X328" s="1">
        <v>8247680</v>
      </c>
      <c r="Y328" s="1">
        <v>4000000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4459102</v>
      </c>
      <c r="AF328" s="1">
        <v>0</v>
      </c>
      <c r="AG328" s="1">
        <v>3465377</v>
      </c>
      <c r="AH328" s="1">
        <v>1835427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5040548</v>
      </c>
      <c r="AO328" s="1">
        <v>0</v>
      </c>
      <c r="AP328" s="1">
        <v>0</v>
      </c>
      <c r="AQ328" s="1">
        <v>0</v>
      </c>
      <c r="AR328" s="1">
        <v>124113698</v>
      </c>
      <c r="AS328" s="1">
        <v>55873336</v>
      </c>
      <c r="AT328" s="1">
        <v>68240362</v>
      </c>
      <c r="AU328" s="1">
        <v>24455654</v>
      </c>
      <c r="AV328" s="1">
        <v>3668348</v>
      </c>
      <c r="AW328" s="1">
        <f t="shared" si="35"/>
        <v>152237700</v>
      </c>
    </row>
    <row r="329" spans="1:49" x14ac:dyDescent="0.2">
      <c r="A329" s="1" t="str">
        <f>"00382"</f>
        <v>00382</v>
      </c>
      <c r="B329" s="1" t="str">
        <f>"سيد امير"</f>
        <v>سيد امير</v>
      </c>
      <c r="C329" s="1" t="str">
        <f>"حسيني"</f>
        <v>حسيني</v>
      </c>
      <c r="D329" s="1" t="str">
        <f>"قراردادي بهره بردار"</f>
        <v>قراردادي بهره بردار</v>
      </c>
      <c r="E329" s="1" t="str">
        <f>"پروژه بهره برداري نيروگاه بوشهر"</f>
        <v>پروژه بهره برداري نيروگاه بوشهر</v>
      </c>
      <c r="F329" s="1">
        <v>27782473</v>
      </c>
      <c r="G329" s="1">
        <v>0</v>
      </c>
      <c r="H329" s="1">
        <v>0</v>
      </c>
      <c r="I329" s="1">
        <v>15393428</v>
      </c>
      <c r="J329" s="1">
        <v>0</v>
      </c>
      <c r="K329" s="1">
        <v>25434366</v>
      </c>
      <c r="L329" s="1">
        <v>0</v>
      </c>
      <c r="M329" s="1">
        <v>5500000</v>
      </c>
      <c r="N329" s="1">
        <v>0</v>
      </c>
      <c r="O329" s="1">
        <v>1000000</v>
      </c>
      <c r="P329" s="1">
        <v>4351404</v>
      </c>
      <c r="Q329" s="1">
        <v>0</v>
      </c>
      <c r="R329" s="1">
        <v>0</v>
      </c>
      <c r="S329" s="1">
        <v>0</v>
      </c>
      <c r="T329" s="1">
        <v>6552272</v>
      </c>
      <c r="U329" s="1">
        <v>0</v>
      </c>
      <c r="V329" s="1">
        <v>1848000</v>
      </c>
      <c r="W329" s="1">
        <v>0</v>
      </c>
      <c r="X329" s="1">
        <v>17445103</v>
      </c>
      <c r="Y329" s="1">
        <v>4000000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3418960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5470335</v>
      </c>
      <c r="AO329" s="1">
        <v>0</v>
      </c>
      <c r="AP329" s="1">
        <v>0</v>
      </c>
      <c r="AQ329" s="1">
        <v>0</v>
      </c>
      <c r="AR329" s="1">
        <v>118196341</v>
      </c>
      <c r="AS329" s="1">
        <v>44851376</v>
      </c>
      <c r="AT329" s="1">
        <v>73344965</v>
      </c>
      <c r="AU329" s="1">
        <v>22328814</v>
      </c>
      <c r="AV329" s="1">
        <v>3349322</v>
      </c>
      <c r="AW329" s="1">
        <f t="shared" si="35"/>
        <v>143874477</v>
      </c>
    </row>
    <row r="330" spans="1:49" x14ac:dyDescent="0.2">
      <c r="A330" s="1" t="str">
        <f>"00383"</f>
        <v>00383</v>
      </c>
      <c r="B330" s="1" t="str">
        <f>"زهرا"</f>
        <v>زهرا</v>
      </c>
      <c r="C330" s="1" t="str">
        <f>"عفيفيان"</f>
        <v>عفيفيان</v>
      </c>
      <c r="D330" s="1" t="str">
        <f>"قراردادي کارگري"</f>
        <v>قراردادي کارگري</v>
      </c>
      <c r="E330" s="1" t="str">
        <f>"پروژه تعميرات نيروگاه بوشهر"</f>
        <v>پروژه تعميرات نيروگاه بوشهر</v>
      </c>
      <c r="F330" s="1">
        <v>0</v>
      </c>
      <c r="G330" s="1">
        <v>6868674</v>
      </c>
      <c r="H330" s="1">
        <v>3571710</v>
      </c>
      <c r="I330" s="1">
        <v>0</v>
      </c>
      <c r="J330" s="1">
        <v>0</v>
      </c>
      <c r="K330" s="1">
        <v>7621481</v>
      </c>
      <c r="L330" s="1">
        <v>0</v>
      </c>
      <c r="M330" s="1">
        <v>0</v>
      </c>
      <c r="N330" s="1">
        <v>11521166</v>
      </c>
      <c r="O330" s="1">
        <v>2000000</v>
      </c>
      <c r="P330" s="1">
        <v>5494939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2640000</v>
      </c>
      <c r="W330" s="1">
        <v>0</v>
      </c>
      <c r="X330" s="1">
        <v>4127797</v>
      </c>
      <c r="Y330" s="1">
        <v>4000000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47845767</v>
      </c>
      <c r="AS330" s="1">
        <v>7055505</v>
      </c>
      <c r="AT330" s="1">
        <v>40790262</v>
      </c>
      <c r="AU330" s="1">
        <v>9569153</v>
      </c>
      <c r="AV330" s="1">
        <v>1435373</v>
      </c>
      <c r="AW330" s="1">
        <f t="shared" si="35"/>
        <v>58850293</v>
      </c>
    </row>
    <row r="331" spans="1:49" x14ac:dyDescent="0.2">
      <c r="A331" s="1" t="str">
        <f>"00384"</f>
        <v>00384</v>
      </c>
      <c r="B331" s="1" t="str">
        <f>"غلامرضا"</f>
        <v>غلامرضا</v>
      </c>
      <c r="C331" s="1" t="str">
        <f>"خسروي"</f>
        <v>خسروي</v>
      </c>
      <c r="D331" s="1" t="str">
        <f>"قراردادي کارگري"</f>
        <v>قراردادي کارگري</v>
      </c>
      <c r="E331" s="1" t="str">
        <f>"پروژه تعميرات نيروگاه بوشهر"</f>
        <v>پروژه تعميرات نيروگاه بوشهر</v>
      </c>
      <c r="F331" s="1">
        <v>0</v>
      </c>
      <c r="G331" s="1">
        <v>5783162</v>
      </c>
      <c r="H331" s="1">
        <v>2949412</v>
      </c>
      <c r="I331" s="1">
        <v>0</v>
      </c>
      <c r="J331" s="1">
        <v>0</v>
      </c>
      <c r="K331" s="1">
        <v>6462105</v>
      </c>
      <c r="L331" s="1">
        <v>0</v>
      </c>
      <c r="M331" s="1">
        <v>0</v>
      </c>
      <c r="N331" s="1">
        <v>11521166</v>
      </c>
      <c r="O331" s="1">
        <v>2000000</v>
      </c>
      <c r="P331" s="1">
        <v>4626529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2640000</v>
      </c>
      <c r="W331" s="1">
        <v>0</v>
      </c>
      <c r="X331" s="1">
        <v>12107416</v>
      </c>
      <c r="Y331" s="1">
        <v>4000000</v>
      </c>
      <c r="Z331" s="1">
        <v>0</v>
      </c>
      <c r="AA331" s="1">
        <v>0</v>
      </c>
      <c r="AB331" s="1">
        <v>0</v>
      </c>
      <c r="AC331" s="1">
        <v>10000000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62089790</v>
      </c>
      <c r="AS331" s="1">
        <v>9105036</v>
      </c>
      <c r="AT331" s="1">
        <v>52984754</v>
      </c>
      <c r="AU331" s="1">
        <v>10417958</v>
      </c>
      <c r="AV331" s="1">
        <v>1562694</v>
      </c>
      <c r="AW331" s="1">
        <f t="shared" si="35"/>
        <v>74070442</v>
      </c>
    </row>
    <row r="332" spans="1:49" x14ac:dyDescent="0.2">
      <c r="A332" s="1" t="str">
        <f>"00385"</f>
        <v>00385</v>
      </c>
      <c r="B332" s="1" t="str">
        <f>"محمد"</f>
        <v>محمد</v>
      </c>
      <c r="C332" s="1" t="str">
        <f>"پولادي نژاد"</f>
        <v>پولادي نژاد</v>
      </c>
      <c r="D332" s="1" t="str">
        <f>"قراردادي بهره بردار"</f>
        <v>قراردادي بهره بردار</v>
      </c>
      <c r="E332" s="1" t="str">
        <f>"پروژه بهره برداري نيروگاه بوشهر"</f>
        <v>پروژه بهره برداري نيروگاه بوشهر</v>
      </c>
      <c r="F332" s="1">
        <v>16911837</v>
      </c>
      <c r="G332" s="1">
        <v>0</v>
      </c>
      <c r="H332" s="1">
        <v>0</v>
      </c>
      <c r="I332" s="1">
        <v>5827905</v>
      </c>
      <c r="J332" s="1">
        <v>0</v>
      </c>
      <c r="K332" s="1">
        <v>15169535</v>
      </c>
      <c r="L332" s="1">
        <v>0</v>
      </c>
      <c r="M332" s="1">
        <v>4620000</v>
      </c>
      <c r="N332" s="1">
        <v>0</v>
      </c>
      <c r="O332" s="1">
        <v>1000000</v>
      </c>
      <c r="P332" s="1">
        <v>3018208</v>
      </c>
      <c r="Q332" s="1">
        <v>0</v>
      </c>
      <c r="R332" s="1">
        <v>0</v>
      </c>
      <c r="S332" s="1">
        <v>0</v>
      </c>
      <c r="T332" s="1">
        <v>5853548</v>
      </c>
      <c r="U332" s="1">
        <v>0</v>
      </c>
      <c r="V332" s="1">
        <v>1848000</v>
      </c>
      <c r="W332" s="1">
        <v>0</v>
      </c>
      <c r="X332" s="1">
        <v>11448082</v>
      </c>
      <c r="Y332" s="1">
        <v>4000000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2371448</v>
      </c>
      <c r="AH332" s="1">
        <v>1835427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6140713</v>
      </c>
      <c r="AO332" s="1">
        <v>0</v>
      </c>
      <c r="AP332" s="1">
        <v>0</v>
      </c>
      <c r="AQ332" s="1">
        <v>0</v>
      </c>
      <c r="AR332" s="1">
        <v>80044703</v>
      </c>
      <c r="AS332" s="1">
        <v>32142080</v>
      </c>
      <c r="AT332" s="1">
        <v>47902623</v>
      </c>
      <c r="AU332" s="1">
        <v>14471146</v>
      </c>
      <c r="AV332" s="1">
        <v>2170672</v>
      </c>
      <c r="AW332" s="1">
        <f t="shared" si="35"/>
        <v>96686521</v>
      </c>
    </row>
    <row r="333" spans="1:49" x14ac:dyDescent="0.2">
      <c r="A333" s="1" t="str">
        <f>"00386"</f>
        <v>00386</v>
      </c>
      <c r="B333" s="1" t="str">
        <f>"سيد اسد"</f>
        <v>سيد اسد</v>
      </c>
      <c r="C333" s="1" t="str">
        <f>"موسوي"</f>
        <v>موسوي</v>
      </c>
      <c r="D333" s="1" t="str">
        <f>"قراردادي کارگري"</f>
        <v>قراردادي کارگري</v>
      </c>
      <c r="E333" s="1" t="str">
        <f>"پروژه تعميرات نيروگاه بوشهر"</f>
        <v>پروژه تعميرات نيروگاه بوشهر</v>
      </c>
      <c r="F333" s="1">
        <v>0</v>
      </c>
      <c r="G333" s="1">
        <v>7874645</v>
      </c>
      <c r="H333" s="1">
        <v>3937322</v>
      </c>
      <c r="I333" s="1">
        <v>12655440</v>
      </c>
      <c r="J333" s="1">
        <v>0</v>
      </c>
      <c r="K333" s="1">
        <v>8740856</v>
      </c>
      <c r="L333" s="1">
        <v>0</v>
      </c>
      <c r="M333" s="1">
        <v>0</v>
      </c>
      <c r="N333" s="1">
        <v>11521166</v>
      </c>
      <c r="O333" s="1">
        <v>2000000</v>
      </c>
      <c r="P333" s="1">
        <v>6299716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2640000</v>
      </c>
      <c r="W333" s="1">
        <v>0</v>
      </c>
      <c r="X333" s="1">
        <v>14375019</v>
      </c>
      <c r="Y333" s="1">
        <v>4000000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5756056</v>
      </c>
      <c r="AG333" s="1">
        <v>0</v>
      </c>
      <c r="AH333" s="1">
        <v>3670854</v>
      </c>
      <c r="AI333" s="1">
        <v>0</v>
      </c>
      <c r="AJ333" s="1">
        <v>0</v>
      </c>
      <c r="AK333" s="1">
        <v>0</v>
      </c>
      <c r="AL333" s="1">
        <v>7146601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90617675</v>
      </c>
      <c r="AS333" s="1">
        <v>11361418</v>
      </c>
      <c r="AT333" s="1">
        <v>79256257</v>
      </c>
      <c r="AU333" s="1">
        <v>17389364</v>
      </c>
      <c r="AV333" s="1">
        <v>2608405</v>
      </c>
      <c r="AW333" s="1">
        <f t="shared" si="35"/>
        <v>110615444</v>
      </c>
    </row>
    <row r="334" spans="1:49" x14ac:dyDescent="0.2">
      <c r="A334" s="1" t="str">
        <f>"00387"</f>
        <v>00387</v>
      </c>
      <c r="B334" s="1" t="str">
        <f>"عادل"</f>
        <v>عادل</v>
      </c>
      <c r="C334" s="1" t="str">
        <f>"محمدي نهاد"</f>
        <v>محمدي نهاد</v>
      </c>
      <c r="D334" s="1" t="str">
        <f>"قراردادي بهره بردار"</f>
        <v>قراردادي بهره بردار</v>
      </c>
      <c r="E334" s="1" t="str">
        <f>"پروژه بهره برداري نيروگاه بوشهر"</f>
        <v>پروژه بهره برداري نيروگاه بوشهر</v>
      </c>
      <c r="F334" s="1">
        <v>22441627</v>
      </c>
      <c r="G334" s="1">
        <v>0</v>
      </c>
      <c r="H334" s="1">
        <v>0</v>
      </c>
      <c r="I334" s="1">
        <v>3531239</v>
      </c>
      <c r="J334" s="1">
        <v>0</v>
      </c>
      <c r="K334" s="1">
        <v>17660012</v>
      </c>
      <c r="L334" s="1">
        <v>0</v>
      </c>
      <c r="M334" s="1">
        <v>0</v>
      </c>
      <c r="N334" s="1">
        <v>0</v>
      </c>
      <c r="O334" s="1">
        <v>1000000</v>
      </c>
      <c r="P334" s="1">
        <v>3556071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1848000</v>
      </c>
      <c r="W334" s="1">
        <v>0</v>
      </c>
      <c r="X334" s="1">
        <v>10641862</v>
      </c>
      <c r="Y334" s="1">
        <v>4000000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2794056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5459755</v>
      </c>
      <c r="AO334" s="1">
        <v>0</v>
      </c>
      <c r="AP334" s="1">
        <v>0</v>
      </c>
      <c r="AQ334" s="1">
        <v>0</v>
      </c>
      <c r="AR334" s="1">
        <v>72932622</v>
      </c>
      <c r="AS334" s="1">
        <v>31082429</v>
      </c>
      <c r="AT334" s="1">
        <v>41850193</v>
      </c>
      <c r="AU334" s="1">
        <v>14586524</v>
      </c>
      <c r="AV334" s="1">
        <v>2187979</v>
      </c>
      <c r="AW334" s="1">
        <f t="shared" si="35"/>
        <v>89707125</v>
      </c>
    </row>
    <row r="335" spans="1:49" x14ac:dyDescent="0.2">
      <c r="A335" s="1" t="str">
        <f>"00388"</f>
        <v>00388</v>
      </c>
      <c r="B335" s="1" t="str">
        <f>"عبدالمهدي"</f>
        <v>عبدالمهدي</v>
      </c>
      <c r="C335" s="1" t="str">
        <f>"صفائي"</f>
        <v>صفائي</v>
      </c>
      <c r="D335" s="1" t="str">
        <f>"قراردادي کارگري"</f>
        <v>قراردادي کارگري</v>
      </c>
      <c r="E335" s="1" t="str">
        <f>"پروژه تعميرات نيروگاه بوشهر"</f>
        <v>پروژه تعميرات نيروگاه بوشهر</v>
      </c>
      <c r="F335" s="1">
        <v>0</v>
      </c>
      <c r="G335" s="1">
        <v>6148118</v>
      </c>
      <c r="H335" s="1">
        <v>3135540</v>
      </c>
      <c r="I335" s="1">
        <v>4267964</v>
      </c>
      <c r="J335" s="1">
        <v>0</v>
      </c>
      <c r="K335" s="1">
        <v>6684234</v>
      </c>
      <c r="L335" s="1">
        <v>0</v>
      </c>
      <c r="M335" s="1">
        <v>0</v>
      </c>
      <c r="N335" s="1">
        <v>11521166</v>
      </c>
      <c r="O335" s="1">
        <v>2000000</v>
      </c>
      <c r="P335" s="1">
        <v>4918495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2640000</v>
      </c>
      <c r="W335" s="1">
        <v>0</v>
      </c>
      <c r="X335" s="1">
        <v>7914548</v>
      </c>
      <c r="Y335" s="1">
        <v>4000000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53230065</v>
      </c>
      <c r="AS335" s="1">
        <v>9656441</v>
      </c>
      <c r="AT335" s="1">
        <v>43573624</v>
      </c>
      <c r="AU335" s="1">
        <v>10646013</v>
      </c>
      <c r="AV335" s="1">
        <v>1596902</v>
      </c>
      <c r="AW335" s="1">
        <f t="shared" si="35"/>
        <v>65472980</v>
      </c>
    </row>
    <row r="336" spans="1:49" x14ac:dyDescent="0.2">
      <c r="A336" s="1" t="str">
        <f>"00389"</f>
        <v>00389</v>
      </c>
      <c r="B336" s="1" t="str">
        <f>"رضا"</f>
        <v>رضا</v>
      </c>
      <c r="C336" s="1" t="str">
        <f>"احسان نيا"</f>
        <v>احسان نيا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0</v>
      </c>
      <c r="G336" s="1">
        <v>6424175</v>
      </c>
      <c r="H336" s="1">
        <v>3340571</v>
      </c>
      <c r="I336" s="1">
        <v>5626193</v>
      </c>
      <c r="J336" s="1">
        <v>0</v>
      </c>
      <c r="K336" s="1">
        <v>7128265</v>
      </c>
      <c r="L336" s="1">
        <v>0</v>
      </c>
      <c r="M336" s="1">
        <v>0</v>
      </c>
      <c r="N336" s="1">
        <v>11572430</v>
      </c>
      <c r="O336" s="1">
        <v>2000000</v>
      </c>
      <c r="P336" s="1">
        <v>5139340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2640000</v>
      </c>
      <c r="W336" s="1">
        <v>0</v>
      </c>
      <c r="X336" s="1">
        <v>8359004</v>
      </c>
      <c r="Y336" s="1">
        <v>4000000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56229978</v>
      </c>
      <c r="AS336" s="1">
        <v>11763380</v>
      </c>
      <c r="AT336" s="1">
        <v>44466598</v>
      </c>
      <c r="AU336" s="1">
        <v>11245996</v>
      </c>
      <c r="AV336" s="1">
        <v>1686899</v>
      </c>
      <c r="AW336" s="1">
        <f t="shared" si="35"/>
        <v>69162873</v>
      </c>
    </row>
    <row r="337" spans="1:49" x14ac:dyDescent="0.2">
      <c r="A337" s="1" t="str">
        <f>"00390"</f>
        <v>00390</v>
      </c>
      <c r="B337" s="1" t="str">
        <f>"رضا"</f>
        <v>رضا</v>
      </c>
      <c r="C337" s="1" t="str">
        <f>"كشاورز"</f>
        <v>كشاورز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25263206</v>
      </c>
      <c r="G337" s="1">
        <v>0</v>
      </c>
      <c r="H337" s="1">
        <v>0</v>
      </c>
      <c r="I337" s="1">
        <v>12866352</v>
      </c>
      <c r="J337" s="1">
        <v>0</v>
      </c>
      <c r="K337" s="1">
        <v>22497165</v>
      </c>
      <c r="L337" s="1">
        <v>0</v>
      </c>
      <c r="M337" s="1">
        <v>5500000</v>
      </c>
      <c r="N337" s="1">
        <v>0</v>
      </c>
      <c r="O337" s="1">
        <v>1000000</v>
      </c>
      <c r="P337" s="1">
        <v>3750055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1848000</v>
      </c>
      <c r="W337" s="1">
        <v>0</v>
      </c>
      <c r="X337" s="1">
        <v>5919954</v>
      </c>
      <c r="Y337" s="1">
        <v>4000000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2946471</v>
      </c>
      <c r="AH337" s="1">
        <v>3670854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4742646</v>
      </c>
      <c r="AO337" s="1">
        <v>0</v>
      </c>
      <c r="AP337" s="1">
        <v>0</v>
      </c>
      <c r="AQ337" s="1">
        <v>0</v>
      </c>
      <c r="AR337" s="1">
        <v>94004703</v>
      </c>
      <c r="AS337" s="1">
        <v>42162071</v>
      </c>
      <c r="AT337" s="1">
        <v>51842632</v>
      </c>
      <c r="AU337" s="1">
        <v>18066770</v>
      </c>
      <c r="AV337" s="1">
        <v>2710015</v>
      </c>
      <c r="AW337" s="1">
        <f t="shared" si="35"/>
        <v>114781488</v>
      </c>
    </row>
    <row r="338" spans="1:49" x14ac:dyDescent="0.2">
      <c r="A338" s="1" t="str">
        <f>"00391"</f>
        <v>00391</v>
      </c>
      <c r="B338" s="1" t="str">
        <f>"حسين"</f>
        <v>حسين</v>
      </c>
      <c r="C338" s="1" t="str">
        <f>"محمدي حساوي"</f>
        <v>محمدي حساوي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0</v>
      </c>
      <c r="G338" s="1">
        <v>6330597</v>
      </c>
      <c r="H338" s="1">
        <v>3228605</v>
      </c>
      <c r="I338" s="1">
        <v>0</v>
      </c>
      <c r="J338" s="1">
        <v>0</v>
      </c>
      <c r="K338" s="1">
        <v>6882625</v>
      </c>
      <c r="L338" s="1">
        <v>0</v>
      </c>
      <c r="M338" s="1">
        <v>0</v>
      </c>
      <c r="N338" s="1">
        <v>11572430</v>
      </c>
      <c r="O338" s="1">
        <v>2000000</v>
      </c>
      <c r="P338" s="1">
        <v>5064477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2640000</v>
      </c>
      <c r="W338" s="1">
        <v>0</v>
      </c>
      <c r="X338" s="1">
        <v>8248534</v>
      </c>
      <c r="Y338" s="1">
        <v>4000000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3670854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53638122</v>
      </c>
      <c r="AS338" s="1">
        <v>53638122</v>
      </c>
      <c r="AT338" s="1">
        <v>0</v>
      </c>
      <c r="AU338" s="1">
        <v>9993454</v>
      </c>
      <c r="AV338" s="1">
        <v>1499018</v>
      </c>
      <c r="AW338" s="1">
        <f t="shared" si="35"/>
        <v>65130594</v>
      </c>
    </row>
    <row r="339" spans="1:49" x14ac:dyDescent="0.2">
      <c r="A339" s="1" t="str">
        <f>"00392"</f>
        <v>00392</v>
      </c>
      <c r="B339" s="1" t="str">
        <f>"عبدالرضا"</f>
        <v>عبدالرضا</v>
      </c>
      <c r="C339" s="1" t="str">
        <f>"علقمي"</f>
        <v>علقمي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0</v>
      </c>
      <c r="G339" s="1">
        <v>5610041</v>
      </c>
      <c r="H339" s="1">
        <v>2805021</v>
      </c>
      <c r="I339" s="1">
        <v>4711613</v>
      </c>
      <c r="J339" s="1">
        <v>0</v>
      </c>
      <c r="K339" s="1">
        <v>5385639</v>
      </c>
      <c r="L339" s="1">
        <v>0</v>
      </c>
      <c r="M339" s="1">
        <v>0</v>
      </c>
      <c r="N339" s="1">
        <v>11572430</v>
      </c>
      <c r="O339" s="1">
        <v>2000000</v>
      </c>
      <c r="P339" s="1">
        <v>4207531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2640000</v>
      </c>
      <c r="W339" s="1">
        <v>0</v>
      </c>
      <c r="X339" s="1">
        <v>7513939</v>
      </c>
      <c r="Y339" s="1">
        <v>4000000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5506281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55952495</v>
      </c>
      <c r="AS339" s="1">
        <v>18514824</v>
      </c>
      <c r="AT339" s="1">
        <v>37437671</v>
      </c>
      <c r="AU339" s="1">
        <v>10089243</v>
      </c>
      <c r="AV339" s="1">
        <v>1513386</v>
      </c>
      <c r="AW339" s="1">
        <f t="shared" si="35"/>
        <v>67555124</v>
      </c>
    </row>
    <row r="340" spans="1:49" x14ac:dyDescent="0.2">
      <c r="A340" s="1" t="str">
        <f>"00393"</f>
        <v>00393</v>
      </c>
      <c r="B340" s="1" t="str">
        <f>"زهرا"</f>
        <v>زهرا</v>
      </c>
      <c r="C340" s="1" t="str">
        <f>"فاضلي پور"</f>
        <v>فاضلي پور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27346640</v>
      </c>
      <c r="G340" s="1">
        <v>0</v>
      </c>
      <c r="H340" s="1">
        <v>0</v>
      </c>
      <c r="I340" s="1">
        <v>7121188</v>
      </c>
      <c r="J340" s="1">
        <v>0</v>
      </c>
      <c r="K340" s="1">
        <v>21731298</v>
      </c>
      <c r="L340" s="1">
        <v>0</v>
      </c>
      <c r="M340" s="1">
        <v>4125000</v>
      </c>
      <c r="N340" s="1">
        <v>0</v>
      </c>
      <c r="O340" s="1">
        <v>1000000</v>
      </c>
      <c r="P340" s="1">
        <v>4198862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1848000</v>
      </c>
      <c r="W340" s="1">
        <v>0</v>
      </c>
      <c r="X340" s="1">
        <v>9673592</v>
      </c>
      <c r="Y340" s="1">
        <v>4000000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3299106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5834369</v>
      </c>
      <c r="AO340" s="1">
        <v>0</v>
      </c>
      <c r="AP340" s="1">
        <v>0</v>
      </c>
      <c r="AQ340" s="1">
        <v>0</v>
      </c>
      <c r="AR340" s="1">
        <v>90178055</v>
      </c>
      <c r="AS340" s="1">
        <v>45751501</v>
      </c>
      <c r="AT340" s="1">
        <v>44426554</v>
      </c>
      <c r="AU340" s="1">
        <v>18035611</v>
      </c>
      <c r="AV340" s="1">
        <v>2705342</v>
      </c>
      <c r="AW340" s="1">
        <f t="shared" si="35"/>
        <v>110919008</v>
      </c>
    </row>
    <row r="341" spans="1:49" x14ac:dyDescent="0.2">
      <c r="A341" s="1" t="str">
        <f>"00397"</f>
        <v>00397</v>
      </c>
      <c r="B341" s="1" t="str">
        <f>"جواد"</f>
        <v>جواد</v>
      </c>
      <c r="C341" s="1" t="str">
        <f>"بيات"</f>
        <v>بيات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0</v>
      </c>
      <c r="G341" s="1">
        <v>6601975</v>
      </c>
      <c r="H341" s="1">
        <v>3433027</v>
      </c>
      <c r="I341" s="1">
        <v>2569737</v>
      </c>
      <c r="J341" s="1">
        <v>0</v>
      </c>
      <c r="K341" s="1">
        <v>7325551</v>
      </c>
      <c r="L341" s="1">
        <v>0</v>
      </c>
      <c r="M341" s="1">
        <v>0</v>
      </c>
      <c r="N341" s="1">
        <v>11521166</v>
      </c>
      <c r="O341" s="1">
        <v>2000000</v>
      </c>
      <c r="P341" s="1">
        <v>5281580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17860760</v>
      </c>
      <c r="Y341" s="1">
        <v>4000000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5124495</v>
      </c>
      <c r="AG341" s="1">
        <v>0</v>
      </c>
      <c r="AH341" s="1">
        <v>3670854</v>
      </c>
      <c r="AI341" s="1">
        <v>0</v>
      </c>
      <c r="AJ341" s="1">
        <v>0</v>
      </c>
      <c r="AK341" s="1">
        <v>0</v>
      </c>
      <c r="AL341" s="1">
        <v>4698947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74088092</v>
      </c>
      <c r="AS341" s="1">
        <v>14249401</v>
      </c>
      <c r="AT341" s="1">
        <v>59838691</v>
      </c>
      <c r="AU341" s="1">
        <v>14083448</v>
      </c>
      <c r="AV341" s="1">
        <v>2112517</v>
      </c>
      <c r="AW341" s="1">
        <f t="shared" si="35"/>
        <v>90284057</v>
      </c>
    </row>
    <row r="342" spans="1:49" x14ac:dyDescent="0.2">
      <c r="A342" s="1" t="str">
        <f>"00398"</f>
        <v>00398</v>
      </c>
      <c r="B342" s="1" t="str">
        <f>"علي اصغر"</f>
        <v>علي اصغر</v>
      </c>
      <c r="C342" s="1" t="str">
        <f>"عباسي بيلندي"</f>
        <v>عباسي بيلندي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17629828</v>
      </c>
      <c r="G342" s="1">
        <v>0</v>
      </c>
      <c r="H342" s="1">
        <v>0</v>
      </c>
      <c r="I342" s="1">
        <v>356586</v>
      </c>
      <c r="J342" s="1">
        <v>0</v>
      </c>
      <c r="K342" s="1">
        <v>13352284</v>
      </c>
      <c r="L342" s="1">
        <v>0</v>
      </c>
      <c r="M342" s="1">
        <v>0</v>
      </c>
      <c r="N342" s="1">
        <v>0</v>
      </c>
      <c r="O342" s="1">
        <v>1000000</v>
      </c>
      <c r="P342" s="1">
        <v>3269504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1848000</v>
      </c>
      <c r="W342" s="1">
        <v>0</v>
      </c>
      <c r="X342" s="1">
        <v>8422214</v>
      </c>
      <c r="Y342" s="1">
        <v>4000000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2568897</v>
      </c>
      <c r="AH342" s="1">
        <v>3670854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5290561</v>
      </c>
      <c r="AO342" s="1">
        <v>0</v>
      </c>
      <c r="AP342" s="1">
        <v>0</v>
      </c>
      <c r="AQ342" s="1">
        <v>0</v>
      </c>
      <c r="AR342" s="1">
        <v>61408728</v>
      </c>
      <c r="AS342" s="1">
        <v>39828791</v>
      </c>
      <c r="AT342" s="1">
        <v>21579937</v>
      </c>
      <c r="AU342" s="1">
        <v>11547575</v>
      </c>
      <c r="AV342" s="1">
        <v>1732136</v>
      </c>
      <c r="AW342" s="1">
        <f t="shared" si="35"/>
        <v>74688439</v>
      </c>
    </row>
    <row r="343" spans="1:49" x14ac:dyDescent="0.2">
      <c r="A343" s="1" t="str">
        <f>"00399"</f>
        <v>00399</v>
      </c>
      <c r="B343" s="1" t="str">
        <f>"سيده سلمي"</f>
        <v>سيده سلمي</v>
      </c>
      <c r="C343" s="1" t="str">
        <f>"محمدي يوسف نژاد"</f>
        <v>محمدي يوسف نژاد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23839820</v>
      </c>
      <c r="G343" s="1">
        <v>0</v>
      </c>
      <c r="H343" s="1">
        <v>0</v>
      </c>
      <c r="I343" s="1">
        <v>8202914</v>
      </c>
      <c r="J343" s="1">
        <v>0</v>
      </c>
      <c r="K343" s="1">
        <v>18649577</v>
      </c>
      <c r="L343" s="1">
        <v>0</v>
      </c>
      <c r="M343" s="1">
        <v>4125000</v>
      </c>
      <c r="N343" s="1">
        <v>0</v>
      </c>
      <c r="O343" s="1">
        <v>1000000</v>
      </c>
      <c r="P343" s="1">
        <v>3251869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1848000</v>
      </c>
      <c r="W343" s="1">
        <v>0</v>
      </c>
      <c r="X343" s="1">
        <v>5283955</v>
      </c>
      <c r="Y343" s="1">
        <v>4000000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2555041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4543245</v>
      </c>
      <c r="AO343" s="1">
        <v>0</v>
      </c>
      <c r="AP343" s="1">
        <v>0</v>
      </c>
      <c r="AQ343" s="1">
        <v>0</v>
      </c>
      <c r="AR343" s="1">
        <v>77299421</v>
      </c>
      <c r="AS343" s="1">
        <v>10624221</v>
      </c>
      <c r="AT343" s="1">
        <v>66675200</v>
      </c>
      <c r="AU343" s="1">
        <v>15459884</v>
      </c>
      <c r="AV343" s="1">
        <v>2318983</v>
      </c>
      <c r="AW343" s="1">
        <f t="shared" si="35"/>
        <v>95078288</v>
      </c>
    </row>
    <row r="344" spans="1:49" x14ac:dyDescent="0.2">
      <c r="A344" s="1" t="str">
        <f>"00400"</f>
        <v>00400</v>
      </c>
      <c r="B344" s="1" t="str">
        <f>"محمد"</f>
        <v>محمد</v>
      </c>
      <c r="C344" s="1" t="str">
        <f>"شهمرادي"</f>
        <v>شهمرادي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0</v>
      </c>
      <c r="G344" s="1">
        <v>5352700</v>
      </c>
      <c r="H344" s="1">
        <v>2783404</v>
      </c>
      <c r="I344" s="1">
        <v>291903</v>
      </c>
      <c r="J344" s="1">
        <v>0</v>
      </c>
      <c r="K344" s="1">
        <v>5776634</v>
      </c>
      <c r="L344" s="1">
        <v>0</v>
      </c>
      <c r="M344" s="1">
        <v>0</v>
      </c>
      <c r="N344" s="1">
        <v>11572430</v>
      </c>
      <c r="O344" s="1">
        <v>2000000</v>
      </c>
      <c r="P344" s="1">
        <v>4282160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11599463</v>
      </c>
      <c r="Y344" s="1">
        <v>4000000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4465099</v>
      </c>
      <c r="AG344" s="1">
        <v>0</v>
      </c>
      <c r="AH344" s="1">
        <v>1835427</v>
      </c>
      <c r="AI344" s="1">
        <v>0</v>
      </c>
      <c r="AJ344" s="1">
        <v>0</v>
      </c>
      <c r="AK344" s="1">
        <v>0</v>
      </c>
      <c r="AL344" s="1">
        <v>9340888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63300108</v>
      </c>
      <c r="AS344" s="1">
        <v>12779426</v>
      </c>
      <c r="AT344" s="1">
        <v>50520682</v>
      </c>
      <c r="AU344" s="1">
        <v>12292936</v>
      </c>
      <c r="AV344" s="1">
        <v>1843940</v>
      </c>
      <c r="AW344" s="1">
        <f t="shared" si="35"/>
        <v>77436984</v>
      </c>
    </row>
    <row r="345" spans="1:49" x14ac:dyDescent="0.2">
      <c r="A345" s="1" t="str">
        <f>"00401"</f>
        <v>00401</v>
      </c>
      <c r="B345" s="1" t="str">
        <f>"عارف"</f>
        <v>عارف</v>
      </c>
      <c r="C345" s="1" t="str">
        <f>"افراسيابي"</f>
        <v>افراسيابي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0</v>
      </c>
      <c r="G345" s="1">
        <v>9336239</v>
      </c>
      <c r="H345" s="1">
        <v>5134931</v>
      </c>
      <c r="I345" s="1">
        <v>8406170</v>
      </c>
      <c r="J345" s="1">
        <v>0</v>
      </c>
      <c r="K345" s="1">
        <v>12155783</v>
      </c>
      <c r="L345" s="1">
        <v>0</v>
      </c>
      <c r="M345" s="1">
        <v>0</v>
      </c>
      <c r="N345" s="1">
        <v>11331151</v>
      </c>
      <c r="O345" s="1">
        <v>2000000</v>
      </c>
      <c r="P345" s="1">
        <v>7468992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2640000</v>
      </c>
      <c r="W345" s="1">
        <v>0</v>
      </c>
      <c r="X345" s="1">
        <v>12079051</v>
      </c>
      <c r="Y345" s="1">
        <v>4000000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2057573</v>
      </c>
      <c r="AF345" s="1">
        <v>0</v>
      </c>
      <c r="AG345" s="1">
        <v>0</v>
      </c>
      <c r="AH345" s="1">
        <v>7341708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83951598</v>
      </c>
      <c r="AS345" s="1">
        <v>32612881</v>
      </c>
      <c r="AT345" s="1">
        <v>51338717</v>
      </c>
      <c r="AU345" s="1">
        <v>15321978</v>
      </c>
      <c r="AV345" s="1">
        <v>2298297</v>
      </c>
      <c r="AW345" s="1">
        <f t="shared" si="35"/>
        <v>101571873</v>
      </c>
    </row>
    <row r="346" spans="1:49" x14ac:dyDescent="0.2">
      <c r="A346" s="1" t="str">
        <f>"00402"</f>
        <v>00402</v>
      </c>
      <c r="B346" s="1" t="str">
        <f>"حسين"</f>
        <v>حسين</v>
      </c>
      <c r="C346" s="1" t="str">
        <f>"بازيار"</f>
        <v>بازيار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24205114</v>
      </c>
      <c r="G346" s="1">
        <v>0</v>
      </c>
      <c r="H346" s="1">
        <v>0</v>
      </c>
      <c r="I346" s="1">
        <v>1692701</v>
      </c>
      <c r="J346" s="1">
        <v>0</v>
      </c>
      <c r="K346" s="1">
        <v>20282960</v>
      </c>
      <c r="L346" s="1">
        <v>0</v>
      </c>
      <c r="M346" s="1">
        <v>5500000</v>
      </c>
      <c r="N346" s="1">
        <v>0</v>
      </c>
      <c r="O346" s="1">
        <v>1000000</v>
      </c>
      <c r="P346" s="1">
        <v>4173291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1848000</v>
      </c>
      <c r="W346" s="1">
        <v>0</v>
      </c>
      <c r="X346" s="1">
        <v>20510184</v>
      </c>
      <c r="Y346" s="1">
        <v>4000000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3279015</v>
      </c>
      <c r="AH346" s="1">
        <v>1835427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7509430</v>
      </c>
      <c r="AO346" s="1">
        <v>0</v>
      </c>
      <c r="AP346" s="1">
        <v>0</v>
      </c>
      <c r="AQ346" s="1">
        <v>0</v>
      </c>
      <c r="AR346" s="1">
        <v>95836122</v>
      </c>
      <c r="AS346" s="1">
        <v>38336469</v>
      </c>
      <c r="AT346" s="1">
        <v>57499653</v>
      </c>
      <c r="AU346" s="1">
        <v>18800139</v>
      </c>
      <c r="AV346" s="1">
        <v>2820021</v>
      </c>
      <c r="AW346" s="1">
        <f t="shared" si="35"/>
        <v>117456282</v>
      </c>
    </row>
    <row r="347" spans="1:49" x14ac:dyDescent="0.2">
      <c r="A347" s="1" t="str">
        <f>"00403"</f>
        <v>00403</v>
      </c>
      <c r="B347" s="1" t="str">
        <f>"سجاد"</f>
        <v>سجاد</v>
      </c>
      <c r="C347" s="1" t="str">
        <f>"راستي"</f>
        <v>راستي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28296403</v>
      </c>
      <c r="G347" s="1">
        <v>0</v>
      </c>
      <c r="H347" s="1">
        <v>0</v>
      </c>
      <c r="I347" s="1">
        <v>28413598</v>
      </c>
      <c r="J347" s="1">
        <v>0</v>
      </c>
      <c r="K347" s="1">
        <v>24272994</v>
      </c>
      <c r="L347" s="1">
        <v>0</v>
      </c>
      <c r="M347" s="1">
        <v>0</v>
      </c>
      <c r="N347" s="1">
        <v>0</v>
      </c>
      <c r="O347" s="1">
        <v>1000000</v>
      </c>
      <c r="P347" s="1">
        <v>4531279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1848000</v>
      </c>
      <c r="W347" s="1">
        <v>0</v>
      </c>
      <c r="X347" s="1">
        <v>12466294</v>
      </c>
      <c r="Y347" s="1">
        <v>4000000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3560291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5825930</v>
      </c>
      <c r="AO347" s="1">
        <v>0</v>
      </c>
      <c r="AP347" s="1">
        <v>0</v>
      </c>
      <c r="AQ347" s="1">
        <v>0</v>
      </c>
      <c r="AR347" s="1">
        <v>114214789</v>
      </c>
      <c r="AS347" s="1">
        <v>48240408</v>
      </c>
      <c r="AT347" s="1">
        <v>65974381</v>
      </c>
      <c r="AU347" s="1">
        <v>22842958</v>
      </c>
      <c r="AV347" s="1">
        <v>3426444</v>
      </c>
      <c r="AW347" s="1">
        <f t="shared" si="35"/>
        <v>140484191</v>
      </c>
    </row>
    <row r="348" spans="1:49" x14ac:dyDescent="0.2">
      <c r="A348" s="1" t="str">
        <f>"00407"</f>
        <v>00407</v>
      </c>
      <c r="B348" s="1" t="str">
        <f>"مهدي"</f>
        <v>مهدي</v>
      </c>
      <c r="C348" s="1" t="str">
        <f>"سليمي"</f>
        <v>سليمي</v>
      </c>
      <c r="D348" s="1" t="str">
        <f t="shared" ref="D348:D355" si="36">"قراردادي کارگري"</f>
        <v>قراردادي کارگري</v>
      </c>
      <c r="E348" s="1" t="str">
        <f t="shared" ref="E348:E372" si="37">"پروژه تعميرات نيروگاه بوشهر"</f>
        <v>پروژه تعميرات نيروگاه بوشهر</v>
      </c>
      <c r="F348" s="1">
        <v>0</v>
      </c>
      <c r="G348" s="1">
        <v>11244638</v>
      </c>
      <c r="H348" s="1">
        <v>5622319</v>
      </c>
      <c r="I348" s="1">
        <v>13595929</v>
      </c>
      <c r="J348" s="1">
        <v>0</v>
      </c>
      <c r="K348" s="1">
        <v>15854940</v>
      </c>
      <c r="L348" s="1">
        <v>0</v>
      </c>
      <c r="M348" s="1">
        <v>0</v>
      </c>
      <c r="N348" s="1">
        <v>11331151</v>
      </c>
      <c r="O348" s="1">
        <v>2000000</v>
      </c>
      <c r="P348" s="1">
        <v>10120174</v>
      </c>
      <c r="Q348" s="1">
        <v>0</v>
      </c>
      <c r="R348" s="1">
        <v>0</v>
      </c>
      <c r="S348" s="1">
        <v>0</v>
      </c>
      <c r="T348" s="1">
        <v>3600000</v>
      </c>
      <c r="U348" s="1">
        <v>0</v>
      </c>
      <c r="V348" s="1">
        <v>2640000</v>
      </c>
      <c r="W348" s="1">
        <v>0</v>
      </c>
      <c r="X348" s="1">
        <v>6037322</v>
      </c>
      <c r="Y348" s="1">
        <v>4000000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86046473</v>
      </c>
      <c r="AS348" s="1">
        <v>13053175</v>
      </c>
      <c r="AT348" s="1">
        <v>72993298</v>
      </c>
      <c r="AU348" s="1">
        <v>16489295</v>
      </c>
      <c r="AV348" s="1">
        <v>2473394</v>
      </c>
      <c r="AW348" s="1">
        <f t="shared" si="35"/>
        <v>105009162</v>
      </c>
    </row>
    <row r="349" spans="1:49" x14ac:dyDescent="0.2">
      <c r="A349" s="1" t="str">
        <f>"00408"</f>
        <v>00408</v>
      </c>
      <c r="B349" s="1" t="str">
        <f>"ايرج"</f>
        <v>ايرج</v>
      </c>
      <c r="C349" s="1" t="str">
        <f>"ثوامري"</f>
        <v>ثوامري</v>
      </c>
      <c r="D349" s="1" t="str">
        <f t="shared" si="36"/>
        <v>قراردادي کارگري</v>
      </c>
      <c r="E349" s="1" t="str">
        <f t="shared" si="37"/>
        <v>پروژه تعميرات نيروگاه بوشهر</v>
      </c>
      <c r="F349" s="1">
        <v>0</v>
      </c>
      <c r="G349" s="1">
        <v>5914172</v>
      </c>
      <c r="H349" s="1">
        <v>3075369</v>
      </c>
      <c r="I349" s="1">
        <v>6281390</v>
      </c>
      <c r="J349" s="1">
        <v>0</v>
      </c>
      <c r="K349" s="1">
        <v>6921947</v>
      </c>
      <c r="L349" s="1">
        <v>0</v>
      </c>
      <c r="M349" s="1">
        <v>0</v>
      </c>
      <c r="N349" s="1">
        <v>11572430</v>
      </c>
      <c r="O349" s="1">
        <v>2000000</v>
      </c>
      <c r="P349" s="1">
        <v>4731338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2640000</v>
      </c>
      <c r="W349" s="1">
        <v>0</v>
      </c>
      <c r="X349" s="1">
        <v>12292882</v>
      </c>
      <c r="Y349" s="1">
        <v>4000000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3670854</v>
      </c>
      <c r="AI349" s="1">
        <v>0</v>
      </c>
      <c r="AJ349" s="1">
        <v>0</v>
      </c>
      <c r="AK349" s="1">
        <v>0</v>
      </c>
      <c r="AL349" s="1">
        <v>8040180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71140562</v>
      </c>
      <c r="AS349" s="1">
        <v>17298236</v>
      </c>
      <c r="AT349" s="1">
        <v>53842326</v>
      </c>
      <c r="AU349" s="1">
        <v>13493942</v>
      </c>
      <c r="AV349" s="1">
        <v>2024091</v>
      </c>
      <c r="AW349" s="1">
        <f t="shared" si="35"/>
        <v>86658595</v>
      </c>
    </row>
    <row r="350" spans="1:49" x14ac:dyDescent="0.2">
      <c r="A350" s="1" t="str">
        <f>"00409"</f>
        <v>00409</v>
      </c>
      <c r="B350" s="1" t="str">
        <f>"حسن"</f>
        <v>حسن</v>
      </c>
      <c r="C350" s="1" t="str">
        <f>"رستمي"</f>
        <v>رستمي</v>
      </c>
      <c r="D350" s="1" t="str">
        <f t="shared" si="36"/>
        <v>قراردادي کارگري</v>
      </c>
      <c r="E350" s="1" t="str">
        <f t="shared" si="37"/>
        <v>پروژه تعميرات نيروگاه بوشهر</v>
      </c>
      <c r="F350" s="1">
        <v>0</v>
      </c>
      <c r="G350" s="1">
        <v>7124348</v>
      </c>
      <c r="H350" s="1">
        <v>3562174</v>
      </c>
      <c r="I350" s="1">
        <v>2806262</v>
      </c>
      <c r="J350" s="1">
        <v>0</v>
      </c>
      <c r="K350" s="1">
        <v>8762948</v>
      </c>
      <c r="L350" s="1">
        <v>0</v>
      </c>
      <c r="M350" s="1">
        <v>0</v>
      </c>
      <c r="N350" s="1">
        <v>11331151</v>
      </c>
      <c r="O350" s="1">
        <v>2000000</v>
      </c>
      <c r="P350" s="1">
        <v>5699477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2640000</v>
      </c>
      <c r="W350" s="1">
        <v>0</v>
      </c>
      <c r="X350" s="1">
        <v>13230831</v>
      </c>
      <c r="Y350" s="1">
        <v>4000000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61157191</v>
      </c>
      <c r="AS350" s="1">
        <v>14566990</v>
      </c>
      <c r="AT350" s="1">
        <v>46590201</v>
      </c>
      <c r="AU350" s="1">
        <v>12231438</v>
      </c>
      <c r="AV350" s="1">
        <v>1834716</v>
      </c>
      <c r="AW350" s="1">
        <f t="shared" si="35"/>
        <v>75223345</v>
      </c>
    </row>
    <row r="351" spans="1:49" x14ac:dyDescent="0.2">
      <c r="A351" s="1" t="str">
        <f>"00411"</f>
        <v>00411</v>
      </c>
      <c r="B351" s="1" t="str">
        <f>"زاهد"</f>
        <v>زاهد</v>
      </c>
      <c r="C351" s="1" t="str">
        <f>"طاهري"</f>
        <v>طاهري</v>
      </c>
      <c r="D351" s="1" t="str">
        <f t="shared" si="36"/>
        <v>قراردادي کارگري</v>
      </c>
      <c r="E351" s="1" t="str">
        <f t="shared" si="37"/>
        <v>پروژه تعميرات نيروگاه بوشهر</v>
      </c>
      <c r="F351" s="1">
        <v>0</v>
      </c>
      <c r="G351" s="1">
        <v>7364641</v>
      </c>
      <c r="H351" s="1">
        <v>3755967</v>
      </c>
      <c r="I351" s="1">
        <v>5047986</v>
      </c>
      <c r="J351" s="1">
        <v>0</v>
      </c>
      <c r="K351" s="1">
        <v>8674074</v>
      </c>
      <c r="L351" s="1">
        <v>0</v>
      </c>
      <c r="M351" s="1">
        <v>0</v>
      </c>
      <c r="N351" s="1">
        <v>11521166</v>
      </c>
      <c r="O351" s="1">
        <v>2000000</v>
      </c>
      <c r="P351" s="1">
        <v>5891713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2640000</v>
      </c>
      <c r="W351" s="1">
        <v>0</v>
      </c>
      <c r="X351" s="1">
        <v>13890419</v>
      </c>
      <c r="Y351" s="1">
        <v>4000000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3670854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68456820</v>
      </c>
      <c r="AS351" s="1">
        <v>14730138</v>
      </c>
      <c r="AT351" s="1">
        <v>53726682</v>
      </c>
      <c r="AU351" s="1">
        <v>12957193</v>
      </c>
      <c r="AV351" s="1">
        <v>1943579</v>
      </c>
      <c r="AW351" s="1">
        <f t="shared" si="35"/>
        <v>83357592</v>
      </c>
    </row>
    <row r="352" spans="1:49" x14ac:dyDescent="0.2">
      <c r="A352" s="1" t="str">
        <f>"00412"</f>
        <v>00412</v>
      </c>
      <c r="B352" s="1" t="str">
        <f>"خسرو"</f>
        <v>خسرو</v>
      </c>
      <c r="C352" s="1" t="str">
        <f>"نيکنام"</f>
        <v>نيکنام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0</v>
      </c>
      <c r="G352" s="1">
        <v>6297844</v>
      </c>
      <c r="H352" s="1">
        <v>3211901</v>
      </c>
      <c r="I352" s="1">
        <v>2274096</v>
      </c>
      <c r="J352" s="1">
        <v>0</v>
      </c>
      <c r="K352" s="1">
        <v>7607796</v>
      </c>
      <c r="L352" s="1">
        <v>0</v>
      </c>
      <c r="M352" s="1">
        <v>0</v>
      </c>
      <c r="N352" s="1">
        <v>11521166</v>
      </c>
      <c r="O352" s="1">
        <v>2000000</v>
      </c>
      <c r="P352" s="1">
        <v>5038275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2640000</v>
      </c>
      <c r="W352" s="1">
        <v>0</v>
      </c>
      <c r="X352" s="1">
        <v>12361865</v>
      </c>
      <c r="Y352" s="1">
        <v>4000000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3670854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60623797</v>
      </c>
      <c r="AS352" s="1">
        <v>16597655</v>
      </c>
      <c r="AT352" s="1">
        <v>44026142</v>
      </c>
      <c r="AU352" s="1">
        <v>11390589</v>
      </c>
      <c r="AV352" s="1">
        <v>1708588</v>
      </c>
      <c r="AW352" s="1">
        <f t="shared" si="35"/>
        <v>73722974</v>
      </c>
    </row>
    <row r="353" spans="1:49" x14ac:dyDescent="0.2">
      <c r="A353" s="1" t="str">
        <f>"00413"</f>
        <v>00413</v>
      </c>
      <c r="B353" s="1" t="str">
        <f>"سعيد"</f>
        <v>سعيد</v>
      </c>
      <c r="C353" s="1" t="str">
        <f>"نيک راد"</f>
        <v>نيک راد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0</v>
      </c>
      <c r="G353" s="1">
        <v>8317740</v>
      </c>
      <c r="H353" s="1">
        <v>4158870</v>
      </c>
      <c r="I353" s="1">
        <v>1558898</v>
      </c>
      <c r="J353" s="1">
        <v>0</v>
      </c>
      <c r="K353" s="1">
        <v>10230820</v>
      </c>
      <c r="L353" s="1">
        <v>0</v>
      </c>
      <c r="M353" s="1">
        <v>0</v>
      </c>
      <c r="N353" s="1">
        <v>11331151</v>
      </c>
      <c r="O353" s="1">
        <v>2000000</v>
      </c>
      <c r="P353" s="1">
        <v>6654191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2640000</v>
      </c>
      <c r="W353" s="1">
        <v>0</v>
      </c>
      <c r="X353" s="1">
        <v>14536760</v>
      </c>
      <c r="Y353" s="1">
        <v>4000000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65428430</v>
      </c>
      <c r="AS353" s="1">
        <v>10384835</v>
      </c>
      <c r="AT353" s="1">
        <v>55043595</v>
      </c>
      <c r="AU353" s="1">
        <v>13085686</v>
      </c>
      <c r="AV353" s="1">
        <v>1962853</v>
      </c>
      <c r="AW353" s="1">
        <f t="shared" si="35"/>
        <v>80476969</v>
      </c>
    </row>
    <row r="354" spans="1:49" x14ac:dyDescent="0.2">
      <c r="A354" s="1" t="str">
        <f>"00414"</f>
        <v>00414</v>
      </c>
      <c r="B354" s="1" t="str">
        <f>"حسين"</f>
        <v>حسين</v>
      </c>
      <c r="C354" s="1" t="str">
        <f>"حيدري"</f>
        <v>حيدري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0</v>
      </c>
      <c r="G354" s="1">
        <v>5786784</v>
      </c>
      <c r="H354" s="1">
        <v>3009128</v>
      </c>
      <c r="I354" s="1">
        <v>1452117</v>
      </c>
      <c r="J354" s="1">
        <v>0</v>
      </c>
      <c r="K354" s="1">
        <v>6684893</v>
      </c>
      <c r="L354" s="1">
        <v>0</v>
      </c>
      <c r="M354" s="1">
        <v>0</v>
      </c>
      <c r="N354" s="1">
        <v>11149515</v>
      </c>
      <c r="O354" s="1">
        <v>1935484</v>
      </c>
      <c r="P354" s="1">
        <v>4629427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2640000</v>
      </c>
      <c r="W354" s="1">
        <v>0</v>
      </c>
      <c r="X354" s="1">
        <v>8569742</v>
      </c>
      <c r="Y354" s="1">
        <v>3870968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3552439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53280497</v>
      </c>
      <c r="AS354" s="1">
        <v>19912461</v>
      </c>
      <c r="AT354" s="1">
        <v>33368036</v>
      </c>
      <c r="AU354" s="1">
        <v>9945612</v>
      </c>
      <c r="AV354" s="1">
        <v>1491842</v>
      </c>
      <c r="AW354" s="1">
        <f t="shared" si="35"/>
        <v>64717951</v>
      </c>
    </row>
    <row r="355" spans="1:49" x14ac:dyDescent="0.2">
      <c r="A355" s="1" t="str">
        <f>"00415"</f>
        <v>00415</v>
      </c>
      <c r="B355" s="1" t="str">
        <f>"صادق"</f>
        <v>صادق</v>
      </c>
      <c r="C355" s="1" t="str">
        <f>"سياوش پوري"</f>
        <v>سياوش پوري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0</v>
      </c>
      <c r="G355" s="1">
        <v>7078052</v>
      </c>
      <c r="H355" s="1">
        <v>3539026</v>
      </c>
      <c r="I355" s="1">
        <v>914993</v>
      </c>
      <c r="J355" s="1">
        <v>0</v>
      </c>
      <c r="K355" s="1">
        <v>6370247</v>
      </c>
      <c r="L355" s="1">
        <v>0</v>
      </c>
      <c r="M355" s="1">
        <v>0</v>
      </c>
      <c r="N355" s="1">
        <v>11331151</v>
      </c>
      <c r="O355" s="1">
        <v>2000000</v>
      </c>
      <c r="P355" s="1">
        <v>5662441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2640000</v>
      </c>
      <c r="W355" s="1">
        <v>0</v>
      </c>
      <c r="X355" s="1">
        <v>9241612</v>
      </c>
      <c r="Y355" s="1">
        <v>4000000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52777522</v>
      </c>
      <c r="AS355" s="1">
        <v>6277937</v>
      </c>
      <c r="AT355" s="1">
        <v>46499585</v>
      </c>
      <c r="AU355" s="1">
        <v>10555504</v>
      </c>
      <c r="AV355" s="1">
        <v>1583326</v>
      </c>
      <c r="AW355" s="1">
        <f t="shared" si="35"/>
        <v>64916352</v>
      </c>
    </row>
    <row r="356" spans="1:49" x14ac:dyDescent="0.2">
      <c r="A356" s="1" t="str">
        <f>"00416"</f>
        <v>00416</v>
      </c>
      <c r="B356" s="1" t="str">
        <f>"سيد محسن"</f>
        <v>سيد محسن</v>
      </c>
      <c r="C356" s="1" t="str">
        <f>"تهامي پورزرندي"</f>
        <v>تهامي پورزرندي</v>
      </c>
      <c r="D356" s="1" t="str">
        <f>"قراردادي بهره بردار"</f>
        <v>قراردادي بهره بردار</v>
      </c>
      <c r="E356" s="1" t="str">
        <f t="shared" si="37"/>
        <v>پروژه تعميرات نيروگاه بوشهر</v>
      </c>
      <c r="F356" s="1">
        <v>31453044</v>
      </c>
      <c r="G356" s="1">
        <v>0</v>
      </c>
      <c r="H356" s="1">
        <v>0</v>
      </c>
      <c r="I356" s="1">
        <v>7020474</v>
      </c>
      <c r="J356" s="1">
        <v>0</v>
      </c>
      <c r="K356" s="1">
        <v>27879162</v>
      </c>
      <c r="L356" s="1">
        <v>0</v>
      </c>
      <c r="M356" s="1">
        <v>5000000</v>
      </c>
      <c r="N356" s="1">
        <v>0</v>
      </c>
      <c r="O356" s="1">
        <v>1000000</v>
      </c>
      <c r="P356" s="1">
        <v>4825781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1848000</v>
      </c>
      <c r="W356" s="1">
        <v>0</v>
      </c>
      <c r="X356" s="1">
        <v>23543471</v>
      </c>
      <c r="Y356" s="1">
        <v>4000000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3791685</v>
      </c>
      <c r="AH356" s="1">
        <v>5506281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7997009</v>
      </c>
      <c r="AO356" s="1">
        <v>0</v>
      </c>
      <c r="AP356" s="1">
        <v>0</v>
      </c>
      <c r="AQ356" s="1">
        <v>0</v>
      </c>
      <c r="AR356" s="1">
        <v>123864907</v>
      </c>
      <c r="AS356" s="1">
        <v>54489183</v>
      </c>
      <c r="AT356" s="1">
        <v>69375724</v>
      </c>
      <c r="AU356" s="1">
        <v>23671725</v>
      </c>
      <c r="AV356" s="1">
        <v>3550759</v>
      </c>
      <c r="AW356" s="1">
        <f t="shared" si="35"/>
        <v>151087391</v>
      </c>
    </row>
    <row r="357" spans="1:49" x14ac:dyDescent="0.2">
      <c r="A357" s="1" t="str">
        <f>"00417"</f>
        <v>00417</v>
      </c>
      <c r="B357" s="1" t="str">
        <f>"حسن"</f>
        <v>حسن</v>
      </c>
      <c r="C357" s="1" t="str">
        <f>"لک"</f>
        <v>لک</v>
      </c>
      <c r="D357" s="1" t="str">
        <f t="shared" ref="D357:D372" si="38">"قراردادي کارگري"</f>
        <v>قراردادي کارگري</v>
      </c>
      <c r="E357" s="1" t="str">
        <f t="shared" si="37"/>
        <v>پروژه تعميرات نيروگاه بوشهر</v>
      </c>
      <c r="F357" s="1">
        <v>0</v>
      </c>
      <c r="G357" s="1">
        <v>8108591</v>
      </c>
      <c r="H357" s="1">
        <v>4135381</v>
      </c>
      <c r="I357" s="1">
        <v>0</v>
      </c>
      <c r="J357" s="1">
        <v>0</v>
      </c>
      <c r="K357" s="1">
        <v>8815660</v>
      </c>
      <c r="L357" s="1">
        <v>0</v>
      </c>
      <c r="M357" s="1">
        <v>0</v>
      </c>
      <c r="N357" s="1">
        <v>11521166</v>
      </c>
      <c r="O357" s="1">
        <v>2000000</v>
      </c>
      <c r="P357" s="1">
        <v>6486873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2640000</v>
      </c>
      <c r="W357" s="1">
        <v>0</v>
      </c>
      <c r="X357" s="1">
        <v>8374520</v>
      </c>
      <c r="Y357" s="1">
        <v>4000000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1835427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57917618</v>
      </c>
      <c r="AS357" s="1">
        <v>8576940</v>
      </c>
      <c r="AT357" s="1">
        <v>49340678</v>
      </c>
      <c r="AU357" s="1">
        <v>11216438</v>
      </c>
      <c r="AV357" s="1">
        <v>1682466</v>
      </c>
      <c r="AW357" s="1">
        <f t="shared" si="35"/>
        <v>70816522</v>
      </c>
    </row>
    <row r="358" spans="1:49" x14ac:dyDescent="0.2">
      <c r="A358" s="1" t="str">
        <f>"00418"</f>
        <v>00418</v>
      </c>
      <c r="B358" s="1" t="str">
        <f>"اسماعيل"</f>
        <v>اسماعيل</v>
      </c>
      <c r="C358" s="1" t="str">
        <f>"محمدي نژاد"</f>
        <v>محمدي نژاد</v>
      </c>
      <c r="D358" s="1" t="str">
        <f t="shared" si="38"/>
        <v>قراردادي کارگري</v>
      </c>
      <c r="E358" s="1" t="str">
        <f t="shared" si="37"/>
        <v>پروژه تعميرات نيروگاه بوشهر</v>
      </c>
      <c r="F358" s="1">
        <v>0</v>
      </c>
      <c r="G358" s="1">
        <v>6714269</v>
      </c>
      <c r="H358" s="1">
        <v>3491420</v>
      </c>
      <c r="I358" s="1">
        <v>0</v>
      </c>
      <c r="J358" s="1">
        <v>0</v>
      </c>
      <c r="K358" s="1">
        <v>7348096</v>
      </c>
      <c r="L358" s="1">
        <v>0</v>
      </c>
      <c r="M358" s="1">
        <v>0</v>
      </c>
      <c r="N358" s="1">
        <v>11521166</v>
      </c>
      <c r="O358" s="1">
        <v>2000000</v>
      </c>
      <c r="P358" s="1">
        <v>5371415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2640000</v>
      </c>
      <c r="W358" s="1">
        <v>0</v>
      </c>
      <c r="X358" s="1">
        <v>7316346</v>
      </c>
      <c r="Y358" s="1">
        <v>4000000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1835427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52238139</v>
      </c>
      <c r="AS358" s="1">
        <v>8882385</v>
      </c>
      <c r="AT358" s="1">
        <v>43355754</v>
      </c>
      <c r="AU358" s="1">
        <v>10080542</v>
      </c>
      <c r="AV358" s="1">
        <v>1512081</v>
      </c>
      <c r="AW358" s="1">
        <f t="shared" si="35"/>
        <v>63830762</v>
      </c>
    </row>
    <row r="359" spans="1:49" x14ac:dyDescent="0.2">
      <c r="A359" s="1" t="str">
        <f>"00419"</f>
        <v>00419</v>
      </c>
      <c r="B359" s="1" t="str">
        <f>"ابوذر"</f>
        <v>ابوذر</v>
      </c>
      <c r="C359" s="1" t="str">
        <f>"خاقاني"</f>
        <v>خاقاني</v>
      </c>
      <c r="D359" s="1" t="str">
        <f t="shared" si="38"/>
        <v>قراردادي کارگري</v>
      </c>
      <c r="E359" s="1" t="str">
        <f t="shared" si="37"/>
        <v>پروژه تعميرات نيروگاه بوشهر</v>
      </c>
      <c r="F359" s="1">
        <v>0</v>
      </c>
      <c r="G359" s="1">
        <v>7448862</v>
      </c>
      <c r="H359" s="1">
        <v>3798920</v>
      </c>
      <c r="I359" s="1">
        <v>705889</v>
      </c>
      <c r="J359" s="1">
        <v>0</v>
      </c>
      <c r="K359" s="1">
        <v>7985924</v>
      </c>
      <c r="L359" s="1">
        <v>0</v>
      </c>
      <c r="M359" s="1">
        <v>0</v>
      </c>
      <c r="N359" s="1">
        <v>11521166</v>
      </c>
      <c r="O359" s="1">
        <v>2000000</v>
      </c>
      <c r="P359" s="1">
        <v>5959090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2640000</v>
      </c>
      <c r="W359" s="1">
        <v>0</v>
      </c>
      <c r="X359" s="1">
        <v>13303328</v>
      </c>
      <c r="Y359" s="1">
        <v>4000000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3670854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63034033</v>
      </c>
      <c r="AS359" s="1">
        <v>10267242</v>
      </c>
      <c r="AT359" s="1">
        <v>52766791</v>
      </c>
      <c r="AU359" s="1">
        <v>11872636</v>
      </c>
      <c r="AV359" s="1">
        <v>1780895</v>
      </c>
      <c r="AW359" s="1">
        <f t="shared" si="35"/>
        <v>76687564</v>
      </c>
    </row>
    <row r="360" spans="1:49" x14ac:dyDescent="0.2">
      <c r="A360" s="1" t="str">
        <f>"00420"</f>
        <v>00420</v>
      </c>
      <c r="B360" s="1" t="str">
        <f>"صادق"</f>
        <v>صادق</v>
      </c>
      <c r="C360" s="1" t="str">
        <f>"عادلي زاده"</f>
        <v>عادلي زاده</v>
      </c>
      <c r="D360" s="1" t="str">
        <f t="shared" si="38"/>
        <v>قراردادي کارگري</v>
      </c>
      <c r="E360" s="1" t="str">
        <f t="shared" si="37"/>
        <v>پروژه تعميرات نيروگاه بوشهر</v>
      </c>
      <c r="F360" s="1">
        <v>0</v>
      </c>
      <c r="G360" s="1">
        <v>7182163</v>
      </c>
      <c r="H360" s="1">
        <v>3662903</v>
      </c>
      <c r="I360" s="1">
        <v>309363</v>
      </c>
      <c r="J360" s="1">
        <v>0</v>
      </c>
      <c r="K360" s="1">
        <v>7916898</v>
      </c>
      <c r="L360" s="1">
        <v>0</v>
      </c>
      <c r="M360" s="1">
        <v>0</v>
      </c>
      <c r="N360" s="1">
        <v>11521166</v>
      </c>
      <c r="O360" s="1">
        <v>2000000</v>
      </c>
      <c r="P360" s="1">
        <v>5745730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2640000</v>
      </c>
      <c r="W360" s="1">
        <v>0</v>
      </c>
      <c r="X360" s="1">
        <v>7812339</v>
      </c>
      <c r="Y360" s="1">
        <v>4000000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3670854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56461416</v>
      </c>
      <c r="AS360" s="1">
        <v>9295947</v>
      </c>
      <c r="AT360" s="1">
        <v>47165469</v>
      </c>
      <c r="AU360" s="1">
        <v>10558112</v>
      </c>
      <c r="AV360" s="1">
        <v>1583717</v>
      </c>
      <c r="AW360" s="1">
        <f t="shared" si="35"/>
        <v>68603245</v>
      </c>
    </row>
    <row r="361" spans="1:49" x14ac:dyDescent="0.2">
      <c r="A361" s="1" t="str">
        <f>"00421"</f>
        <v>00421</v>
      </c>
      <c r="B361" s="1" t="str">
        <f>"محمود"</f>
        <v>محمود</v>
      </c>
      <c r="C361" s="1" t="str">
        <f>"سليماني"</f>
        <v>سليماني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0</v>
      </c>
      <c r="G361" s="1">
        <v>8777679</v>
      </c>
      <c r="H361" s="1">
        <v>4476616</v>
      </c>
      <c r="I361" s="1">
        <v>0</v>
      </c>
      <c r="J361" s="1">
        <v>0</v>
      </c>
      <c r="K361" s="1">
        <v>9410549</v>
      </c>
      <c r="L361" s="1">
        <v>0</v>
      </c>
      <c r="M361" s="1">
        <v>0</v>
      </c>
      <c r="N361" s="1">
        <v>11521166</v>
      </c>
      <c r="O361" s="1">
        <v>2000000</v>
      </c>
      <c r="P361" s="1">
        <v>7022143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2640000</v>
      </c>
      <c r="W361" s="1">
        <v>0</v>
      </c>
      <c r="X361" s="1">
        <v>16474333</v>
      </c>
      <c r="Y361" s="1">
        <v>4000000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1835427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68157913</v>
      </c>
      <c r="AS361" s="1">
        <v>7530108</v>
      </c>
      <c r="AT361" s="1">
        <v>60627805</v>
      </c>
      <c r="AU361" s="1">
        <v>13264497</v>
      </c>
      <c r="AV361" s="1">
        <v>1989675</v>
      </c>
      <c r="AW361" s="1">
        <f t="shared" si="35"/>
        <v>83412085</v>
      </c>
    </row>
    <row r="362" spans="1:49" x14ac:dyDescent="0.2">
      <c r="A362" s="1" t="str">
        <f>"00422"</f>
        <v>00422</v>
      </c>
      <c r="B362" s="1" t="str">
        <f>"حسين"</f>
        <v>حسين</v>
      </c>
      <c r="C362" s="1" t="str">
        <f>"علوي راد"</f>
        <v>علوي راد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0</v>
      </c>
      <c r="G362" s="1">
        <v>5198295</v>
      </c>
      <c r="H362" s="1">
        <v>2703113</v>
      </c>
      <c r="I362" s="1">
        <v>4074486</v>
      </c>
      <c r="J362" s="1">
        <v>0</v>
      </c>
      <c r="K362" s="1">
        <v>6005070</v>
      </c>
      <c r="L362" s="1">
        <v>0</v>
      </c>
      <c r="M362" s="1">
        <v>0</v>
      </c>
      <c r="N362" s="1">
        <v>11572430</v>
      </c>
      <c r="O362" s="1">
        <v>2000000</v>
      </c>
      <c r="P362" s="1">
        <v>4158636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2640000</v>
      </c>
      <c r="W362" s="1">
        <v>0</v>
      </c>
      <c r="X362" s="1">
        <v>6450758</v>
      </c>
      <c r="Y362" s="1">
        <v>4000000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3670854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52473642</v>
      </c>
      <c r="AS362" s="1">
        <v>8545939</v>
      </c>
      <c r="AT362" s="1">
        <v>43927703</v>
      </c>
      <c r="AU362" s="1">
        <v>9760558</v>
      </c>
      <c r="AV362" s="1">
        <v>1464084</v>
      </c>
      <c r="AW362" s="1">
        <f t="shared" si="35"/>
        <v>63698284</v>
      </c>
    </row>
    <row r="363" spans="1:49" x14ac:dyDescent="0.2">
      <c r="A363" s="1" t="str">
        <f>"00423"</f>
        <v>00423</v>
      </c>
      <c r="B363" s="1" t="str">
        <f>"عليرضا"</f>
        <v>عليرضا</v>
      </c>
      <c r="C363" s="1" t="str">
        <f>"احمدي"</f>
        <v>احمدي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0</v>
      </c>
      <c r="G363" s="1">
        <v>6718948</v>
      </c>
      <c r="H363" s="1">
        <v>3426664</v>
      </c>
      <c r="I363" s="1">
        <v>7995949</v>
      </c>
      <c r="J363" s="1">
        <v>0</v>
      </c>
      <c r="K363" s="1">
        <v>7406297</v>
      </c>
      <c r="L363" s="1">
        <v>0</v>
      </c>
      <c r="M363" s="1">
        <v>0</v>
      </c>
      <c r="N363" s="1">
        <v>11521166</v>
      </c>
      <c r="O363" s="1">
        <v>2000000</v>
      </c>
      <c r="P363" s="1">
        <v>5375158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2640000</v>
      </c>
      <c r="W363" s="1">
        <v>0</v>
      </c>
      <c r="X363" s="1">
        <v>7519923</v>
      </c>
      <c r="Y363" s="1">
        <v>4000000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3670854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62274959</v>
      </c>
      <c r="AS363" s="1">
        <v>9271555</v>
      </c>
      <c r="AT363" s="1">
        <v>53003404</v>
      </c>
      <c r="AU363" s="1">
        <v>11720821</v>
      </c>
      <c r="AV363" s="1">
        <v>1758123</v>
      </c>
      <c r="AW363" s="1">
        <f t="shared" si="35"/>
        <v>75753903</v>
      </c>
    </row>
    <row r="364" spans="1:49" x14ac:dyDescent="0.2">
      <c r="A364" s="1" t="str">
        <f>"00424"</f>
        <v>00424</v>
      </c>
      <c r="B364" s="1" t="str">
        <f>"سيد محمد"</f>
        <v>سيد محمد</v>
      </c>
      <c r="C364" s="1" t="str">
        <f>"پور قنبري"</f>
        <v>پور قنبري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0</v>
      </c>
      <c r="G364" s="1">
        <v>7834210</v>
      </c>
      <c r="H364" s="1">
        <v>3917105</v>
      </c>
      <c r="I364" s="1">
        <v>9786864</v>
      </c>
      <c r="J364" s="1">
        <v>0</v>
      </c>
      <c r="K364" s="1">
        <v>8695973</v>
      </c>
      <c r="L364" s="1">
        <v>0</v>
      </c>
      <c r="M364" s="1">
        <v>0</v>
      </c>
      <c r="N364" s="1">
        <v>11331151</v>
      </c>
      <c r="O364" s="1">
        <v>2000000</v>
      </c>
      <c r="P364" s="1">
        <v>6267369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2640000</v>
      </c>
      <c r="W364" s="1">
        <v>0</v>
      </c>
      <c r="X364" s="1">
        <v>8185475</v>
      </c>
      <c r="Y364" s="1">
        <v>4000000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1835427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66493574</v>
      </c>
      <c r="AS364" s="1">
        <v>26488304</v>
      </c>
      <c r="AT364" s="1">
        <v>40005270</v>
      </c>
      <c r="AU364" s="1">
        <v>12931629</v>
      </c>
      <c r="AV364" s="1">
        <v>1939744</v>
      </c>
      <c r="AW364" s="1">
        <f t="shared" si="35"/>
        <v>81364947</v>
      </c>
    </row>
    <row r="365" spans="1:49" x14ac:dyDescent="0.2">
      <c r="A365" s="1" t="str">
        <f>"00425"</f>
        <v>00425</v>
      </c>
      <c r="B365" s="1" t="str">
        <f>"عليرضا"</f>
        <v>عليرضا</v>
      </c>
      <c r="C365" s="1" t="str">
        <f>"اميري منش"</f>
        <v>اميري منش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0</v>
      </c>
      <c r="G365" s="1">
        <v>6559865</v>
      </c>
      <c r="H365" s="1">
        <v>3345531</v>
      </c>
      <c r="I365" s="1">
        <v>292435</v>
      </c>
      <c r="J365" s="1">
        <v>0</v>
      </c>
      <c r="K365" s="1">
        <v>7329992</v>
      </c>
      <c r="L365" s="1">
        <v>0</v>
      </c>
      <c r="M365" s="1">
        <v>0</v>
      </c>
      <c r="N365" s="1">
        <v>11521166</v>
      </c>
      <c r="O365" s="1">
        <v>2000000</v>
      </c>
      <c r="P365" s="1">
        <v>5247892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2640000</v>
      </c>
      <c r="W365" s="1">
        <v>0</v>
      </c>
      <c r="X365" s="1">
        <v>7437823</v>
      </c>
      <c r="Y365" s="1">
        <v>4000000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3670854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54045558</v>
      </c>
      <c r="AS365" s="1">
        <v>19449086</v>
      </c>
      <c r="AT365" s="1">
        <v>34596472</v>
      </c>
      <c r="AU365" s="1">
        <v>10074941</v>
      </c>
      <c r="AV365" s="1">
        <v>1511241</v>
      </c>
      <c r="AW365" s="1">
        <f t="shared" si="35"/>
        <v>65631740</v>
      </c>
    </row>
    <row r="366" spans="1:49" x14ac:dyDescent="0.2">
      <c r="A366" s="1" t="str">
        <f>"00426"</f>
        <v>00426</v>
      </c>
      <c r="B366" s="1" t="str">
        <f>"محسن"</f>
        <v>محسن</v>
      </c>
      <c r="C366" s="1" t="str">
        <f>"منفرد"</f>
        <v>منفرد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0</v>
      </c>
      <c r="G366" s="1">
        <v>7623309</v>
      </c>
      <c r="H366" s="1">
        <v>3811655</v>
      </c>
      <c r="I366" s="1">
        <v>10830630</v>
      </c>
      <c r="J366" s="1">
        <v>0</v>
      </c>
      <c r="K366" s="1">
        <v>9605370</v>
      </c>
      <c r="L366" s="1">
        <v>0</v>
      </c>
      <c r="M366" s="1">
        <v>0</v>
      </c>
      <c r="N366" s="1">
        <v>11331151</v>
      </c>
      <c r="O366" s="1">
        <v>2000000</v>
      </c>
      <c r="P366" s="1">
        <v>6098648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2640000</v>
      </c>
      <c r="W366" s="1">
        <v>0</v>
      </c>
      <c r="X366" s="1">
        <v>8040624</v>
      </c>
      <c r="Y366" s="1">
        <v>4000000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1835427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67816814</v>
      </c>
      <c r="AS366" s="1">
        <v>13639308</v>
      </c>
      <c r="AT366" s="1">
        <v>54177506</v>
      </c>
      <c r="AU366" s="1">
        <v>13196277</v>
      </c>
      <c r="AV366" s="1">
        <v>1979442</v>
      </c>
      <c r="AW366" s="1">
        <f t="shared" si="35"/>
        <v>82992533</v>
      </c>
    </row>
    <row r="367" spans="1:49" x14ac:dyDescent="0.2">
      <c r="A367" s="1" t="str">
        <f>"00427"</f>
        <v>00427</v>
      </c>
      <c r="B367" s="1" t="str">
        <f>"عبدالمجيد"</f>
        <v>عبدالمجيد</v>
      </c>
      <c r="C367" s="1" t="str">
        <f>"كازروني"</f>
        <v>كازروني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0</v>
      </c>
      <c r="G367" s="1">
        <v>9382534</v>
      </c>
      <c r="H367" s="1">
        <v>4691267</v>
      </c>
      <c r="I367" s="1">
        <v>12533435</v>
      </c>
      <c r="J367" s="1">
        <v>0</v>
      </c>
      <c r="K367" s="1">
        <v>10414613</v>
      </c>
      <c r="L367" s="1">
        <v>0</v>
      </c>
      <c r="M367" s="1">
        <v>0</v>
      </c>
      <c r="N367" s="1">
        <v>11331151</v>
      </c>
      <c r="O367" s="1">
        <v>2000000</v>
      </c>
      <c r="P367" s="1">
        <v>7506028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2640000</v>
      </c>
      <c r="W367" s="1">
        <v>0</v>
      </c>
      <c r="X367" s="1">
        <v>8914607</v>
      </c>
      <c r="Y367" s="1">
        <v>4000000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5506281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78919916</v>
      </c>
      <c r="AS367" s="1">
        <v>17647585</v>
      </c>
      <c r="AT367" s="1">
        <v>61272331</v>
      </c>
      <c r="AU367" s="1">
        <v>14682727</v>
      </c>
      <c r="AV367" s="1">
        <v>2202409</v>
      </c>
      <c r="AW367" s="1">
        <f t="shared" si="35"/>
        <v>95805052</v>
      </c>
    </row>
    <row r="368" spans="1:49" x14ac:dyDescent="0.2">
      <c r="A368" s="1" t="str">
        <f>"00428"</f>
        <v>00428</v>
      </c>
      <c r="B368" s="1" t="str">
        <f>"قاسم"</f>
        <v>قاسم</v>
      </c>
      <c r="C368" s="1" t="str">
        <f>"عليزاده"</f>
        <v>عليزاده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0</v>
      </c>
      <c r="G368" s="1">
        <v>7065189</v>
      </c>
      <c r="H368" s="1">
        <v>3673899</v>
      </c>
      <c r="I368" s="1">
        <v>5510695</v>
      </c>
      <c r="J368" s="1">
        <v>0</v>
      </c>
      <c r="K368" s="1">
        <v>7732143</v>
      </c>
      <c r="L368" s="1">
        <v>0</v>
      </c>
      <c r="M368" s="1">
        <v>0</v>
      </c>
      <c r="N368" s="1">
        <v>11521166</v>
      </c>
      <c r="O368" s="1">
        <v>2000000</v>
      </c>
      <c r="P368" s="1">
        <v>5652151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2640000</v>
      </c>
      <c r="W368" s="1">
        <v>0</v>
      </c>
      <c r="X368" s="1">
        <v>7741241</v>
      </c>
      <c r="Y368" s="1">
        <v>4000000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1835427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59371911</v>
      </c>
      <c r="AS368" s="1">
        <v>19167510</v>
      </c>
      <c r="AT368" s="1">
        <v>40204401</v>
      </c>
      <c r="AU368" s="1">
        <v>11507297</v>
      </c>
      <c r="AV368" s="1">
        <v>1726095</v>
      </c>
      <c r="AW368" s="1">
        <f t="shared" si="35"/>
        <v>72605303</v>
      </c>
    </row>
    <row r="369" spans="1:49" x14ac:dyDescent="0.2">
      <c r="A369" s="1" t="str">
        <f>"00429"</f>
        <v>00429</v>
      </c>
      <c r="B369" s="1" t="str">
        <f>"علي"</f>
        <v>علي</v>
      </c>
      <c r="C369" s="1" t="str">
        <f>"نجفي نيا"</f>
        <v>نجفي نيا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0</v>
      </c>
      <c r="G369" s="1">
        <v>6129403</v>
      </c>
      <c r="H369" s="1">
        <v>3187290</v>
      </c>
      <c r="I369" s="1">
        <v>6706373</v>
      </c>
      <c r="J369" s="1">
        <v>0</v>
      </c>
      <c r="K369" s="1">
        <v>6708019</v>
      </c>
      <c r="L369" s="1">
        <v>0</v>
      </c>
      <c r="M369" s="1">
        <v>0</v>
      </c>
      <c r="N369" s="1">
        <v>11521166</v>
      </c>
      <c r="O369" s="1">
        <v>2000000</v>
      </c>
      <c r="P369" s="1">
        <v>4903522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2640000</v>
      </c>
      <c r="W369" s="1">
        <v>0</v>
      </c>
      <c r="X369" s="1">
        <v>7150139</v>
      </c>
      <c r="Y369" s="1">
        <v>4000000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5506281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60452193</v>
      </c>
      <c r="AS369" s="1">
        <v>12377787</v>
      </c>
      <c r="AT369" s="1">
        <v>48074406</v>
      </c>
      <c r="AU369" s="1">
        <v>10989182</v>
      </c>
      <c r="AV369" s="1">
        <v>1648377</v>
      </c>
      <c r="AW369" s="1">
        <f t="shared" si="35"/>
        <v>73089752</v>
      </c>
    </row>
    <row r="370" spans="1:49" x14ac:dyDescent="0.2">
      <c r="A370" s="1" t="str">
        <f>"00430"</f>
        <v>00430</v>
      </c>
      <c r="B370" s="1" t="str">
        <f>"مهدي"</f>
        <v>مهدي</v>
      </c>
      <c r="C370" s="1" t="str">
        <f>"خدري"</f>
        <v>خدري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0</v>
      </c>
      <c r="G370" s="1">
        <v>7135373</v>
      </c>
      <c r="H370" s="1">
        <v>3710394</v>
      </c>
      <c r="I370" s="1">
        <v>11584431</v>
      </c>
      <c r="J370" s="1">
        <v>0</v>
      </c>
      <c r="K370" s="1">
        <v>8134326</v>
      </c>
      <c r="L370" s="1">
        <v>0</v>
      </c>
      <c r="M370" s="1">
        <v>0</v>
      </c>
      <c r="N370" s="1">
        <v>11572430</v>
      </c>
      <c r="O370" s="1">
        <v>2000000</v>
      </c>
      <c r="P370" s="1">
        <v>5708299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2640000</v>
      </c>
      <c r="W370" s="1">
        <v>0</v>
      </c>
      <c r="X370" s="1">
        <v>9341381</v>
      </c>
      <c r="Y370" s="1">
        <v>4000000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3670854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69497488</v>
      </c>
      <c r="AS370" s="1">
        <v>7432827</v>
      </c>
      <c r="AT370" s="1">
        <v>62064661</v>
      </c>
      <c r="AU370" s="1">
        <v>13165327</v>
      </c>
      <c r="AV370" s="1">
        <v>1974799</v>
      </c>
      <c r="AW370" s="1">
        <f t="shared" si="35"/>
        <v>84637614</v>
      </c>
    </row>
    <row r="371" spans="1:49" x14ac:dyDescent="0.2">
      <c r="A371" s="1" t="str">
        <f>"00431"</f>
        <v>00431</v>
      </c>
      <c r="B371" s="1" t="str">
        <f>"صفرعلي"</f>
        <v>صفرعلي</v>
      </c>
      <c r="C371" s="1" t="str">
        <f>"جوادي اقدم هرزند"</f>
        <v>جوادي اقدم هرزند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0</v>
      </c>
      <c r="G371" s="1">
        <v>7551798</v>
      </c>
      <c r="H371" s="1">
        <v>3851417</v>
      </c>
      <c r="I371" s="1">
        <v>11938786</v>
      </c>
      <c r="J371" s="1">
        <v>0</v>
      </c>
      <c r="K371" s="1">
        <v>8438380</v>
      </c>
      <c r="L371" s="1">
        <v>0</v>
      </c>
      <c r="M371" s="1">
        <v>0</v>
      </c>
      <c r="N371" s="1">
        <v>11521166</v>
      </c>
      <c r="O371" s="1">
        <v>2000000</v>
      </c>
      <c r="P371" s="1">
        <v>6041439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2640000</v>
      </c>
      <c r="W371" s="1">
        <v>0</v>
      </c>
      <c r="X371" s="1">
        <v>9592924</v>
      </c>
      <c r="Y371" s="1">
        <v>4000000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1835427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69411337</v>
      </c>
      <c r="AS371" s="1">
        <v>17742524</v>
      </c>
      <c r="AT371" s="1">
        <v>51668813</v>
      </c>
      <c r="AU371" s="1">
        <v>13515182</v>
      </c>
      <c r="AV371" s="1">
        <v>2027277</v>
      </c>
      <c r="AW371" s="1">
        <f t="shared" si="35"/>
        <v>84953796</v>
      </c>
    </row>
    <row r="372" spans="1:49" x14ac:dyDescent="0.2">
      <c r="A372" s="1" t="str">
        <f>"00432"</f>
        <v>00432</v>
      </c>
      <c r="B372" s="1" t="str">
        <f>"حسين"</f>
        <v>حسين</v>
      </c>
      <c r="C372" s="1" t="str">
        <f>"محمدي ثالث"</f>
        <v>محمدي ثالث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0</v>
      </c>
      <c r="G372" s="1">
        <v>7411430</v>
      </c>
      <c r="H372" s="1">
        <v>3779830</v>
      </c>
      <c r="I372" s="1">
        <v>10122361</v>
      </c>
      <c r="J372" s="1">
        <v>0</v>
      </c>
      <c r="K372" s="1">
        <v>8169620</v>
      </c>
      <c r="L372" s="1">
        <v>0</v>
      </c>
      <c r="M372" s="1">
        <v>0</v>
      </c>
      <c r="N372" s="1">
        <v>11521166</v>
      </c>
      <c r="O372" s="1">
        <v>2000000</v>
      </c>
      <c r="P372" s="1">
        <v>5929145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2640000</v>
      </c>
      <c r="W372" s="1">
        <v>0</v>
      </c>
      <c r="X372" s="1">
        <v>9462462</v>
      </c>
      <c r="Y372" s="1">
        <v>4000000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3670854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68706868</v>
      </c>
      <c r="AS372" s="1">
        <v>15504240</v>
      </c>
      <c r="AT372" s="1">
        <v>53202628</v>
      </c>
      <c r="AU372" s="1">
        <v>13007203</v>
      </c>
      <c r="AV372" s="1">
        <v>1951080</v>
      </c>
      <c r="AW372" s="1">
        <f t="shared" si="35"/>
        <v>83665151</v>
      </c>
    </row>
    <row r="373" spans="1:49" x14ac:dyDescent="0.2">
      <c r="A373" s="1" t="str">
        <f>"00433"</f>
        <v>00433</v>
      </c>
      <c r="B373" s="1" t="str">
        <f>"عليرضا"</f>
        <v>عليرضا</v>
      </c>
      <c r="C373" s="1" t="str">
        <f>"مسعودي"</f>
        <v>مسعودي</v>
      </c>
      <c r="D373" s="1" t="str">
        <f>"قراردادي بهره بردار"</f>
        <v>قراردادي بهره بردار</v>
      </c>
      <c r="E373" s="1" t="str">
        <f>"پروژه بهره برداري نيروگاه بوشهر"</f>
        <v>پروژه بهره برداري نيروگاه بوشهر</v>
      </c>
      <c r="F373" s="1">
        <v>14508457</v>
      </c>
      <c r="G373" s="1">
        <v>0</v>
      </c>
      <c r="H373" s="1">
        <v>0</v>
      </c>
      <c r="I373" s="1">
        <v>7426179</v>
      </c>
      <c r="J373" s="1">
        <v>0</v>
      </c>
      <c r="K373" s="1">
        <v>13500197</v>
      </c>
      <c r="L373" s="1">
        <v>0</v>
      </c>
      <c r="M373" s="1">
        <v>0</v>
      </c>
      <c r="N373" s="1">
        <v>0</v>
      </c>
      <c r="O373" s="1">
        <v>1000000</v>
      </c>
      <c r="P373" s="1">
        <v>2485635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1848000</v>
      </c>
      <c r="W373" s="1">
        <v>0</v>
      </c>
      <c r="X373" s="1">
        <v>7143394</v>
      </c>
      <c r="Y373" s="1">
        <v>4000000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1952999</v>
      </c>
      <c r="AH373" s="1">
        <v>3670854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6165653</v>
      </c>
      <c r="AO373" s="1">
        <v>0</v>
      </c>
      <c r="AP373" s="1">
        <v>0</v>
      </c>
      <c r="AQ373" s="1">
        <v>0</v>
      </c>
      <c r="AR373" s="1">
        <v>63701368</v>
      </c>
      <c r="AS373" s="1">
        <v>9539259</v>
      </c>
      <c r="AT373" s="1">
        <v>54162109</v>
      </c>
      <c r="AU373" s="1">
        <v>12006103</v>
      </c>
      <c r="AV373" s="1">
        <v>1800915</v>
      </c>
      <c r="AW373" s="1">
        <f t="shared" si="35"/>
        <v>77508386</v>
      </c>
    </row>
    <row r="374" spans="1:49" x14ac:dyDescent="0.2">
      <c r="A374" s="1" t="str">
        <f>"00434"</f>
        <v>00434</v>
      </c>
      <c r="B374" s="1" t="str">
        <f>"عباس"</f>
        <v>عباس</v>
      </c>
      <c r="C374" s="1" t="str">
        <f>"عبدالعلي پور"</f>
        <v>عبدالعلي پور</v>
      </c>
      <c r="D374" s="1" t="str">
        <f t="shared" ref="D374:D380" si="39">"قراردادي کارگري"</f>
        <v>قراردادي کارگري</v>
      </c>
      <c r="E374" s="1" t="str">
        <f t="shared" ref="E374:E380" si="40">"پروژه تعميرات نيروگاه بوشهر"</f>
        <v>پروژه تعميرات نيروگاه بوشهر</v>
      </c>
      <c r="F374" s="1">
        <v>0</v>
      </c>
      <c r="G374" s="1">
        <v>7787915</v>
      </c>
      <c r="H374" s="1">
        <v>3893958</v>
      </c>
      <c r="I374" s="1">
        <v>10072171</v>
      </c>
      <c r="J374" s="1">
        <v>0</v>
      </c>
      <c r="K374" s="1">
        <v>8644586</v>
      </c>
      <c r="L374" s="1">
        <v>0</v>
      </c>
      <c r="M374" s="1">
        <v>0</v>
      </c>
      <c r="N374" s="1">
        <v>11331151</v>
      </c>
      <c r="O374" s="1">
        <v>2000000</v>
      </c>
      <c r="P374" s="1">
        <v>6230332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2640000</v>
      </c>
      <c r="W374" s="1">
        <v>0</v>
      </c>
      <c r="X374" s="1">
        <v>8156269</v>
      </c>
      <c r="Y374" s="1">
        <v>4000000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3670854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68427236</v>
      </c>
      <c r="AS374" s="1">
        <v>9702376</v>
      </c>
      <c r="AT374" s="1">
        <v>58724860</v>
      </c>
      <c r="AU374" s="1">
        <v>12951276</v>
      </c>
      <c r="AV374" s="1">
        <v>1942691</v>
      </c>
      <c r="AW374" s="1">
        <f t="shared" si="35"/>
        <v>83321203</v>
      </c>
    </row>
    <row r="375" spans="1:49" x14ac:dyDescent="0.2">
      <c r="A375" s="1" t="str">
        <f>"00435"</f>
        <v>00435</v>
      </c>
      <c r="B375" s="1" t="str">
        <f>"رضا"</f>
        <v>رضا</v>
      </c>
      <c r="C375" s="1" t="str">
        <f>"محمودي"</f>
        <v>محمودي</v>
      </c>
      <c r="D375" s="1" t="str">
        <f t="shared" si="39"/>
        <v>قراردادي کارگري</v>
      </c>
      <c r="E375" s="1" t="str">
        <f t="shared" si="40"/>
        <v>پروژه تعميرات نيروگاه بوشهر</v>
      </c>
      <c r="F375" s="1">
        <v>0</v>
      </c>
      <c r="G375" s="1">
        <v>8618595</v>
      </c>
      <c r="H375" s="1">
        <v>4395484</v>
      </c>
      <c r="I375" s="1">
        <v>22385294</v>
      </c>
      <c r="J375" s="1">
        <v>0</v>
      </c>
      <c r="K375" s="1">
        <v>9630419</v>
      </c>
      <c r="L375" s="1">
        <v>0</v>
      </c>
      <c r="M375" s="1">
        <v>0</v>
      </c>
      <c r="N375" s="1">
        <v>11521166</v>
      </c>
      <c r="O375" s="1">
        <v>2000000</v>
      </c>
      <c r="P375" s="1">
        <v>6894876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2640000</v>
      </c>
      <c r="W375" s="1">
        <v>0</v>
      </c>
      <c r="X375" s="1">
        <v>8506897</v>
      </c>
      <c r="Y375" s="1">
        <v>4000000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1835427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82428158</v>
      </c>
      <c r="AS375" s="1">
        <v>12420957</v>
      </c>
      <c r="AT375" s="1">
        <v>70007201</v>
      </c>
      <c r="AU375" s="1">
        <v>16118546</v>
      </c>
      <c r="AV375" s="1">
        <v>2417782</v>
      </c>
      <c r="AW375" s="1">
        <f t="shared" si="35"/>
        <v>100964486</v>
      </c>
    </row>
    <row r="376" spans="1:49" x14ac:dyDescent="0.2">
      <c r="A376" s="1" t="str">
        <f>"00437"</f>
        <v>00437</v>
      </c>
      <c r="B376" s="1" t="str">
        <f>"رسول"</f>
        <v>رسول</v>
      </c>
      <c r="C376" s="1" t="str">
        <f>"زماني"</f>
        <v>زماني</v>
      </c>
      <c r="D376" s="1" t="str">
        <f t="shared" si="39"/>
        <v>قراردادي کارگري</v>
      </c>
      <c r="E376" s="1" t="str">
        <f t="shared" si="40"/>
        <v>پروژه تعميرات نيروگاه بوشهر</v>
      </c>
      <c r="F376" s="1">
        <v>0</v>
      </c>
      <c r="G376" s="1">
        <v>6470965</v>
      </c>
      <c r="H376" s="1">
        <v>3364901</v>
      </c>
      <c r="I376" s="1">
        <v>0</v>
      </c>
      <c r="J376" s="1">
        <v>0</v>
      </c>
      <c r="K376" s="1">
        <v>6393313</v>
      </c>
      <c r="L376" s="1">
        <v>0</v>
      </c>
      <c r="M376" s="1">
        <v>0</v>
      </c>
      <c r="N376" s="1">
        <v>11521166</v>
      </c>
      <c r="O376" s="1">
        <v>2000000</v>
      </c>
      <c r="P376" s="1">
        <v>5176772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2640000</v>
      </c>
      <c r="W376" s="1">
        <v>0</v>
      </c>
      <c r="X376" s="1">
        <v>9781779</v>
      </c>
      <c r="Y376" s="1">
        <v>4000000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51348896</v>
      </c>
      <c r="AS376" s="1">
        <v>5832195</v>
      </c>
      <c r="AT376" s="1">
        <v>45516701</v>
      </c>
      <c r="AU376" s="1">
        <v>10269779</v>
      </c>
      <c r="AV376" s="1">
        <v>1540467</v>
      </c>
      <c r="AW376" s="1">
        <f t="shared" si="35"/>
        <v>63159142</v>
      </c>
    </row>
    <row r="377" spans="1:49" x14ac:dyDescent="0.2">
      <c r="A377" s="1" t="str">
        <f>"00438"</f>
        <v>00438</v>
      </c>
      <c r="B377" s="1" t="str">
        <f>"منصور"</f>
        <v>منصور</v>
      </c>
      <c r="C377" s="1" t="str">
        <f>"محمدي"</f>
        <v>محمدي</v>
      </c>
      <c r="D377" s="1" t="str">
        <f t="shared" si="39"/>
        <v>قراردادي کارگري</v>
      </c>
      <c r="E377" s="1" t="str">
        <f t="shared" si="40"/>
        <v>پروژه تعميرات نيروگاه بوشهر</v>
      </c>
      <c r="F377" s="1">
        <v>0</v>
      </c>
      <c r="G377" s="1">
        <v>10524488</v>
      </c>
      <c r="H377" s="1">
        <v>5262244</v>
      </c>
      <c r="I377" s="1">
        <v>0</v>
      </c>
      <c r="J377" s="1">
        <v>0</v>
      </c>
      <c r="K377" s="1">
        <v>13260855</v>
      </c>
      <c r="L377" s="1">
        <v>0</v>
      </c>
      <c r="M377" s="1">
        <v>0</v>
      </c>
      <c r="N377" s="1">
        <v>11331151</v>
      </c>
      <c r="O377" s="1">
        <v>2000000</v>
      </c>
      <c r="P377" s="1">
        <v>8419590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2640000</v>
      </c>
      <c r="W377" s="1">
        <v>0</v>
      </c>
      <c r="X377" s="1">
        <v>14574557</v>
      </c>
      <c r="Y377" s="1">
        <v>4000000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3670854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75683739</v>
      </c>
      <c r="AS377" s="1">
        <v>15391302</v>
      </c>
      <c r="AT377" s="1">
        <v>60292437</v>
      </c>
      <c r="AU377" s="1">
        <v>14402577</v>
      </c>
      <c r="AV377" s="1">
        <v>2160387</v>
      </c>
      <c r="AW377" s="1">
        <f t="shared" si="35"/>
        <v>92246703</v>
      </c>
    </row>
    <row r="378" spans="1:49" x14ac:dyDescent="0.2">
      <c r="A378" s="1" t="str">
        <f>"00439"</f>
        <v>00439</v>
      </c>
      <c r="B378" s="1" t="str">
        <f>"سيد سعد"</f>
        <v>سيد سعد</v>
      </c>
      <c r="C378" s="1" t="str">
        <f>"موسوي بغلاني"</f>
        <v>موسوي بغلاني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0</v>
      </c>
      <c r="G378" s="1">
        <v>6152797</v>
      </c>
      <c r="H378" s="1">
        <v>3199454</v>
      </c>
      <c r="I378" s="1">
        <v>3148105</v>
      </c>
      <c r="J378" s="1">
        <v>0</v>
      </c>
      <c r="K378" s="1">
        <v>6733622</v>
      </c>
      <c r="L378" s="1">
        <v>0</v>
      </c>
      <c r="M378" s="1">
        <v>0</v>
      </c>
      <c r="N378" s="1">
        <v>11521166</v>
      </c>
      <c r="O378" s="1">
        <v>2000000</v>
      </c>
      <c r="P378" s="1">
        <v>4922238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17040882</v>
      </c>
      <c r="Y378" s="1">
        <v>4000000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4879391</v>
      </c>
      <c r="AG378" s="1">
        <v>0</v>
      </c>
      <c r="AH378" s="1">
        <v>3670854</v>
      </c>
      <c r="AI378" s="1">
        <v>0</v>
      </c>
      <c r="AJ378" s="1">
        <v>0</v>
      </c>
      <c r="AK378" s="1">
        <v>0</v>
      </c>
      <c r="AL378" s="1">
        <v>6715957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73984466</v>
      </c>
      <c r="AS378" s="1">
        <v>12711291</v>
      </c>
      <c r="AT378" s="1">
        <v>61273175</v>
      </c>
      <c r="AU378" s="1">
        <v>14062722</v>
      </c>
      <c r="AV378" s="1">
        <v>2109408</v>
      </c>
      <c r="AW378" s="1">
        <f t="shared" si="35"/>
        <v>90156596</v>
      </c>
    </row>
    <row r="379" spans="1:49" x14ac:dyDescent="0.2">
      <c r="A379" s="1" t="str">
        <f>"00440"</f>
        <v>00440</v>
      </c>
      <c r="B379" s="1" t="str">
        <f>"احمد"</f>
        <v>احمد</v>
      </c>
      <c r="C379" s="1" t="str">
        <f>"خليفه"</f>
        <v>خليفه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0</v>
      </c>
      <c r="G379" s="1">
        <v>5815914</v>
      </c>
      <c r="H379" s="1">
        <v>3024275</v>
      </c>
      <c r="I379" s="1">
        <v>2711997</v>
      </c>
      <c r="J379" s="1">
        <v>0</v>
      </c>
      <c r="K379" s="1">
        <v>6453338</v>
      </c>
      <c r="L379" s="1">
        <v>0</v>
      </c>
      <c r="M379" s="1">
        <v>0</v>
      </c>
      <c r="N379" s="1">
        <v>11521166</v>
      </c>
      <c r="O379" s="1">
        <v>2000000</v>
      </c>
      <c r="P379" s="1">
        <v>4652731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16573666</v>
      </c>
      <c r="Y379" s="1">
        <v>4000000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4720114</v>
      </c>
      <c r="AG379" s="1">
        <v>0</v>
      </c>
      <c r="AH379" s="1">
        <v>3670854</v>
      </c>
      <c r="AI379" s="1">
        <v>0</v>
      </c>
      <c r="AJ379" s="1">
        <v>0</v>
      </c>
      <c r="AK379" s="1">
        <v>0</v>
      </c>
      <c r="AL379" s="1">
        <v>6508793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71652848</v>
      </c>
      <c r="AS379" s="1">
        <v>12235351</v>
      </c>
      <c r="AT379" s="1">
        <v>59417497</v>
      </c>
      <c r="AU379" s="1">
        <v>13596399</v>
      </c>
      <c r="AV379" s="1">
        <v>2039460</v>
      </c>
      <c r="AW379" s="1">
        <f t="shared" si="35"/>
        <v>87288707</v>
      </c>
    </row>
    <row r="380" spans="1:49" x14ac:dyDescent="0.2">
      <c r="A380" s="1" t="str">
        <f>"00442"</f>
        <v>00442</v>
      </c>
      <c r="B380" s="1" t="str">
        <f>"ايوب"</f>
        <v>ايوب</v>
      </c>
      <c r="C380" s="1" t="str">
        <f>"غلامي"</f>
        <v>غلامي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0</v>
      </c>
      <c r="G380" s="1">
        <v>6316560</v>
      </c>
      <c r="H380" s="1">
        <v>3158280</v>
      </c>
      <c r="I380" s="1">
        <v>0</v>
      </c>
      <c r="J380" s="1">
        <v>0</v>
      </c>
      <c r="K380" s="1">
        <v>6632388</v>
      </c>
      <c r="L380" s="1">
        <v>0</v>
      </c>
      <c r="M380" s="1">
        <v>0</v>
      </c>
      <c r="N380" s="1">
        <v>10034564</v>
      </c>
      <c r="O380" s="1">
        <v>1741935</v>
      </c>
      <c r="P380" s="1">
        <v>5053248</v>
      </c>
      <c r="Q380" s="1">
        <v>0</v>
      </c>
      <c r="R380" s="1">
        <v>0</v>
      </c>
      <c r="S380" s="1">
        <v>0</v>
      </c>
      <c r="T380" s="1">
        <v>3600000</v>
      </c>
      <c r="U380" s="1">
        <v>0</v>
      </c>
      <c r="V380" s="1">
        <v>2640000</v>
      </c>
      <c r="W380" s="1">
        <v>0</v>
      </c>
      <c r="X380" s="1">
        <v>8050909</v>
      </c>
      <c r="Y380" s="1">
        <v>3483871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1598598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52310353</v>
      </c>
      <c r="AS380" s="1">
        <v>19796821</v>
      </c>
      <c r="AT380" s="1">
        <v>32513532</v>
      </c>
      <c r="AU380" s="1">
        <v>9422351</v>
      </c>
      <c r="AV380" s="1">
        <v>1413353</v>
      </c>
      <c r="AW380" s="1">
        <f t="shared" si="35"/>
        <v>63146057</v>
      </c>
    </row>
    <row r="381" spans="1:49" x14ac:dyDescent="0.2">
      <c r="A381" s="1" t="str">
        <f>"00443"</f>
        <v>00443</v>
      </c>
      <c r="B381" s="1" t="str">
        <f>"امير"</f>
        <v>امير</v>
      </c>
      <c r="C381" s="1" t="str">
        <f>"مرادي"</f>
        <v>مرادي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28497945</v>
      </c>
      <c r="G381" s="1">
        <v>0</v>
      </c>
      <c r="H381" s="1">
        <v>0</v>
      </c>
      <c r="I381" s="1">
        <v>0</v>
      </c>
      <c r="J381" s="1">
        <v>0</v>
      </c>
      <c r="K381" s="1">
        <v>23592779</v>
      </c>
      <c r="L381" s="1">
        <v>0</v>
      </c>
      <c r="M381" s="1">
        <v>5500000</v>
      </c>
      <c r="N381" s="1">
        <v>0</v>
      </c>
      <c r="O381" s="1">
        <v>1000000</v>
      </c>
      <c r="P381" s="1">
        <v>4601819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1848000</v>
      </c>
      <c r="W381" s="1">
        <v>0</v>
      </c>
      <c r="X381" s="1">
        <v>18058216</v>
      </c>
      <c r="Y381" s="1">
        <v>4000000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3615715</v>
      </c>
      <c r="AH381" s="1">
        <v>1835427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6574026</v>
      </c>
      <c r="AO381" s="1">
        <v>0</v>
      </c>
      <c r="AP381" s="1">
        <v>0</v>
      </c>
      <c r="AQ381" s="1">
        <v>0</v>
      </c>
      <c r="AR381" s="1">
        <v>99123927</v>
      </c>
      <c r="AS381" s="1">
        <v>41060056</v>
      </c>
      <c r="AT381" s="1">
        <v>58063871</v>
      </c>
      <c r="AU381" s="1">
        <v>19457700</v>
      </c>
      <c r="AV381" s="1">
        <v>2918655</v>
      </c>
      <c r="AW381" s="1">
        <f t="shared" si="35"/>
        <v>121500282</v>
      </c>
    </row>
    <row r="382" spans="1:49" x14ac:dyDescent="0.2">
      <c r="A382" s="1" t="str">
        <f>"00444"</f>
        <v>00444</v>
      </c>
      <c r="B382" s="1" t="str">
        <f>"علي"</f>
        <v>علي</v>
      </c>
      <c r="C382" s="1" t="str">
        <f>"حسن زاده"</f>
        <v>حسن زاده</v>
      </c>
      <c r="D382" s="1" t="str">
        <f>"قراردادي کارگري"</f>
        <v>قراردادي کارگري</v>
      </c>
      <c r="E382" s="1" t="str">
        <f>"پروژه تعميرات نيروگاه بوشهر"</f>
        <v>پروژه تعميرات نيروگاه بوشهر</v>
      </c>
      <c r="F382" s="1">
        <v>0</v>
      </c>
      <c r="G382" s="1">
        <v>8178775</v>
      </c>
      <c r="H382" s="1">
        <v>4171175</v>
      </c>
      <c r="I382" s="1">
        <v>7892034</v>
      </c>
      <c r="J382" s="1">
        <v>0</v>
      </c>
      <c r="K382" s="1">
        <v>9015464</v>
      </c>
      <c r="L382" s="1">
        <v>0</v>
      </c>
      <c r="M382" s="1">
        <v>0</v>
      </c>
      <c r="N382" s="1">
        <v>11521166</v>
      </c>
      <c r="O382" s="1">
        <v>2000000</v>
      </c>
      <c r="P382" s="1">
        <v>6543020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2640000</v>
      </c>
      <c r="W382" s="1">
        <v>0</v>
      </c>
      <c r="X382" s="1">
        <v>11407401</v>
      </c>
      <c r="Y382" s="1">
        <v>4000000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3670854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71039889</v>
      </c>
      <c r="AS382" s="1">
        <v>27372289</v>
      </c>
      <c r="AT382" s="1">
        <v>43667600</v>
      </c>
      <c r="AU382" s="1">
        <v>13473807</v>
      </c>
      <c r="AV382" s="1">
        <v>2021071</v>
      </c>
      <c r="AW382" s="1">
        <f t="shared" si="35"/>
        <v>86534767</v>
      </c>
    </row>
    <row r="383" spans="1:49" x14ac:dyDescent="0.2">
      <c r="A383" s="1" t="str">
        <f>"00448"</f>
        <v>00448</v>
      </c>
      <c r="B383" s="1" t="str">
        <f>"اکبر"</f>
        <v>اکبر</v>
      </c>
      <c r="C383" s="1" t="str">
        <f>"آجامي"</f>
        <v>آجامي</v>
      </c>
      <c r="D383" s="1" t="str">
        <f t="shared" ref="D383:D414" si="41">"قراردادي بهره بردار"</f>
        <v>قراردادي بهره بردار</v>
      </c>
      <c r="E383" s="1" t="str">
        <f>"پروژه بهره برداري نيروگاه بوشهر"</f>
        <v>پروژه بهره برداري نيروگاه بوشهر</v>
      </c>
      <c r="F383" s="1">
        <v>18609823</v>
      </c>
      <c r="G383" s="1">
        <v>0</v>
      </c>
      <c r="H383" s="1">
        <v>0</v>
      </c>
      <c r="I383" s="1">
        <v>8354155</v>
      </c>
      <c r="J383" s="1">
        <v>0</v>
      </c>
      <c r="K383" s="1">
        <v>17843007</v>
      </c>
      <c r="L383" s="1">
        <v>0</v>
      </c>
      <c r="M383" s="1">
        <v>4620000</v>
      </c>
      <c r="N383" s="1">
        <v>0</v>
      </c>
      <c r="O383" s="1">
        <v>1000000</v>
      </c>
      <c r="P383" s="1">
        <v>3612502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1848000</v>
      </c>
      <c r="W383" s="1">
        <v>0</v>
      </c>
      <c r="X383" s="1">
        <v>13836266</v>
      </c>
      <c r="Y383" s="1">
        <v>4000000</v>
      </c>
      <c r="Z383" s="1">
        <v>2701426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2838395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17253953</v>
      </c>
      <c r="AO383" s="1">
        <v>0</v>
      </c>
      <c r="AP383" s="1">
        <v>0</v>
      </c>
      <c r="AQ383" s="1">
        <v>0</v>
      </c>
      <c r="AR383" s="1">
        <v>96517527</v>
      </c>
      <c r="AS383" s="1">
        <v>38588431</v>
      </c>
      <c r="AT383" s="1">
        <v>57929096</v>
      </c>
      <c r="AU383" s="1">
        <v>19303505</v>
      </c>
      <c r="AV383" s="1">
        <v>2895526</v>
      </c>
      <c r="AW383" s="1">
        <f t="shared" si="35"/>
        <v>118716558</v>
      </c>
    </row>
    <row r="384" spans="1:49" x14ac:dyDescent="0.2">
      <c r="A384" s="1" t="str">
        <f>"00449"</f>
        <v>00449</v>
      </c>
      <c r="B384" s="1" t="str">
        <f>"حميدرضا"</f>
        <v>حميدرضا</v>
      </c>
      <c r="C384" s="1" t="str">
        <f>"احمدي خرم"</f>
        <v>احمدي خرم</v>
      </c>
      <c r="D384" s="1" t="str">
        <f t="shared" si="41"/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15357450</v>
      </c>
      <c r="G384" s="1">
        <v>0</v>
      </c>
      <c r="H384" s="1">
        <v>0</v>
      </c>
      <c r="I384" s="1">
        <v>767972</v>
      </c>
      <c r="J384" s="1">
        <v>0</v>
      </c>
      <c r="K384" s="1">
        <v>11622744</v>
      </c>
      <c r="L384" s="1">
        <v>0</v>
      </c>
      <c r="M384" s="1">
        <v>4620000</v>
      </c>
      <c r="N384" s="1">
        <v>0</v>
      </c>
      <c r="O384" s="1">
        <v>1000000</v>
      </c>
      <c r="P384" s="1">
        <v>2751921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1848000</v>
      </c>
      <c r="W384" s="1">
        <v>0</v>
      </c>
      <c r="X384" s="1">
        <v>14404309</v>
      </c>
      <c r="Y384" s="1">
        <v>4000000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2162223</v>
      </c>
      <c r="AH384" s="1">
        <v>1835427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8117631</v>
      </c>
      <c r="AO384" s="1">
        <v>0</v>
      </c>
      <c r="AP384" s="1">
        <v>0</v>
      </c>
      <c r="AQ384" s="1">
        <v>0</v>
      </c>
      <c r="AR384" s="1">
        <v>68487677</v>
      </c>
      <c r="AS384" s="1">
        <v>9450261</v>
      </c>
      <c r="AT384" s="1">
        <v>59037416</v>
      </c>
      <c r="AU384" s="1">
        <v>13330450</v>
      </c>
      <c r="AV384" s="1">
        <v>1999568</v>
      </c>
      <c r="AW384" s="1">
        <f t="shared" si="35"/>
        <v>83817695</v>
      </c>
    </row>
    <row r="385" spans="1:49" x14ac:dyDescent="0.2">
      <c r="A385" s="1" t="str">
        <f>"00450"</f>
        <v>00450</v>
      </c>
      <c r="B385" s="1" t="str">
        <f>"سيدابراهيم"</f>
        <v>سيدابراهيم</v>
      </c>
      <c r="C385" s="1" t="str">
        <f>"اعلايي خانقاه سادات"</f>
        <v>اعلايي خانقاه سادات</v>
      </c>
      <c r="D385" s="1" t="str">
        <f t="shared" si="41"/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22834633</v>
      </c>
      <c r="G385" s="1">
        <v>0</v>
      </c>
      <c r="H385" s="1">
        <v>0</v>
      </c>
      <c r="I385" s="1">
        <v>7070678</v>
      </c>
      <c r="J385" s="1">
        <v>0</v>
      </c>
      <c r="K385" s="1">
        <v>20142905</v>
      </c>
      <c r="L385" s="1">
        <v>0</v>
      </c>
      <c r="M385" s="1">
        <v>5500000</v>
      </c>
      <c r="N385" s="1">
        <v>0</v>
      </c>
      <c r="O385" s="1">
        <v>1000000</v>
      </c>
      <c r="P385" s="1">
        <v>4130086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23711832</v>
      </c>
      <c r="Y385" s="1">
        <v>4000000</v>
      </c>
      <c r="Z385" s="1">
        <v>3314705</v>
      </c>
      <c r="AA385" s="1">
        <v>0</v>
      </c>
      <c r="AB385" s="1">
        <v>0</v>
      </c>
      <c r="AC385" s="1">
        <v>0</v>
      </c>
      <c r="AD385" s="1">
        <v>0</v>
      </c>
      <c r="AE385" s="1">
        <v>4459102</v>
      </c>
      <c r="AF385" s="1">
        <v>0</v>
      </c>
      <c r="AG385" s="1">
        <v>3245068</v>
      </c>
      <c r="AH385" s="1">
        <v>3670854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21677987</v>
      </c>
      <c r="AO385" s="1">
        <v>0</v>
      </c>
      <c r="AP385" s="1">
        <v>0</v>
      </c>
      <c r="AQ385" s="1">
        <v>0</v>
      </c>
      <c r="AR385" s="1">
        <v>124757850</v>
      </c>
      <c r="AS385" s="1">
        <v>52789911</v>
      </c>
      <c r="AT385" s="1">
        <v>71967939</v>
      </c>
      <c r="AU385" s="1">
        <v>24217399</v>
      </c>
      <c r="AV385" s="1">
        <v>3632610</v>
      </c>
      <c r="AW385" s="1">
        <f t="shared" si="35"/>
        <v>152607859</v>
      </c>
    </row>
    <row r="386" spans="1:49" x14ac:dyDescent="0.2">
      <c r="A386" s="1" t="str">
        <f>"00451"</f>
        <v>00451</v>
      </c>
      <c r="B386" s="1" t="str">
        <f>"محمدمهدي"</f>
        <v>محمدمهدي</v>
      </c>
      <c r="C386" s="1" t="str">
        <f>"افشاري"</f>
        <v>افشاري</v>
      </c>
      <c r="D386" s="1" t="str">
        <f t="shared" si="41"/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17833889</v>
      </c>
      <c r="G386" s="1">
        <v>0</v>
      </c>
      <c r="H386" s="1">
        <v>0</v>
      </c>
      <c r="I386" s="1">
        <v>367123</v>
      </c>
      <c r="J386" s="1">
        <v>0</v>
      </c>
      <c r="K386" s="1">
        <v>13210556</v>
      </c>
      <c r="L386" s="1">
        <v>0</v>
      </c>
      <c r="M386" s="1">
        <v>4620000</v>
      </c>
      <c r="N386" s="1">
        <v>0</v>
      </c>
      <c r="O386" s="1">
        <v>1000000</v>
      </c>
      <c r="P386" s="1">
        <v>3340926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1848000</v>
      </c>
      <c r="W386" s="1">
        <v>0</v>
      </c>
      <c r="X386" s="1">
        <v>9728542</v>
      </c>
      <c r="Y386" s="1">
        <v>4000000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2625013</v>
      </c>
      <c r="AH386" s="1">
        <v>1835427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5287626</v>
      </c>
      <c r="AO386" s="1">
        <v>0</v>
      </c>
      <c r="AP386" s="1">
        <v>0</v>
      </c>
      <c r="AQ386" s="1">
        <v>0</v>
      </c>
      <c r="AR386" s="1">
        <v>65697102</v>
      </c>
      <c r="AS386" s="1">
        <v>27339778</v>
      </c>
      <c r="AT386" s="1">
        <v>38357324</v>
      </c>
      <c r="AU386" s="1">
        <v>12772335</v>
      </c>
      <c r="AV386" s="1">
        <v>1915850</v>
      </c>
      <c r="AW386" s="1">
        <f t="shared" si="35"/>
        <v>80385287</v>
      </c>
    </row>
    <row r="387" spans="1:49" x14ac:dyDescent="0.2">
      <c r="A387" s="1" t="str">
        <f>"00452"</f>
        <v>00452</v>
      </c>
      <c r="B387" s="1" t="str">
        <f>"محمدرضا"</f>
        <v>محمدرضا</v>
      </c>
      <c r="C387" s="1" t="str">
        <f>"اکبرپور"</f>
        <v>اکبرپور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16962222</v>
      </c>
      <c r="G387" s="1">
        <v>0</v>
      </c>
      <c r="H387" s="1">
        <v>0</v>
      </c>
      <c r="I387" s="1">
        <v>7123968</v>
      </c>
      <c r="J387" s="1">
        <v>0</v>
      </c>
      <c r="K387" s="1">
        <v>16268051</v>
      </c>
      <c r="L387" s="1">
        <v>0</v>
      </c>
      <c r="M387" s="1">
        <v>-4620000</v>
      </c>
      <c r="N387" s="1">
        <v>0</v>
      </c>
      <c r="O387" s="1">
        <v>1000000</v>
      </c>
      <c r="P387" s="1">
        <v>3313591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1848000</v>
      </c>
      <c r="W387" s="1">
        <v>0</v>
      </c>
      <c r="X387" s="1">
        <v>12585402</v>
      </c>
      <c r="Y387" s="1">
        <v>4000000</v>
      </c>
      <c r="Z387" s="1">
        <v>2462258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2603536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15571738</v>
      </c>
      <c r="AO387" s="1">
        <v>0</v>
      </c>
      <c r="AP387" s="1">
        <v>0</v>
      </c>
      <c r="AQ387" s="1">
        <v>0</v>
      </c>
      <c r="AR387" s="1">
        <v>79118766</v>
      </c>
      <c r="AS387" s="1">
        <v>35796685</v>
      </c>
      <c r="AT387" s="1">
        <v>43322081</v>
      </c>
      <c r="AU387" s="1">
        <v>15823753</v>
      </c>
      <c r="AV387" s="1">
        <v>2373563</v>
      </c>
      <c r="AW387" s="1">
        <f t="shared" ref="AW387:AW450" si="42">AR387+AU387+AV387</f>
        <v>97316082</v>
      </c>
    </row>
    <row r="388" spans="1:49" x14ac:dyDescent="0.2">
      <c r="A388" s="1" t="str">
        <f>"00453"</f>
        <v>00453</v>
      </c>
      <c r="B388" s="1" t="str">
        <f>"رضا"</f>
        <v>رضا</v>
      </c>
      <c r="C388" s="1" t="str">
        <f>"اوجي نيا"</f>
        <v>اوجي نيا</v>
      </c>
      <c r="D388" s="1" t="str">
        <f t="shared" si="41"/>
        <v>قراردادي بهره بردار</v>
      </c>
      <c r="E388" s="1" t="str">
        <f>"پروژه تعميرات نيروگاه بوشهر"</f>
        <v>پروژه تعميرات نيروگاه بوشهر</v>
      </c>
      <c r="F388" s="1">
        <v>23255351</v>
      </c>
      <c r="G388" s="1">
        <v>0</v>
      </c>
      <c r="H388" s="1">
        <v>0</v>
      </c>
      <c r="I388" s="1">
        <v>0</v>
      </c>
      <c r="J388" s="1">
        <v>0</v>
      </c>
      <c r="K388" s="1">
        <v>18752215</v>
      </c>
      <c r="L388" s="1">
        <v>0</v>
      </c>
      <c r="M388" s="1">
        <v>5500000</v>
      </c>
      <c r="N388" s="1">
        <v>0</v>
      </c>
      <c r="O388" s="1">
        <v>1000000</v>
      </c>
      <c r="P388" s="1">
        <v>3840874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1848000</v>
      </c>
      <c r="W388" s="1">
        <v>0</v>
      </c>
      <c r="X388" s="1">
        <v>14342020</v>
      </c>
      <c r="Y388" s="1">
        <v>4000000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3017829</v>
      </c>
      <c r="AH388" s="1">
        <v>0</v>
      </c>
      <c r="AI388" s="1">
        <v>0</v>
      </c>
      <c r="AJ388" s="1">
        <v>0</v>
      </c>
      <c r="AK388" s="1">
        <v>5000000</v>
      </c>
      <c r="AL388" s="1">
        <v>0</v>
      </c>
      <c r="AM388" s="1">
        <v>0</v>
      </c>
      <c r="AN388" s="1">
        <v>6295345</v>
      </c>
      <c r="AO388" s="1">
        <v>0</v>
      </c>
      <c r="AP388" s="1">
        <v>0</v>
      </c>
      <c r="AQ388" s="1">
        <v>0</v>
      </c>
      <c r="AR388" s="1">
        <v>86851634</v>
      </c>
      <c r="AS388" s="1">
        <v>28033022</v>
      </c>
      <c r="AT388" s="1">
        <v>58818612</v>
      </c>
      <c r="AU388" s="1">
        <v>16370327</v>
      </c>
      <c r="AV388" s="1">
        <v>2455549</v>
      </c>
      <c r="AW388" s="1">
        <f t="shared" si="42"/>
        <v>105677510</v>
      </c>
    </row>
    <row r="389" spans="1:49" x14ac:dyDescent="0.2">
      <c r="A389" s="1" t="str">
        <f>"00454"</f>
        <v>00454</v>
      </c>
      <c r="B389" s="1" t="str">
        <f>"مهرداد"</f>
        <v>مهرداد</v>
      </c>
      <c r="C389" s="1" t="str">
        <f>"بازياري"</f>
        <v>بازياري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17904428</v>
      </c>
      <c r="G389" s="1">
        <v>0</v>
      </c>
      <c r="H389" s="1">
        <v>0</v>
      </c>
      <c r="I389" s="1">
        <v>3659258</v>
      </c>
      <c r="J389" s="1">
        <v>0</v>
      </c>
      <c r="K389" s="1">
        <v>14765033</v>
      </c>
      <c r="L389" s="1">
        <v>0</v>
      </c>
      <c r="M389" s="1">
        <v>4620000</v>
      </c>
      <c r="N389" s="1">
        <v>0</v>
      </c>
      <c r="O389" s="1">
        <v>1000000</v>
      </c>
      <c r="P389" s="1">
        <v>3365614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1848000</v>
      </c>
      <c r="W389" s="1">
        <v>0</v>
      </c>
      <c r="X389" s="1">
        <v>12121026</v>
      </c>
      <c r="Y389" s="1">
        <v>4000000</v>
      </c>
      <c r="Z389" s="1">
        <v>2599030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2644412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14020626</v>
      </c>
      <c r="AO389" s="1">
        <v>0</v>
      </c>
      <c r="AP389" s="1">
        <v>0</v>
      </c>
      <c r="AQ389" s="1">
        <v>0</v>
      </c>
      <c r="AR389" s="1">
        <v>82547427</v>
      </c>
      <c r="AS389" s="1">
        <v>37622334</v>
      </c>
      <c r="AT389" s="1">
        <v>44925093</v>
      </c>
      <c r="AU389" s="1">
        <v>16509485</v>
      </c>
      <c r="AV389" s="1">
        <v>2476423</v>
      </c>
      <c r="AW389" s="1">
        <f t="shared" si="42"/>
        <v>101533335</v>
      </c>
    </row>
    <row r="390" spans="1:49" x14ac:dyDescent="0.2">
      <c r="A390" s="1" t="str">
        <f>"00455"</f>
        <v>00455</v>
      </c>
      <c r="B390" s="1" t="str">
        <f>"سعيد"</f>
        <v>سعيد</v>
      </c>
      <c r="C390" s="1" t="str">
        <f>"بزرگي"</f>
        <v>بزرگي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22036026</v>
      </c>
      <c r="G390" s="1">
        <v>0</v>
      </c>
      <c r="H390" s="1">
        <v>0</v>
      </c>
      <c r="I390" s="1">
        <v>3928025</v>
      </c>
      <c r="J390" s="1">
        <v>0</v>
      </c>
      <c r="K390" s="1">
        <v>16727135</v>
      </c>
      <c r="L390" s="1">
        <v>0</v>
      </c>
      <c r="M390" s="1">
        <v>5500000</v>
      </c>
      <c r="N390" s="1">
        <v>0</v>
      </c>
      <c r="O390" s="1">
        <v>1000000</v>
      </c>
      <c r="P390" s="1">
        <v>3850573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1848000</v>
      </c>
      <c r="W390" s="1">
        <v>0</v>
      </c>
      <c r="X390" s="1">
        <v>17944192</v>
      </c>
      <c r="Y390" s="1">
        <v>4000000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3025450</v>
      </c>
      <c r="AH390" s="1">
        <v>1835427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5998777</v>
      </c>
      <c r="AO390" s="1">
        <v>0</v>
      </c>
      <c r="AP390" s="1">
        <v>0</v>
      </c>
      <c r="AQ390" s="1">
        <v>0</v>
      </c>
      <c r="AR390" s="1">
        <v>87693605</v>
      </c>
      <c r="AS390" s="1">
        <v>20699379</v>
      </c>
      <c r="AT390" s="1">
        <v>66994226</v>
      </c>
      <c r="AU390" s="1">
        <v>17171636</v>
      </c>
      <c r="AV390" s="1">
        <v>2575745</v>
      </c>
      <c r="AW390" s="1">
        <f t="shared" si="42"/>
        <v>107440986</v>
      </c>
    </row>
    <row r="391" spans="1:49" x14ac:dyDescent="0.2">
      <c r="A391" s="1" t="str">
        <f>"00456"</f>
        <v>00456</v>
      </c>
      <c r="B391" s="1" t="str">
        <f>"محمد"</f>
        <v>محمد</v>
      </c>
      <c r="C391" s="1" t="str">
        <f>"پرويني"</f>
        <v>پرويني</v>
      </c>
      <c r="D391" s="1" t="str">
        <f t="shared" si="41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18045507</v>
      </c>
      <c r="G391" s="1">
        <v>0</v>
      </c>
      <c r="H391" s="1">
        <v>0</v>
      </c>
      <c r="I391" s="1">
        <v>8400143</v>
      </c>
      <c r="J391" s="1">
        <v>0</v>
      </c>
      <c r="K391" s="1">
        <v>15546885</v>
      </c>
      <c r="L391" s="1">
        <v>0</v>
      </c>
      <c r="M391" s="1">
        <v>4620000</v>
      </c>
      <c r="N391" s="1">
        <v>0</v>
      </c>
      <c r="O391" s="1">
        <v>1000000</v>
      </c>
      <c r="P391" s="1">
        <v>3414992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1848000</v>
      </c>
      <c r="W391" s="1">
        <v>0</v>
      </c>
      <c r="X391" s="1">
        <v>12366606</v>
      </c>
      <c r="Y391" s="1">
        <v>4000000</v>
      </c>
      <c r="Z391" s="1">
        <v>2619509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2683208</v>
      </c>
      <c r="AH391" s="1">
        <v>1835427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14077259</v>
      </c>
      <c r="AO391" s="1">
        <v>0</v>
      </c>
      <c r="AP391" s="1">
        <v>0</v>
      </c>
      <c r="AQ391" s="1">
        <v>0</v>
      </c>
      <c r="AR391" s="1">
        <v>90457536</v>
      </c>
      <c r="AS391" s="1">
        <v>25376089</v>
      </c>
      <c r="AT391" s="1">
        <v>65081447</v>
      </c>
      <c r="AU391" s="1">
        <v>17724422</v>
      </c>
      <c r="AV391" s="1">
        <v>2658663</v>
      </c>
      <c r="AW391" s="1">
        <f t="shared" si="42"/>
        <v>110840621</v>
      </c>
    </row>
    <row r="392" spans="1:49" x14ac:dyDescent="0.2">
      <c r="A392" s="1" t="str">
        <f>"00457"</f>
        <v>00457</v>
      </c>
      <c r="B392" s="1" t="str">
        <f>"محمد امين"</f>
        <v>محمد امين</v>
      </c>
      <c r="C392" s="1" t="str">
        <f>"پريسوز"</f>
        <v>پريسوز</v>
      </c>
      <c r="D392" s="1" t="str">
        <f t="shared" si="41"/>
        <v>قراردادي بهره بردار</v>
      </c>
      <c r="E392" s="1" t="str">
        <f>"پروژه تعميرات نيروگاه بوشهر"</f>
        <v>پروژه تعميرات نيروگاه بوشهر</v>
      </c>
      <c r="F392" s="1">
        <v>15800841</v>
      </c>
      <c r="G392" s="1">
        <v>0</v>
      </c>
      <c r="H392" s="1">
        <v>0</v>
      </c>
      <c r="I392" s="1">
        <v>0</v>
      </c>
      <c r="J392" s="1">
        <v>0</v>
      </c>
      <c r="K392" s="1">
        <v>8349966</v>
      </c>
      <c r="L392" s="1">
        <v>0</v>
      </c>
      <c r="M392" s="1">
        <v>4620000</v>
      </c>
      <c r="N392" s="1">
        <v>0</v>
      </c>
      <c r="O392" s="1">
        <v>1000000</v>
      </c>
      <c r="P392" s="1">
        <v>2907108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1848000</v>
      </c>
      <c r="W392" s="1">
        <v>0</v>
      </c>
      <c r="X392" s="1">
        <v>9100588</v>
      </c>
      <c r="Y392" s="1">
        <v>4000000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2284156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10225703</v>
      </c>
      <c r="AO392" s="1">
        <v>0</v>
      </c>
      <c r="AP392" s="1">
        <v>0</v>
      </c>
      <c r="AQ392" s="1">
        <v>0</v>
      </c>
      <c r="AR392" s="1">
        <v>60136362</v>
      </c>
      <c r="AS392" s="1">
        <v>30067773</v>
      </c>
      <c r="AT392" s="1">
        <v>30068589</v>
      </c>
      <c r="AU392" s="1">
        <v>12027272</v>
      </c>
      <c r="AV392" s="1">
        <v>1804091</v>
      </c>
      <c r="AW392" s="1">
        <f t="shared" si="42"/>
        <v>73967725</v>
      </c>
    </row>
    <row r="393" spans="1:49" x14ac:dyDescent="0.2">
      <c r="A393" s="1" t="str">
        <f>"00458"</f>
        <v>00458</v>
      </c>
      <c r="B393" s="1" t="str">
        <f>"سعيد"</f>
        <v>سعيد</v>
      </c>
      <c r="C393" s="1" t="str">
        <f>"پولادي"</f>
        <v>پولادي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16851375</v>
      </c>
      <c r="G393" s="1">
        <v>0</v>
      </c>
      <c r="H393" s="1">
        <v>0</v>
      </c>
      <c r="I393" s="1">
        <v>3995142</v>
      </c>
      <c r="J393" s="1">
        <v>0</v>
      </c>
      <c r="K393" s="1">
        <v>14115404</v>
      </c>
      <c r="L393" s="1">
        <v>0</v>
      </c>
      <c r="M393" s="1">
        <v>4620000</v>
      </c>
      <c r="N393" s="1">
        <v>0</v>
      </c>
      <c r="O393" s="1">
        <v>1000000</v>
      </c>
      <c r="P393" s="1">
        <v>3274795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1848000</v>
      </c>
      <c r="W393" s="1">
        <v>0</v>
      </c>
      <c r="X393" s="1">
        <v>21367189</v>
      </c>
      <c r="Y393" s="1">
        <v>4000000</v>
      </c>
      <c r="Z393" s="1">
        <v>2446167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2573053</v>
      </c>
      <c r="AH393" s="1">
        <v>3670854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12589280</v>
      </c>
      <c r="AO393" s="1">
        <v>0</v>
      </c>
      <c r="AP393" s="1">
        <v>0</v>
      </c>
      <c r="AQ393" s="1">
        <v>0</v>
      </c>
      <c r="AR393" s="1">
        <v>92351259</v>
      </c>
      <c r="AS393" s="1">
        <v>37227265</v>
      </c>
      <c r="AT393" s="1">
        <v>55123994</v>
      </c>
      <c r="AU393" s="1">
        <v>17736081</v>
      </c>
      <c r="AV393" s="1">
        <v>2660412</v>
      </c>
      <c r="AW393" s="1">
        <f t="shared" si="42"/>
        <v>112747752</v>
      </c>
    </row>
    <row r="394" spans="1:49" x14ac:dyDescent="0.2">
      <c r="A394" s="1" t="str">
        <f>"00459"</f>
        <v>00459</v>
      </c>
      <c r="B394" s="1" t="str">
        <f>"بهنام"</f>
        <v>بهنام</v>
      </c>
      <c r="C394" s="1" t="str">
        <f>"تنگستاني"</f>
        <v>تنگستاني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16561659</v>
      </c>
      <c r="G394" s="1">
        <v>0</v>
      </c>
      <c r="H394" s="1">
        <v>0</v>
      </c>
      <c r="I394" s="1">
        <v>0</v>
      </c>
      <c r="J394" s="1">
        <v>0</v>
      </c>
      <c r="K394" s="1">
        <v>13745501</v>
      </c>
      <c r="L394" s="1">
        <v>0</v>
      </c>
      <c r="M394" s="1">
        <v>3465000</v>
      </c>
      <c r="N394" s="1">
        <v>0</v>
      </c>
      <c r="O394" s="1">
        <v>1000000</v>
      </c>
      <c r="P394" s="1">
        <v>3173395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1848000</v>
      </c>
      <c r="W394" s="1">
        <v>0</v>
      </c>
      <c r="X394" s="1">
        <v>19301679</v>
      </c>
      <c r="Y394" s="1">
        <v>4000000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2493382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7893518</v>
      </c>
      <c r="AO394" s="1">
        <v>0</v>
      </c>
      <c r="AP394" s="1">
        <v>0</v>
      </c>
      <c r="AQ394" s="1">
        <v>0</v>
      </c>
      <c r="AR394" s="1">
        <v>73482134</v>
      </c>
      <c r="AS394" s="1">
        <v>25997352</v>
      </c>
      <c r="AT394" s="1">
        <v>47484782</v>
      </c>
      <c r="AU394" s="1">
        <v>14696427</v>
      </c>
      <c r="AV394" s="1">
        <v>2204464</v>
      </c>
      <c r="AW394" s="1">
        <f t="shared" si="42"/>
        <v>90383025</v>
      </c>
    </row>
    <row r="395" spans="1:49" x14ac:dyDescent="0.2">
      <c r="A395" s="1" t="str">
        <f>"00460"</f>
        <v>00460</v>
      </c>
      <c r="B395" s="1" t="str">
        <f>"مجيد"</f>
        <v>مجيد</v>
      </c>
      <c r="C395" s="1" t="str">
        <f>"جعفري"</f>
        <v>جعفري</v>
      </c>
      <c r="D395" s="1" t="str">
        <f t="shared" si="41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16549063</v>
      </c>
      <c r="G395" s="1">
        <v>0</v>
      </c>
      <c r="H395" s="1">
        <v>0</v>
      </c>
      <c r="I395" s="1">
        <v>0</v>
      </c>
      <c r="J395" s="1">
        <v>0</v>
      </c>
      <c r="K395" s="1">
        <v>14040602</v>
      </c>
      <c r="L395" s="1">
        <v>0</v>
      </c>
      <c r="M395" s="1">
        <v>4620000</v>
      </c>
      <c r="N395" s="1">
        <v>0</v>
      </c>
      <c r="O395" s="1">
        <v>1000000</v>
      </c>
      <c r="P395" s="1">
        <v>3168985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1848000</v>
      </c>
      <c r="W395" s="1">
        <v>0</v>
      </c>
      <c r="X395" s="1">
        <v>15824654</v>
      </c>
      <c r="Y395" s="1">
        <v>4000000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2489917</v>
      </c>
      <c r="AH395" s="1">
        <v>1835427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7106650</v>
      </c>
      <c r="AO395" s="1">
        <v>0</v>
      </c>
      <c r="AP395" s="1">
        <v>0</v>
      </c>
      <c r="AQ395" s="1">
        <v>0</v>
      </c>
      <c r="AR395" s="1">
        <v>72483298</v>
      </c>
      <c r="AS395" s="1">
        <v>42470778</v>
      </c>
      <c r="AT395" s="1">
        <v>30012520</v>
      </c>
      <c r="AU395" s="1">
        <v>14129574</v>
      </c>
      <c r="AV395" s="1">
        <v>2119436</v>
      </c>
      <c r="AW395" s="1">
        <f t="shared" si="42"/>
        <v>88732308</v>
      </c>
    </row>
    <row r="396" spans="1:49" x14ac:dyDescent="0.2">
      <c r="A396" s="1" t="str">
        <f>"00461"</f>
        <v>00461</v>
      </c>
      <c r="B396" s="1" t="str">
        <f>"علي اکبر"</f>
        <v>علي اکبر</v>
      </c>
      <c r="C396" s="1" t="str">
        <f>"جعفري"</f>
        <v>جعفري</v>
      </c>
      <c r="D396" s="1" t="str">
        <f t="shared" si="41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18032911</v>
      </c>
      <c r="G396" s="1">
        <v>0</v>
      </c>
      <c r="H396" s="1">
        <v>0</v>
      </c>
      <c r="I396" s="1">
        <v>8243549</v>
      </c>
      <c r="J396" s="1">
        <v>0</v>
      </c>
      <c r="K396" s="1">
        <v>15077647</v>
      </c>
      <c r="L396" s="1">
        <v>0</v>
      </c>
      <c r="M396" s="1">
        <v>4620000</v>
      </c>
      <c r="N396" s="1">
        <v>0</v>
      </c>
      <c r="O396" s="1">
        <v>1000000</v>
      </c>
      <c r="P396" s="1">
        <v>3410583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1848000</v>
      </c>
      <c r="W396" s="1">
        <v>0</v>
      </c>
      <c r="X396" s="1">
        <v>12136070</v>
      </c>
      <c r="Y396" s="1">
        <v>4000000</v>
      </c>
      <c r="Z396" s="1">
        <v>2617681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2679744</v>
      </c>
      <c r="AH396" s="1">
        <v>1835427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13564639</v>
      </c>
      <c r="AO396" s="1">
        <v>0</v>
      </c>
      <c r="AP396" s="1">
        <v>0</v>
      </c>
      <c r="AQ396" s="1">
        <v>0</v>
      </c>
      <c r="AR396" s="1">
        <v>89066251</v>
      </c>
      <c r="AS396" s="1">
        <v>23792539</v>
      </c>
      <c r="AT396" s="1">
        <v>65273712</v>
      </c>
      <c r="AU396" s="1">
        <v>17446165</v>
      </c>
      <c r="AV396" s="1">
        <v>2616925</v>
      </c>
      <c r="AW396" s="1">
        <f t="shared" si="42"/>
        <v>109129341</v>
      </c>
    </row>
    <row r="397" spans="1:49" x14ac:dyDescent="0.2">
      <c r="A397" s="1" t="str">
        <f>"00462"</f>
        <v>00462</v>
      </c>
      <c r="B397" s="1" t="str">
        <f>"سلمان"</f>
        <v>سلمان</v>
      </c>
      <c r="C397" s="1" t="str">
        <f>"حسين زاده"</f>
        <v>حسين زاده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18970078</v>
      </c>
      <c r="G397" s="1">
        <v>0</v>
      </c>
      <c r="H397" s="1">
        <v>0</v>
      </c>
      <c r="I397" s="1">
        <v>3220273</v>
      </c>
      <c r="J397" s="1">
        <v>0</v>
      </c>
      <c r="K397" s="1">
        <v>16559184</v>
      </c>
      <c r="L397" s="1">
        <v>0</v>
      </c>
      <c r="M397" s="1">
        <v>4620000</v>
      </c>
      <c r="N397" s="1">
        <v>0</v>
      </c>
      <c r="O397" s="1">
        <v>1000000</v>
      </c>
      <c r="P397" s="1">
        <v>3738592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1848000</v>
      </c>
      <c r="W397" s="1">
        <v>0</v>
      </c>
      <c r="X397" s="1">
        <v>19404450</v>
      </c>
      <c r="Y397" s="1">
        <v>4000000</v>
      </c>
      <c r="Z397" s="1">
        <v>2753721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2937465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14450009</v>
      </c>
      <c r="AO397" s="1">
        <v>0</v>
      </c>
      <c r="AP397" s="1">
        <v>0</v>
      </c>
      <c r="AQ397" s="1">
        <v>0</v>
      </c>
      <c r="AR397" s="1">
        <v>93501772</v>
      </c>
      <c r="AS397" s="1">
        <v>16046222</v>
      </c>
      <c r="AT397" s="1">
        <v>77455550</v>
      </c>
      <c r="AU397" s="1">
        <v>18700354</v>
      </c>
      <c r="AV397" s="1">
        <v>2805053</v>
      </c>
      <c r="AW397" s="1">
        <f t="shared" si="42"/>
        <v>115007179</v>
      </c>
    </row>
    <row r="398" spans="1:49" x14ac:dyDescent="0.2">
      <c r="A398" s="1" t="str">
        <f>"00463"</f>
        <v>00463</v>
      </c>
      <c r="B398" s="1" t="str">
        <f>"حامد"</f>
        <v>حامد</v>
      </c>
      <c r="C398" s="1" t="str">
        <f>"حسيني فانيد"</f>
        <v>حسيني فانيد</v>
      </c>
      <c r="D398" s="1" t="str">
        <f t="shared" si="41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17738157</v>
      </c>
      <c r="G398" s="1">
        <v>0</v>
      </c>
      <c r="H398" s="1">
        <v>0</v>
      </c>
      <c r="I398" s="1">
        <v>0</v>
      </c>
      <c r="J398" s="1">
        <v>0</v>
      </c>
      <c r="K398" s="1">
        <v>14947850</v>
      </c>
      <c r="L398" s="1">
        <v>0</v>
      </c>
      <c r="M398" s="1">
        <v>4620000</v>
      </c>
      <c r="N398" s="1">
        <v>0</v>
      </c>
      <c r="O398" s="1">
        <v>1000000</v>
      </c>
      <c r="P398" s="1">
        <v>3307419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1848000</v>
      </c>
      <c r="W398" s="1">
        <v>0</v>
      </c>
      <c r="X398" s="1">
        <v>16717528</v>
      </c>
      <c r="Y398" s="1">
        <v>4000000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2598687</v>
      </c>
      <c r="AH398" s="1">
        <v>1835427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7209335</v>
      </c>
      <c r="AO398" s="1">
        <v>0</v>
      </c>
      <c r="AP398" s="1">
        <v>0</v>
      </c>
      <c r="AQ398" s="1">
        <v>0</v>
      </c>
      <c r="AR398" s="1">
        <v>75822403</v>
      </c>
      <c r="AS398" s="1">
        <v>34643593</v>
      </c>
      <c r="AT398" s="1">
        <v>41178810</v>
      </c>
      <c r="AU398" s="1">
        <v>14797395</v>
      </c>
      <c r="AV398" s="1">
        <v>2219609</v>
      </c>
      <c r="AW398" s="1">
        <f t="shared" si="42"/>
        <v>92839407</v>
      </c>
    </row>
    <row r="399" spans="1:49" x14ac:dyDescent="0.2">
      <c r="A399" s="1" t="str">
        <f>"00465"</f>
        <v>00465</v>
      </c>
      <c r="B399" s="1" t="str">
        <f>"سيد محمد هادي"</f>
        <v>سيد محمد هادي</v>
      </c>
      <c r="C399" s="1" t="str">
        <f>"خرازيان"</f>
        <v>خرازيان</v>
      </c>
      <c r="D399" s="1" t="str">
        <f t="shared" si="41"/>
        <v>قراردادي بهره بردار</v>
      </c>
      <c r="E399" s="1" t="str">
        <f t="shared" ref="E399:E416" si="43">"پروژه بهره برداري نيروگاه بوشهر"</f>
        <v>پروژه بهره برداري نيروگاه بوشهر</v>
      </c>
      <c r="F399" s="1">
        <v>18068181</v>
      </c>
      <c r="G399" s="1">
        <v>0</v>
      </c>
      <c r="H399" s="1">
        <v>0</v>
      </c>
      <c r="I399" s="1">
        <v>3995687</v>
      </c>
      <c r="J399" s="1">
        <v>0</v>
      </c>
      <c r="K399" s="1">
        <v>14214690</v>
      </c>
      <c r="L399" s="1">
        <v>0</v>
      </c>
      <c r="M399" s="1">
        <v>4620000</v>
      </c>
      <c r="N399" s="1">
        <v>0</v>
      </c>
      <c r="O399" s="1">
        <v>1000000</v>
      </c>
      <c r="P399" s="1">
        <v>3422928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1848000</v>
      </c>
      <c r="W399" s="1">
        <v>0</v>
      </c>
      <c r="X399" s="1">
        <v>11764821</v>
      </c>
      <c r="Y399" s="1">
        <v>4000000</v>
      </c>
      <c r="Z399" s="1">
        <v>2622800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2689443</v>
      </c>
      <c r="AH399" s="1">
        <v>1835427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12756156</v>
      </c>
      <c r="AO399" s="1">
        <v>0</v>
      </c>
      <c r="AP399" s="1">
        <v>0</v>
      </c>
      <c r="AQ399" s="1">
        <v>0</v>
      </c>
      <c r="AR399" s="1">
        <v>82838133</v>
      </c>
      <c r="AS399" s="1">
        <v>17811965</v>
      </c>
      <c r="AT399" s="1">
        <v>65026168</v>
      </c>
      <c r="AU399" s="1">
        <v>16200541</v>
      </c>
      <c r="AV399" s="1">
        <v>2430081</v>
      </c>
      <c r="AW399" s="1">
        <f t="shared" si="42"/>
        <v>101468755</v>
      </c>
    </row>
    <row r="400" spans="1:49" x14ac:dyDescent="0.2">
      <c r="A400" s="1" t="str">
        <f>"00466"</f>
        <v>00466</v>
      </c>
      <c r="B400" s="1" t="str">
        <f>"عباس"</f>
        <v>عباس</v>
      </c>
      <c r="C400" s="1" t="str">
        <f>"خوش صوت"</f>
        <v>خوش صوت</v>
      </c>
      <c r="D400" s="1" t="str">
        <f t="shared" si="41"/>
        <v>قراردادي بهره بردار</v>
      </c>
      <c r="E400" s="1" t="str">
        <f t="shared" si="43"/>
        <v>پروژه بهره برداري نيروگاه بوشهر</v>
      </c>
      <c r="F400" s="1">
        <v>16881606</v>
      </c>
      <c r="G400" s="1">
        <v>0</v>
      </c>
      <c r="H400" s="1">
        <v>0</v>
      </c>
      <c r="I400" s="1">
        <v>2643493</v>
      </c>
      <c r="J400" s="1">
        <v>0</v>
      </c>
      <c r="K400" s="1">
        <v>13837246</v>
      </c>
      <c r="L400" s="1">
        <v>0</v>
      </c>
      <c r="M400" s="1">
        <v>4620000</v>
      </c>
      <c r="N400" s="1">
        <v>0</v>
      </c>
      <c r="O400" s="1">
        <v>1000000</v>
      </c>
      <c r="P400" s="1">
        <v>3285376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1848000</v>
      </c>
      <c r="W400" s="1">
        <v>0</v>
      </c>
      <c r="X400" s="1">
        <v>10007289</v>
      </c>
      <c r="Y400" s="1">
        <v>4000000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2581367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6924355</v>
      </c>
      <c r="AO400" s="1">
        <v>0</v>
      </c>
      <c r="AP400" s="1">
        <v>0</v>
      </c>
      <c r="AQ400" s="1">
        <v>0</v>
      </c>
      <c r="AR400" s="1">
        <v>67628732</v>
      </c>
      <c r="AS400" s="1">
        <v>31230320</v>
      </c>
      <c r="AT400" s="1">
        <v>36398412</v>
      </c>
      <c r="AU400" s="1">
        <v>13525746</v>
      </c>
      <c r="AV400" s="1">
        <v>2028862</v>
      </c>
      <c r="AW400" s="1">
        <f t="shared" si="42"/>
        <v>83183340</v>
      </c>
    </row>
    <row r="401" spans="1:49" x14ac:dyDescent="0.2">
      <c r="A401" s="1" t="str">
        <f>"00467"</f>
        <v>00467</v>
      </c>
      <c r="B401" s="1" t="str">
        <f>"سعيد"</f>
        <v>سعيد</v>
      </c>
      <c r="C401" s="1" t="str">
        <f>"داروئي"</f>
        <v>داروئي</v>
      </c>
      <c r="D401" s="1" t="str">
        <f t="shared" si="41"/>
        <v>قراردادي بهره بردار</v>
      </c>
      <c r="E401" s="1" t="str">
        <f t="shared" si="43"/>
        <v>پروژه بهره برداري نيروگاه بوشهر</v>
      </c>
      <c r="F401" s="1">
        <v>19688069</v>
      </c>
      <c r="G401" s="1">
        <v>0</v>
      </c>
      <c r="H401" s="1">
        <v>0</v>
      </c>
      <c r="I401" s="1">
        <v>0</v>
      </c>
      <c r="J401" s="1">
        <v>0</v>
      </c>
      <c r="K401" s="1">
        <v>17271831</v>
      </c>
      <c r="L401" s="1">
        <v>0</v>
      </c>
      <c r="M401" s="1">
        <v>4620000</v>
      </c>
      <c r="N401" s="1">
        <v>0</v>
      </c>
      <c r="O401" s="1">
        <v>1000000</v>
      </c>
      <c r="P401" s="1">
        <v>3989889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1848000</v>
      </c>
      <c r="W401" s="1">
        <v>0</v>
      </c>
      <c r="X401" s="1">
        <v>12291199</v>
      </c>
      <c r="Y401" s="1">
        <v>4000000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3134912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9355297</v>
      </c>
      <c r="AO401" s="1">
        <v>0</v>
      </c>
      <c r="AP401" s="1">
        <v>0</v>
      </c>
      <c r="AQ401" s="1">
        <v>0</v>
      </c>
      <c r="AR401" s="1">
        <v>77199197</v>
      </c>
      <c r="AS401" s="1">
        <v>36458339</v>
      </c>
      <c r="AT401" s="1">
        <v>40740858</v>
      </c>
      <c r="AU401" s="1">
        <v>15439839</v>
      </c>
      <c r="AV401" s="1">
        <v>2315976</v>
      </c>
      <c r="AW401" s="1">
        <f t="shared" si="42"/>
        <v>94955012</v>
      </c>
    </row>
    <row r="402" spans="1:49" x14ac:dyDescent="0.2">
      <c r="A402" s="1" t="str">
        <f>"00469"</f>
        <v>00469</v>
      </c>
      <c r="B402" s="1" t="str">
        <f>"سعيد"</f>
        <v>سعيد</v>
      </c>
      <c r="C402" s="1" t="str">
        <f>"رستمي خليل اللهي"</f>
        <v>رستمي خليل اللهي</v>
      </c>
      <c r="D402" s="1" t="str">
        <f t="shared" si="41"/>
        <v>قراردادي بهره بردار</v>
      </c>
      <c r="E402" s="1" t="str">
        <f t="shared" si="43"/>
        <v>پروژه بهره برداري نيروگاه بوشهر</v>
      </c>
      <c r="F402" s="1">
        <v>16619602</v>
      </c>
      <c r="G402" s="1">
        <v>0</v>
      </c>
      <c r="H402" s="1">
        <v>0</v>
      </c>
      <c r="I402" s="1">
        <v>3318998</v>
      </c>
      <c r="J402" s="1">
        <v>0</v>
      </c>
      <c r="K402" s="1">
        <v>13407996</v>
      </c>
      <c r="L402" s="1">
        <v>0</v>
      </c>
      <c r="M402" s="1">
        <v>4620000</v>
      </c>
      <c r="N402" s="1">
        <v>0</v>
      </c>
      <c r="O402" s="1">
        <v>1000000</v>
      </c>
      <c r="P402" s="1">
        <v>3193675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1848000</v>
      </c>
      <c r="W402" s="1">
        <v>0</v>
      </c>
      <c r="X402" s="1">
        <v>10993940</v>
      </c>
      <c r="Y402" s="1">
        <v>4000000</v>
      </c>
      <c r="Z402" s="1">
        <v>2412523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2509316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12069151</v>
      </c>
      <c r="AO402" s="1">
        <v>0</v>
      </c>
      <c r="AP402" s="1">
        <v>0</v>
      </c>
      <c r="AQ402" s="1">
        <v>0</v>
      </c>
      <c r="AR402" s="1">
        <v>75993201</v>
      </c>
      <c r="AS402" s="1">
        <v>38185236</v>
      </c>
      <c r="AT402" s="1">
        <v>37807965</v>
      </c>
      <c r="AU402" s="1">
        <v>15198640</v>
      </c>
      <c r="AV402" s="1">
        <v>2279796</v>
      </c>
      <c r="AW402" s="1">
        <f t="shared" si="42"/>
        <v>93471637</v>
      </c>
    </row>
    <row r="403" spans="1:49" x14ac:dyDescent="0.2">
      <c r="A403" s="1" t="str">
        <f>"00470"</f>
        <v>00470</v>
      </c>
      <c r="B403" s="1" t="str">
        <f>"غلامحسين"</f>
        <v>غلامحسين</v>
      </c>
      <c r="C403" s="1" t="str">
        <f>"رضازاده"</f>
        <v>رضازاده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17408133</v>
      </c>
      <c r="G403" s="1">
        <v>0</v>
      </c>
      <c r="H403" s="1">
        <v>0</v>
      </c>
      <c r="I403" s="1">
        <v>8091726</v>
      </c>
      <c r="J403" s="1">
        <v>0</v>
      </c>
      <c r="K403" s="1">
        <v>14731346</v>
      </c>
      <c r="L403" s="1">
        <v>0</v>
      </c>
      <c r="M403" s="1">
        <v>3465000</v>
      </c>
      <c r="N403" s="1">
        <v>0</v>
      </c>
      <c r="O403" s="1">
        <v>1000000</v>
      </c>
      <c r="P403" s="1">
        <v>3469661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1848000</v>
      </c>
      <c r="W403" s="1">
        <v>0</v>
      </c>
      <c r="X403" s="1">
        <v>11912557</v>
      </c>
      <c r="Y403" s="1">
        <v>4000000</v>
      </c>
      <c r="Z403" s="1">
        <v>1348621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2726162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13458427</v>
      </c>
      <c r="AO403" s="1">
        <v>0</v>
      </c>
      <c r="AP403" s="1">
        <v>0</v>
      </c>
      <c r="AQ403" s="1">
        <v>0</v>
      </c>
      <c r="AR403" s="1">
        <v>83459633</v>
      </c>
      <c r="AS403" s="1">
        <v>34649664</v>
      </c>
      <c r="AT403" s="1">
        <v>48809969</v>
      </c>
      <c r="AU403" s="1">
        <v>16691927</v>
      </c>
      <c r="AV403" s="1">
        <v>2503789</v>
      </c>
      <c r="AW403" s="1">
        <f t="shared" si="42"/>
        <v>102655349</v>
      </c>
    </row>
    <row r="404" spans="1:49" x14ac:dyDescent="0.2">
      <c r="A404" s="1" t="str">
        <f>"00471"</f>
        <v>00471</v>
      </c>
      <c r="B404" s="1" t="str">
        <f>"سالار"</f>
        <v>سالار</v>
      </c>
      <c r="C404" s="1" t="str">
        <f>"رضائي شورباخورلو"</f>
        <v>رضائي شورباخورلو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16783355</v>
      </c>
      <c r="G404" s="1">
        <v>0</v>
      </c>
      <c r="H404" s="1">
        <v>0</v>
      </c>
      <c r="I404" s="1">
        <v>3925181</v>
      </c>
      <c r="J404" s="1">
        <v>0</v>
      </c>
      <c r="K404" s="1">
        <v>15253671</v>
      </c>
      <c r="L404" s="1">
        <v>0</v>
      </c>
      <c r="M404" s="1">
        <v>4620000</v>
      </c>
      <c r="N404" s="1">
        <v>0</v>
      </c>
      <c r="O404" s="1">
        <v>1000000</v>
      </c>
      <c r="P404" s="1">
        <v>3250988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1848000</v>
      </c>
      <c r="W404" s="1">
        <v>0</v>
      </c>
      <c r="X404" s="1">
        <v>18405469</v>
      </c>
      <c r="Y404" s="1">
        <v>4000000</v>
      </c>
      <c r="Z404" s="1">
        <v>2436293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2554347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13283942</v>
      </c>
      <c r="AO404" s="1">
        <v>0</v>
      </c>
      <c r="AP404" s="1">
        <v>0</v>
      </c>
      <c r="AQ404" s="1">
        <v>0</v>
      </c>
      <c r="AR404" s="1">
        <v>87361246</v>
      </c>
      <c r="AS404" s="1">
        <v>35013188</v>
      </c>
      <c r="AT404" s="1">
        <v>52348058</v>
      </c>
      <c r="AU404" s="1">
        <v>17472249</v>
      </c>
      <c r="AV404" s="1">
        <v>2620837</v>
      </c>
      <c r="AW404" s="1">
        <f t="shared" si="42"/>
        <v>107454332</v>
      </c>
    </row>
    <row r="405" spans="1:49" x14ac:dyDescent="0.2">
      <c r="A405" s="1" t="str">
        <f>"00472"</f>
        <v>00472</v>
      </c>
      <c r="B405" s="1" t="str">
        <f>"حسن"</f>
        <v>حسن</v>
      </c>
      <c r="C405" s="1" t="str">
        <f>"رهبان"</f>
        <v>رهبان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15241563</v>
      </c>
      <c r="G405" s="1">
        <v>0</v>
      </c>
      <c r="H405" s="1">
        <v>0</v>
      </c>
      <c r="I405" s="1">
        <v>6631179</v>
      </c>
      <c r="J405" s="1">
        <v>0</v>
      </c>
      <c r="K405" s="1">
        <v>12295267</v>
      </c>
      <c r="L405" s="1">
        <v>0</v>
      </c>
      <c r="M405" s="1">
        <v>4620000</v>
      </c>
      <c r="N405" s="1">
        <v>0</v>
      </c>
      <c r="O405" s="1">
        <v>1000000</v>
      </c>
      <c r="P405" s="1">
        <v>2711361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1848000</v>
      </c>
      <c r="W405" s="1">
        <v>0</v>
      </c>
      <c r="X405" s="1">
        <v>19142705</v>
      </c>
      <c r="Y405" s="1">
        <v>4000000</v>
      </c>
      <c r="Z405" s="1">
        <v>1326236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2130355</v>
      </c>
      <c r="AH405" s="1">
        <v>1835427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11127601</v>
      </c>
      <c r="AO405" s="1">
        <v>0</v>
      </c>
      <c r="AP405" s="1">
        <v>0</v>
      </c>
      <c r="AQ405" s="1">
        <v>0</v>
      </c>
      <c r="AR405" s="1">
        <v>83909694</v>
      </c>
      <c r="AS405" s="1">
        <v>31651947</v>
      </c>
      <c r="AT405" s="1">
        <v>52257747</v>
      </c>
      <c r="AU405" s="1">
        <v>16414853</v>
      </c>
      <c r="AV405" s="1">
        <v>2462228</v>
      </c>
      <c r="AW405" s="1">
        <f t="shared" si="42"/>
        <v>102786775</v>
      </c>
    </row>
    <row r="406" spans="1:49" x14ac:dyDescent="0.2">
      <c r="A406" s="1" t="str">
        <f>"00473"</f>
        <v>00473</v>
      </c>
      <c r="B406" s="1" t="str">
        <f>"مجيد"</f>
        <v>مجيد</v>
      </c>
      <c r="C406" s="1" t="str">
        <f>"رياحين"</f>
        <v>رياحين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17062993</v>
      </c>
      <c r="G406" s="1">
        <v>0</v>
      </c>
      <c r="H406" s="1">
        <v>0</v>
      </c>
      <c r="I406" s="1">
        <v>7776442</v>
      </c>
      <c r="J406" s="1">
        <v>0</v>
      </c>
      <c r="K406" s="1">
        <v>14623602</v>
      </c>
      <c r="L406" s="1">
        <v>0</v>
      </c>
      <c r="M406" s="1">
        <v>4620000</v>
      </c>
      <c r="N406" s="1">
        <v>0</v>
      </c>
      <c r="O406" s="1">
        <v>1000000</v>
      </c>
      <c r="P406" s="1">
        <v>3348861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1848000</v>
      </c>
      <c r="W406" s="1">
        <v>0</v>
      </c>
      <c r="X406" s="1">
        <v>16598456</v>
      </c>
      <c r="Y406" s="1">
        <v>4000000</v>
      </c>
      <c r="Z406" s="1">
        <v>2476886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2631248</v>
      </c>
      <c r="AH406" s="1">
        <v>1835427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14611898</v>
      </c>
      <c r="AO406" s="1">
        <v>0</v>
      </c>
      <c r="AP406" s="1">
        <v>0</v>
      </c>
      <c r="AQ406" s="1">
        <v>0</v>
      </c>
      <c r="AR406" s="1">
        <v>92433813</v>
      </c>
      <c r="AS406" s="1">
        <v>39476961</v>
      </c>
      <c r="AT406" s="1">
        <v>52956852</v>
      </c>
      <c r="AU406" s="1">
        <v>18119677</v>
      </c>
      <c r="AV406" s="1">
        <v>2717952</v>
      </c>
      <c r="AW406" s="1">
        <f t="shared" si="42"/>
        <v>113271442</v>
      </c>
    </row>
    <row r="407" spans="1:49" x14ac:dyDescent="0.2">
      <c r="A407" s="1" t="str">
        <f>"00474"</f>
        <v>00474</v>
      </c>
      <c r="B407" s="1" t="str">
        <f>"سيدمجتبي"</f>
        <v>سيدمجتبي</v>
      </c>
      <c r="C407" s="1" t="str">
        <f>"سادات حسيني گروه"</f>
        <v>سادات حسيني گروه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16921914</v>
      </c>
      <c r="G407" s="1">
        <v>0</v>
      </c>
      <c r="H407" s="1">
        <v>0</v>
      </c>
      <c r="I407" s="1">
        <v>6857320</v>
      </c>
      <c r="J407" s="1">
        <v>0</v>
      </c>
      <c r="K407" s="1">
        <v>13913923</v>
      </c>
      <c r="L407" s="1">
        <v>0</v>
      </c>
      <c r="M407" s="1">
        <v>4620000</v>
      </c>
      <c r="N407" s="1">
        <v>0</v>
      </c>
      <c r="O407" s="1">
        <v>1000000</v>
      </c>
      <c r="P407" s="1">
        <v>3299484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1848000</v>
      </c>
      <c r="W407" s="1">
        <v>0</v>
      </c>
      <c r="X407" s="1">
        <v>11357188</v>
      </c>
      <c r="Y407" s="1">
        <v>4000000</v>
      </c>
      <c r="Z407" s="1">
        <v>2142913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2592451</v>
      </c>
      <c r="AH407" s="1">
        <v>1835427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12651304</v>
      </c>
      <c r="AO407" s="1">
        <v>0</v>
      </c>
      <c r="AP407" s="1">
        <v>0</v>
      </c>
      <c r="AQ407" s="1">
        <v>0</v>
      </c>
      <c r="AR407" s="1">
        <v>83039924</v>
      </c>
      <c r="AS407" s="1">
        <v>16662841</v>
      </c>
      <c r="AT407" s="1">
        <v>66377083</v>
      </c>
      <c r="AU407" s="1">
        <v>16240899</v>
      </c>
      <c r="AV407" s="1">
        <v>2436135</v>
      </c>
      <c r="AW407" s="1">
        <f t="shared" si="42"/>
        <v>101716958</v>
      </c>
    </row>
    <row r="408" spans="1:49" x14ac:dyDescent="0.2">
      <c r="A408" s="1" t="str">
        <f>"00475"</f>
        <v>00475</v>
      </c>
      <c r="B408" s="1" t="str">
        <f>"عليرضا"</f>
        <v>عليرضا</v>
      </c>
      <c r="C408" s="1" t="str">
        <f>"سترگ"</f>
        <v>سترگ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21431402</v>
      </c>
      <c r="G408" s="1">
        <v>0</v>
      </c>
      <c r="H408" s="1">
        <v>0</v>
      </c>
      <c r="I408" s="1">
        <v>3461959</v>
      </c>
      <c r="J408" s="1">
        <v>0</v>
      </c>
      <c r="K408" s="1">
        <v>17107401</v>
      </c>
      <c r="L408" s="1">
        <v>0</v>
      </c>
      <c r="M408" s="1">
        <v>5500000</v>
      </c>
      <c r="N408" s="1">
        <v>0</v>
      </c>
      <c r="O408" s="1">
        <v>1000000</v>
      </c>
      <c r="P408" s="1">
        <v>3638955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1848000</v>
      </c>
      <c r="W408" s="1">
        <v>0</v>
      </c>
      <c r="X408" s="1">
        <v>24687421</v>
      </c>
      <c r="Y408" s="1">
        <v>4000000</v>
      </c>
      <c r="Z408" s="1">
        <v>3111010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2859179</v>
      </c>
      <c r="AH408" s="1">
        <v>1835427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12043808</v>
      </c>
      <c r="AO408" s="1">
        <v>0</v>
      </c>
      <c r="AP408" s="1">
        <v>0</v>
      </c>
      <c r="AQ408" s="1">
        <v>0</v>
      </c>
      <c r="AR408" s="1">
        <v>102524562</v>
      </c>
      <c r="AS408" s="1">
        <v>18577287</v>
      </c>
      <c r="AT408" s="1">
        <v>83947275</v>
      </c>
      <c r="AU408" s="1">
        <v>20137827</v>
      </c>
      <c r="AV408" s="1">
        <v>3020674</v>
      </c>
      <c r="AW408" s="1">
        <f t="shared" si="42"/>
        <v>125683063</v>
      </c>
    </row>
    <row r="409" spans="1:49" x14ac:dyDescent="0.2">
      <c r="A409" s="1" t="str">
        <f>"00476"</f>
        <v>00476</v>
      </c>
      <c r="B409" s="1" t="str">
        <f>"ابراهيم"</f>
        <v>ابراهيم</v>
      </c>
      <c r="C409" s="1" t="str">
        <f>"سملي"</f>
        <v>سملي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17017646</v>
      </c>
      <c r="G409" s="1">
        <v>0</v>
      </c>
      <c r="H409" s="1">
        <v>0</v>
      </c>
      <c r="I409" s="1">
        <v>7287655</v>
      </c>
      <c r="J409" s="1">
        <v>0</v>
      </c>
      <c r="K409" s="1">
        <v>13726202</v>
      </c>
      <c r="L409" s="1">
        <v>0</v>
      </c>
      <c r="M409" s="1">
        <v>4620000</v>
      </c>
      <c r="N409" s="1">
        <v>0</v>
      </c>
      <c r="O409" s="1">
        <v>1000000</v>
      </c>
      <c r="P409" s="1">
        <v>3332990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1848000</v>
      </c>
      <c r="W409" s="1">
        <v>0</v>
      </c>
      <c r="X409" s="1">
        <v>11359920</v>
      </c>
      <c r="Y409" s="1">
        <v>4000000</v>
      </c>
      <c r="Z409" s="1">
        <v>2470304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2618778</v>
      </c>
      <c r="AH409" s="1">
        <v>1835427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12695340</v>
      </c>
      <c r="AO409" s="1">
        <v>0</v>
      </c>
      <c r="AP409" s="1">
        <v>0</v>
      </c>
      <c r="AQ409" s="1">
        <v>0</v>
      </c>
      <c r="AR409" s="1">
        <v>83812262</v>
      </c>
      <c r="AS409" s="1">
        <v>13673767</v>
      </c>
      <c r="AT409" s="1">
        <v>70138495</v>
      </c>
      <c r="AU409" s="1">
        <v>16395367</v>
      </c>
      <c r="AV409" s="1">
        <v>2459305</v>
      </c>
      <c r="AW409" s="1">
        <f t="shared" si="42"/>
        <v>102666934</v>
      </c>
    </row>
    <row r="410" spans="1:49" x14ac:dyDescent="0.2">
      <c r="A410" s="1" t="str">
        <f>"00477"</f>
        <v>00477</v>
      </c>
      <c r="B410" s="1" t="str">
        <f>"احسان"</f>
        <v>احسان</v>
      </c>
      <c r="C410" s="1" t="str">
        <f>"سيفي علمي"</f>
        <v>سيفي علمي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16372714</v>
      </c>
      <c r="G410" s="1">
        <v>0</v>
      </c>
      <c r="H410" s="1">
        <v>0</v>
      </c>
      <c r="I410" s="1">
        <v>7296194</v>
      </c>
      <c r="J410" s="1">
        <v>0</v>
      </c>
      <c r="K410" s="1">
        <v>13000057</v>
      </c>
      <c r="L410" s="1">
        <v>0</v>
      </c>
      <c r="M410" s="1">
        <v>4620000</v>
      </c>
      <c r="N410" s="1">
        <v>0</v>
      </c>
      <c r="O410" s="1">
        <v>1000000</v>
      </c>
      <c r="P410" s="1">
        <v>3107263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1848000</v>
      </c>
      <c r="W410" s="1">
        <v>0</v>
      </c>
      <c r="X410" s="1">
        <v>16117115</v>
      </c>
      <c r="Y410" s="1">
        <v>4000000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2441422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6404480</v>
      </c>
      <c r="AO410" s="1">
        <v>0</v>
      </c>
      <c r="AP410" s="1">
        <v>0</v>
      </c>
      <c r="AQ410" s="1">
        <v>0</v>
      </c>
      <c r="AR410" s="1">
        <v>76207245</v>
      </c>
      <c r="AS410" s="1">
        <v>27433787</v>
      </c>
      <c r="AT410" s="1">
        <v>48773458</v>
      </c>
      <c r="AU410" s="1">
        <v>15241449</v>
      </c>
      <c r="AV410" s="1">
        <v>2286217</v>
      </c>
      <c r="AW410" s="1">
        <f t="shared" si="42"/>
        <v>93734911</v>
      </c>
    </row>
    <row r="411" spans="1:49" x14ac:dyDescent="0.2">
      <c r="A411" s="1" t="str">
        <f>"00478"</f>
        <v>00478</v>
      </c>
      <c r="B411" s="1" t="str">
        <f>"حامد"</f>
        <v>حامد</v>
      </c>
      <c r="C411" s="1" t="str">
        <f>"شاد"</f>
        <v>شاد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17062993</v>
      </c>
      <c r="G411" s="1">
        <v>0</v>
      </c>
      <c r="H411" s="1">
        <v>0</v>
      </c>
      <c r="I411" s="1">
        <v>4389215</v>
      </c>
      <c r="J411" s="1">
        <v>0</v>
      </c>
      <c r="K411" s="1">
        <v>14805101</v>
      </c>
      <c r="L411" s="1">
        <v>0</v>
      </c>
      <c r="M411" s="1">
        <v>4620000</v>
      </c>
      <c r="N411" s="1">
        <v>0</v>
      </c>
      <c r="O411" s="1">
        <v>1000000</v>
      </c>
      <c r="P411" s="1">
        <v>3348861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1848000</v>
      </c>
      <c r="W411" s="1">
        <v>0</v>
      </c>
      <c r="X411" s="1">
        <v>17632109</v>
      </c>
      <c r="Y411" s="1">
        <v>4000000</v>
      </c>
      <c r="Z411" s="1">
        <v>2476886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2631248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13632407</v>
      </c>
      <c r="AO411" s="1">
        <v>0</v>
      </c>
      <c r="AP411" s="1">
        <v>0</v>
      </c>
      <c r="AQ411" s="1">
        <v>0</v>
      </c>
      <c r="AR411" s="1">
        <v>87446820</v>
      </c>
      <c r="AS411" s="1">
        <v>29045366</v>
      </c>
      <c r="AT411" s="1">
        <v>58401454</v>
      </c>
      <c r="AU411" s="1">
        <v>17489364</v>
      </c>
      <c r="AV411" s="1">
        <v>2623405</v>
      </c>
      <c r="AW411" s="1">
        <f t="shared" si="42"/>
        <v>107559589</v>
      </c>
    </row>
    <row r="412" spans="1:49" x14ac:dyDescent="0.2">
      <c r="A412" s="1" t="str">
        <f>"00479"</f>
        <v>00479</v>
      </c>
      <c r="B412" s="1" t="str">
        <f>"صابر"</f>
        <v>صابر</v>
      </c>
      <c r="C412" s="1" t="str">
        <f>"شباني"</f>
        <v>شباني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16659910</v>
      </c>
      <c r="G412" s="1">
        <v>0</v>
      </c>
      <c r="H412" s="1">
        <v>0</v>
      </c>
      <c r="I412" s="1">
        <v>2166822</v>
      </c>
      <c r="J412" s="1">
        <v>0</v>
      </c>
      <c r="K412" s="1">
        <v>13944702</v>
      </c>
      <c r="L412" s="1">
        <v>0</v>
      </c>
      <c r="M412" s="1">
        <v>0</v>
      </c>
      <c r="N412" s="1">
        <v>0</v>
      </c>
      <c r="O412" s="1">
        <v>1000000</v>
      </c>
      <c r="P412" s="1">
        <v>3207782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1848000</v>
      </c>
      <c r="W412" s="1">
        <v>0</v>
      </c>
      <c r="X412" s="1">
        <v>11483908</v>
      </c>
      <c r="Y412" s="1">
        <v>4000000</v>
      </c>
      <c r="Z412" s="1">
        <v>1300093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2520400</v>
      </c>
      <c r="AH412" s="1">
        <v>1835427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13597238</v>
      </c>
      <c r="AO412" s="1">
        <v>0</v>
      </c>
      <c r="AP412" s="1">
        <v>0</v>
      </c>
      <c r="AQ412" s="1">
        <v>0</v>
      </c>
      <c r="AR412" s="1">
        <v>73564282</v>
      </c>
      <c r="AS412" s="1">
        <v>17235282</v>
      </c>
      <c r="AT412" s="1">
        <v>56329000</v>
      </c>
      <c r="AU412" s="1">
        <v>14345771</v>
      </c>
      <c r="AV412" s="1">
        <v>2151866</v>
      </c>
      <c r="AW412" s="1">
        <f t="shared" si="42"/>
        <v>90061919</v>
      </c>
    </row>
    <row r="413" spans="1:49" x14ac:dyDescent="0.2">
      <c r="A413" s="1" t="str">
        <f>"00480"</f>
        <v>00480</v>
      </c>
      <c r="B413" s="1" t="str">
        <f>"عليرضا"</f>
        <v>عليرضا</v>
      </c>
      <c r="C413" s="1" t="str">
        <f>"شريفي راد"</f>
        <v>شريفي راد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23587894</v>
      </c>
      <c r="G413" s="1">
        <v>0</v>
      </c>
      <c r="H413" s="1">
        <v>0</v>
      </c>
      <c r="I413" s="1">
        <v>0</v>
      </c>
      <c r="J413" s="1">
        <v>0</v>
      </c>
      <c r="K413" s="1">
        <v>18531967</v>
      </c>
      <c r="L413" s="1">
        <v>0</v>
      </c>
      <c r="M413" s="1">
        <v>5500000</v>
      </c>
      <c r="N413" s="1">
        <v>0</v>
      </c>
      <c r="O413" s="1">
        <v>1000000</v>
      </c>
      <c r="P413" s="1">
        <v>3957264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1848000</v>
      </c>
      <c r="W413" s="1">
        <v>0</v>
      </c>
      <c r="X413" s="1">
        <v>19570486</v>
      </c>
      <c r="Y413" s="1">
        <v>4000000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3109279</v>
      </c>
      <c r="AH413" s="1">
        <v>3670854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7131540</v>
      </c>
      <c r="AO413" s="1">
        <v>0</v>
      </c>
      <c r="AP413" s="1">
        <v>0</v>
      </c>
      <c r="AQ413" s="1">
        <v>0</v>
      </c>
      <c r="AR413" s="1">
        <v>91907284</v>
      </c>
      <c r="AS413" s="1">
        <v>13147360</v>
      </c>
      <c r="AT413" s="1">
        <v>78759924</v>
      </c>
      <c r="AU413" s="1">
        <v>17647286</v>
      </c>
      <c r="AV413" s="1">
        <v>2647093</v>
      </c>
      <c r="AW413" s="1">
        <f t="shared" si="42"/>
        <v>112201663</v>
      </c>
    </row>
    <row r="414" spans="1:49" x14ac:dyDescent="0.2">
      <c r="A414" s="1" t="str">
        <f>"00481"</f>
        <v>00481</v>
      </c>
      <c r="B414" s="1" t="str">
        <f>"صادق"</f>
        <v>صادق</v>
      </c>
      <c r="C414" s="1" t="str">
        <f>"شهابي"</f>
        <v>شهابي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17569366</v>
      </c>
      <c r="G414" s="1">
        <v>0</v>
      </c>
      <c r="H414" s="1">
        <v>0</v>
      </c>
      <c r="I414" s="1">
        <v>3026551</v>
      </c>
      <c r="J414" s="1">
        <v>0</v>
      </c>
      <c r="K414" s="1">
        <v>13642701</v>
      </c>
      <c r="L414" s="1">
        <v>0</v>
      </c>
      <c r="M414" s="1">
        <v>4620000</v>
      </c>
      <c r="N414" s="1">
        <v>0</v>
      </c>
      <c r="O414" s="1">
        <v>1000000</v>
      </c>
      <c r="P414" s="1">
        <v>3248342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1848000</v>
      </c>
      <c r="W414" s="1">
        <v>0</v>
      </c>
      <c r="X414" s="1">
        <v>11457408</v>
      </c>
      <c r="Y414" s="1">
        <v>4000000</v>
      </c>
      <c r="Z414" s="1">
        <v>2550392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2552269</v>
      </c>
      <c r="AH414" s="1">
        <v>1835427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12802137</v>
      </c>
      <c r="AO414" s="1">
        <v>0</v>
      </c>
      <c r="AP414" s="1">
        <v>0</v>
      </c>
      <c r="AQ414" s="1">
        <v>0</v>
      </c>
      <c r="AR414" s="1">
        <v>80152593</v>
      </c>
      <c r="AS414" s="1">
        <v>32657155</v>
      </c>
      <c r="AT414" s="1">
        <v>47495438</v>
      </c>
      <c r="AU414" s="1">
        <v>15663433</v>
      </c>
      <c r="AV414" s="1">
        <v>2349515</v>
      </c>
      <c r="AW414" s="1">
        <f t="shared" si="42"/>
        <v>98165541</v>
      </c>
    </row>
    <row r="415" spans="1:49" x14ac:dyDescent="0.2">
      <c r="A415" s="1" t="str">
        <f>"00482"</f>
        <v>00482</v>
      </c>
      <c r="B415" s="1" t="str">
        <f>"مهدي"</f>
        <v>مهدي</v>
      </c>
      <c r="C415" s="1" t="str">
        <f>"صداقت"</f>
        <v>صداقت</v>
      </c>
      <c r="D415" s="1" t="str">
        <f t="shared" ref="D415:D443" si="44">"قراردادي بهره بردار"</f>
        <v>قراردادي بهره بردار</v>
      </c>
      <c r="E415" s="1" t="str">
        <f t="shared" si="43"/>
        <v>پروژه بهره برداري نيروگاه بوشهر</v>
      </c>
      <c r="F415" s="1">
        <v>23058848</v>
      </c>
      <c r="G415" s="1">
        <v>0</v>
      </c>
      <c r="H415" s="1">
        <v>0</v>
      </c>
      <c r="I415" s="1">
        <v>1058108</v>
      </c>
      <c r="J415" s="1">
        <v>0</v>
      </c>
      <c r="K415" s="1">
        <v>17495511</v>
      </c>
      <c r="L415" s="1">
        <v>0</v>
      </c>
      <c r="M415" s="1">
        <v>5500000</v>
      </c>
      <c r="N415" s="1">
        <v>0</v>
      </c>
      <c r="O415" s="1">
        <v>1000000</v>
      </c>
      <c r="P415" s="1">
        <v>3772098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1848000</v>
      </c>
      <c r="W415" s="1">
        <v>0</v>
      </c>
      <c r="X415" s="1">
        <v>22360827</v>
      </c>
      <c r="Y415" s="1">
        <v>4000000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2963791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5323463</v>
      </c>
      <c r="AO415" s="1">
        <v>0</v>
      </c>
      <c r="AP415" s="1">
        <v>0</v>
      </c>
      <c r="AQ415" s="1">
        <v>0</v>
      </c>
      <c r="AR415" s="1">
        <v>88380646</v>
      </c>
      <c r="AS415" s="1">
        <v>33091753</v>
      </c>
      <c r="AT415" s="1">
        <v>55288893</v>
      </c>
      <c r="AU415" s="1">
        <v>17676129</v>
      </c>
      <c r="AV415" s="1">
        <v>2651419</v>
      </c>
      <c r="AW415" s="1">
        <f t="shared" si="42"/>
        <v>108708194</v>
      </c>
    </row>
    <row r="416" spans="1:49" x14ac:dyDescent="0.2">
      <c r="A416" s="1" t="str">
        <f>"00483"</f>
        <v>00483</v>
      </c>
      <c r="B416" s="1" t="str">
        <f>"رضا"</f>
        <v>رضا</v>
      </c>
      <c r="C416" s="1" t="str">
        <f>"عابدي"</f>
        <v>عابدي</v>
      </c>
      <c r="D416" s="1" t="str">
        <f t="shared" si="44"/>
        <v>قراردادي بهره بردار</v>
      </c>
      <c r="E416" s="1" t="str">
        <f t="shared" si="43"/>
        <v>پروژه بهره برداري نيروگاه بوشهر</v>
      </c>
      <c r="F416" s="1">
        <v>21877312</v>
      </c>
      <c r="G416" s="1">
        <v>0</v>
      </c>
      <c r="H416" s="1">
        <v>0</v>
      </c>
      <c r="I416" s="1">
        <v>8148193</v>
      </c>
      <c r="J416" s="1">
        <v>0</v>
      </c>
      <c r="K416" s="1">
        <v>18586513</v>
      </c>
      <c r="L416" s="1">
        <v>0</v>
      </c>
      <c r="M416" s="1">
        <v>5500000</v>
      </c>
      <c r="N416" s="1">
        <v>0</v>
      </c>
      <c r="O416" s="1">
        <v>1000000</v>
      </c>
      <c r="P416" s="1">
        <v>3795023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16609415</v>
      </c>
      <c r="Y416" s="1">
        <v>4000000</v>
      </c>
      <c r="Z416" s="1">
        <v>3175739</v>
      </c>
      <c r="AA416" s="1">
        <v>0</v>
      </c>
      <c r="AB416" s="1">
        <v>0</v>
      </c>
      <c r="AC416" s="1">
        <v>0</v>
      </c>
      <c r="AD416" s="1">
        <v>0</v>
      </c>
      <c r="AE416" s="1">
        <v>4459102</v>
      </c>
      <c r="AF416" s="1">
        <v>0</v>
      </c>
      <c r="AG416" s="1">
        <v>2981804</v>
      </c>
      <c r="AH416" s="1">
        <v>1835427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20515094</v>
      </c>
      <c r="AO416" s="1">
        <v>0</v>
      </c>
      <c r="AP416" s="1">
        <v>0</v>
      </c>
      <c r="AQ416" s="1">
        <v>0</v>
      </c>
      <c r="AR416" s="1">
        <v>112483622</v>
      </c>
      <c r="AS416" s="1">
        <v>48463324</v>
      </c>
      <c r="AT416" s="1">
        <v>64020298</v>
      </c>
      <c r="AU416" s="1">
        <v>22129639</v>
      </c>
      <c r="AV416" s="1">
        <v>3319446</v>
      </c>
      <c r="AW416" s="1">
        <f t="shared" si="42"/>
        <v>137932707</v>
      </c>
    </row>
    <row r="417" spans="1:49" x14ac:dyDescent="0.2">
      <c r="A417" s="1" t="str">
        <f>"00484"</f>
        <v>00484</v>
      </c>
      <c r="B417" s="1" t="str">
        <f>"وحيد"</f>
        <v>وحيد</v>
      </c>
      <c r="C417" s="1" t="str">
        <f>"عدالت"</f>
        <v>عدالت</v>
      </c>
      <c r="D417" s="1" t="str">
        <f t="shared" si="44"/>
        <v>قراردادي بهره بردار</v>
      </c>
      <c r="E417" s="1" t="str">
        <f>"پروژه تعميرات نيروگاه بوشهر"</f>
        <v>پروژه تعميرات نيروگاه بوشهر</v>
      </c>
      <c r="F417" s="1">
        <v>17478672</v>
      </c>
      <c r="G417" s="1">
        <v>0</v>
      </c>
      <c r="H417" s="1">
        <v>0</v>
      </c>
      <c r="I417" s="1">
        <v>0</v>
      </c>
      <c r="J417" s="1">
        <v>0</v>
      </c>
      <c r="K417" s="1">
        <v>14697683</v>
      </c>
      <c r="L417" s="1">
        <v>0</v>
      </c>
      <c r="M417" s="1">
        <v>3465000</v>
      </c>
      <c r="N417" s="1">
        <v>0</v>
      </c>
      <c r="O417" s="1">
        <v>1000000</v>
      </c>
      <c r="P417" s="1">
        <v>3216599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1848000</v>
      </c>
      <c r="W417" s="1">
        <v>0</v>
      </c>
      <c r="X417" s="1">
        <v>16444688</v>
      </c>
      <c r="Y417" s="1">
        <v>4000000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2527329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7133656</v>
      </c>
      <c r="AO417" s="1">
        <v>0</v>
      </c>
      <c r="AP417" s="1">
        <v>0</v>
      </c>
      <c r="AQ417" s="1">
        <v>0</v>
      </c>
      <c r="AR417" s="1">
        <v>71811627</v>
      </c>
      <c r="AS417" s="1">
        <v>30073854</v>
      </c>
      <c r="AT417" s="1">
        <v>41737773</v>
      </c>
      <c r="AU417" s="1">
        <v>14362325</v>
      </c>
      <c r="AV417" s="1">
        <v>2154349</v>
      </c>
      <c r="AW417" s="1">
        <f t="shared" si="42"/>
        <v>88328301</v>
      </c>
    </row>
    <row r="418" spans="1:49" x14ac:dyDescent="0.2">
      <c r="A418" s="1" t="str">
        <f>"00485"</f>
        <v>00485</v>
      </c>
      <c r="B418" s="1" t="str">
        <f>"مرتضي"</f>
        <v>مرتضي</v>
      </c>
      <c r="C418" s="1" t="str">
        <f>"غلامي"</f>
        <v>غلامي</v>
      </c>
      <c r="D418" s="1" t="str">
        <f t="shared" si="44"/>
        <v>قراردادي بهره بردار</v>
      </c>
      <c r="E418" s="1" t="str">
        <f t="shared" ref="E418:E443" si="45">"پروژه بهره برداري نيروگاه بوشهر"</f>
        <v>پروژه بهره برداري نيروگاه بوشهر</v>
      </c>
      <c r="F418" s="1">
        <v>17969929</v>
      </c>
      <c r="G418" s="1">
        <v>0</v>
      </c>
      <c r="H418" s="1">
        <v>0</v>
      </c>
      <c r="I418" s="1">
        <v>15637369</v>
      </c>
      <c r="J418" s="1">
        <v>0</v>
      </c>
      <c r="K418" s="1">
        <v>14905376</v>
      </c>
      <c r="L418" s="1">
        <v>0</v>
      </c>
      <c r="M418" s="1">
        <v>3465000</v>
      </c>
      <c r="N418" s="1">
        <v>0</v>
      </c>
      <c r="O418" s="1">
        <v>1000000</v>
      </c>
      <c r="P418" s="1">
        <v>3388540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1848000</v>
      </c>
      <c r="W418" s="1">
        <v>0</v>
      </c>
      <c r="X418" s="1">
        <v>12187682</v>
      </c>
      <c r="Y418" s="1">
        <v>4000000</v>
      </c>
      <c r="Z418" s="1">
        <v>2608538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2662424</v>
      </c>
      <c r="AH418" s="1">
        <v>5506281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14063655</v>
      </c>
      <c r="AO418" s="1">
        <v>0</v>
      </c>
      <c r="AP418" s="1">
        <v>0</v>
      </c>
      <c r="AQ418" s="1">
        <v>0</v>
      </c>
      <c r="AR418" s="1">
        <v>99242794</v>
      </c>
      <c r="AS418" s="1">
        <v>42257967</v>
      </c>
      <c r="AT418" s="1">
        <v>56984827</v>
      </c>
      <c r="AU418" s="1">
        <v>18747303</v>
      </c>
      <c r="AV418" s="1">
        <v>2812095</v>
      </c>
      <c r="AW418" s="1">
        <f t="shared" si="42"/>
        <v>120802192</v>
      </c>
    </row>
    <row r="419" spans="1:49" x14ac:dyDescent="0.2">
      <c r="A419" s="1" t="str">
        <f>"00486"</f>
        <v>00486</v>
      </c>
      <c r="B419" s="1" t="str">
        <f>"نويد"</f>
        <v>نويد</v>
      </c>
      <c r="C419" s="1" t="str">
        <f>"فلاح"</f>
        <v>فلاح</v>
      </c>
      <c r="D419" s="1" t="str">
        <f t="shared" si="44"/>
        <v>قراردادي بهره بردار</v>
      </c>
      <c r="E419" s="1" t="str">
        <f t="shared" si="45"/>
        <v>پروژه بهره برداري نيروگاه بوشهر</v>
      </c>
      <c r="F419" s="1">
        <v>17871678</v>
      </c>
      <c r="G419" s="1">
        <v>0</v>
      </c>
      <c r="H419" s="1">
        <v>0</v>
      </c>
      <c r="I419" s="1">
        <v>6997452</v>
      </c>
      <c r="J419" s="1">
        <v>0</v>
      </c>
      <c r="K419" s="1">
        <v>15044887</v>
      </c>
      <c r="L419" s="1">
        <v>0</v>
      </c>
      <c r="M419" s="1">
        <v>3465000</v>
      </c>
      <c r="N419" s="1">
        <v>0</v>
      </c>
      <c r="O419" s="1">
        <v>1000000</v>
      </c>
      <c r="P419" s="1">
        <v>3354151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1848000</v>
      </c>
      <c r="W419" s="1">
        <v>0</v>
      </c>
      <c r="X419" s="1">
        <v>17069414</v>
      </c>
      <c r="Y419" s="1">
        <v>4000000</v>
      </c>
      <c r="Z419" s="1">
        <v>1499454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2635405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14855813</v>
      </c>
      <c r="AO419" s="1">
        <v>0</v>
      </c>
      <c r="AP419" s="1">
        <v>0</v>
      </c>
      <c r="AQ419" s="1">
        <v>0</v>
      </c>
      <c r="AR419" s="1">
        <v>89641254</v>
      </c>
      <c r="AS419" s="1">
        <v>41215239</v>
      </c>
      <c r="AT419" s="1">
        <v>48426015</v>
      </c>
      <c r="AU419" s="1">
        <v>17928251</v>
      </c>
      <c r="AV419" s="1">
        <v>2689238</v>
      </c>
      <c r="AW419" s="1">
        <f t="shared" si="42"/>
        <v>110258743</v>
      </c>
    </row>
    <row r="420" spans="1:49" x14ac:dyDescent="0.2">
      <c r="A420" s="1" t="str">
        <f>"00487"</f>
        <v>00487</v>
      </c>
      <c r="B420" s="1" t="str">
        <f>"علي"</f>
        <v>علي</v>
      </c>
      <c r="C420" s="1" t="str">
        <f>"فولادوند"</f>
        <v>فولادوند</v>
      </c>
      <c r="D420" s="1" t="str">
        <f t="shared" si="44"/>
        <v>قراردادي بهره بردار</v>
      </c>
      <c r="E420" s="1" t="str">
        <f t="shared" si="45"/>
        <v>پروژه بهره برداري نيروگاه بوشهر</v>
      </c>
      <c r="F420" s="1">
        <v>18947405</v>
      </c>
      <c r="G420" s="1">
        <v>0</v>
      </c>
      <c r="H420" s="1">
        <v>0</v>
      </c>
      <c r="I420" s="1">
        <v>18556251</v>
      </c>
      <c r="J420" s="1">
        <v>0</v>
      </c>
      <c r="K420" s="1">
        <v>17605088</v>
      </c>
      <c r="L420" s="1">
        <v>0</v>
      </c>
      <c r="M420" s="1">
        <v>4620000</v>
      </c>
      <c r="N420" s="1">
        <v>0</v>
      </c>
      <c r="O420" s="1">
        <v>1000000</v>
      </c>
      <c r="P420" s="1">
        <v>3730656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1848000</v>
      </c>
      <c r="W420" s="1">
        <v>0</v>
      </c>
      <c r="X420" s="1">
        <v>18638805</v>
      </c>
      <c r="Y420" s="1">
        <v>4000000</v>
      </c>
      <c r="Z420" s="1">
        <v>2750430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2931230</v>
      </c>
      <c r="AH420" s="1">
        <v>1835427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15490517</v>
      </c>
      <c r="AO420" s="1">
        <v>0</v>
      </c>
      <c r="AP420" s="1">
        <v>0</v>
      </c>
      <c r="AQ420" s="1">
        <v>0</v>
      </c>
      <c r="AR420" s="1">
        <v>111953809</v>
      </c>
      <c r="AS420" s="1">
        <v>34697924</v>
      </c>
      <c r="AT420" s="1">
        <v>77255885</v>
      </c>
      <c r="AU420" s="1">
        <v>22023676</v>
      </c>
      <c r="AV420" s="1">
        <v>3303551</v>
      </c>
      <c r="AW420" s="1">
        <f t="shared" si="42"/>
        <v>137281036</v>
      </c>
    </row>
    <row r="421" spans="1:49" x14ac:dyDescent="0.2">
      <c r="A421" s="1" t="str">
        <f>"00488"</f>
        <v>00488</v>
      </c>
      <c r="B421" s="1" t="str">
        <f>"حميدرضا"</f>
        <v>حميدرضا</v>
      </c>
      <c r="C421" s="1" t="str">
        <f>"جفره اي"</f>
        <v>جفره اي</v>
      </c>
      <c r="D421" s="1" t="str">
        <f t="shared" si="44"/>
        <v>قراردادي بهره بردار</v>
      </c>
      <c r="E421" s="1" t="str">
        <f t="shared" si="45"/>
        <v>پروژه بهره برداري نيروگاه بوشهر</v>
      </c>
      <c r="F421" s="1">
        <v>16511274</v>
      </c>
      <c r="G421" s="1">
        <v>0</v>
      </c>
      <c r="H421" s="1">
        <v>0</v>
      </c>
      <c r="I421" s="1">
        <v>3262853</v>
      </c>
      <c r="J421" s="1">
        <v>0</v>
      </c>
      <c r="K421" s="1">
        <v>13765664</v>
      </c>
      <c r="L421" s="1">
        <v>0</v>
      </c>
      <c r="M421" s="1">
        <v>4620000</v>
      </c>
      <c r="N421" s="1">
        <v>0</v>
      </c>
      <c r="O421" s="1">
        <v>1000000</v>
      </c>
      <c r="P421" s="1">
        <v>3155760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1848000</v>
      </c>
      <c r="W421" s="1">
        <v>0</v>
      </c>
      <c r="X421" s="1">
        <v>16852310</v>
      </c>
      <c r="Y421" s="1">
        <v>4000000</v>
      </c>
      <c r="Z421" s="1">
        <v>2396798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2479526</v>
      </c>
      <c r="AH421" s="1">
        <v>1835427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13291600</v>
      </c>
      <c r="AO421" s="1">
        <v>0</v>
      </c>
      <c r="AP421" s="1">
        <v>0</v>
      </c>
      <c r="AQ421" s="1">
        <v>0</v>
      </c>
      <c r="AR421" s="1">
        <v>85019212</v>
      </c>
      <c r="AS421" s="1">
        <v>12144900</v>
      </c>
      <c r="AT421" s="1">
        <v>72874312</v>
      </c>
      <c r="AU421" s="1">
        <v>16636757</v>
      </c>
      <c r="AV421" s="1">
        <v>2495514</v>
      </c>
      <c r="AW421" s="1">
        <f t="shared" si="42"/>
        <v>104151483</v>
      </c>
    </row>
    <row r="422" spans="1:49" x14ac:dyDescent="0.2">
      <c r="A422" s="1" t="str">
        <f>"00489"</f>
        <v>00489</v>
      </c>
      <c r="B422" s="1" t="str">
        <f>"ايوب"</f>
        <v>ايوب</v>
      </c>
      <c r="C422" s="1" t="str">
        <f>"قاسمي"</f>
        <v>قاسمي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16669988</v>
      </c>
      <c r="G422" s="1">
        <v>0</v>
      </c>
      <c r="H422" s="1">
        <v>0</v>
      </c>
      <c r="I422" s="1">
        <v>1726757</v>
      </c>
      <c r="J422" s="1">
        <v>0</v>
      </c>
      <c r="K422" s="1">
        <v>13658722</v>
      </c>
      <c r="L422" s="1">
        <v>0</v>
      </c>
      <c r="M422" s="1">
        <v>4620000</v>
      </c>
      <c r="N422" s="1">
        <v>0</v>
      </c>
      <c r="O422" s="1">
        <v>1000000</v>
      </c>
      <c r="P422" s="1">
        <v>3211310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1848000</v>
      </c>
      <c r="W422" s="1">
        <v>0</v>
      </c>
      <c r="X422" s="1">
        <v>11439514</v>
      </c>
      <c r="Y422" s="1">
        <v>4000000</v>
      </c>
      <c r="Z422" s="1">
        <v>863378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2523172</v>
      </c>
      <c r="AH422" s="1">
        <v>1835427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13673824</v>
      </c>
      <c r="AO422" s="1">
        <v>0</v>
      </c>
      <c r="AP422" s="1">
        <v>0</v>
      </c>
      <c r="AQ422" s="1">
        <v>0</v>
      </c>
      <c r="AR422" s="1">
        <v>77070092</v>
      </c>
      <c r="AS422" s="1">
        <v>37659065</v>
      </c>
      <c r="AT422" s="1">
        <v>39411027</v>
      </c>
      <c r="AU422" s="1">
        <v>15046933</v>
      </c>
      <c r="AV422" s="1">
        <v>2257040</v>
      </c>
      <c r="AW422" s="1">
        <f t="shared" si="42"/>
        <v>94374065</v>
      </c>
    </row>
    <row r="423" spans="1:49" x14ac:dyDescent="0.2">
      <c r="A423" s="1" t="str">
        <f>"00490"</f>
        <v>00490</v>
      </c>
      <c r="B423" s="1" t="str">
        <f>"محمدرضا"</f>
        <v>محمدرضا</v>
      </c>
      <c r="C423" s="1" t="str">
        <f>"قاضي زاده اسکويي"</f>
        <v>قاضي زاده اسکويي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19194293</v>
      </c>
      <c r="G423" s="1">
        <v>0</v>
      </c>
      <c r="H423" s="1">
        <v>0</v>
      </c>
      <c r="I423" s="1">
        <v>4439503</v>
      </c>
      <c r="J423" s="1">
        <v>0</v>
      </c>
      <c r="K423" s="1">
        <v>17888595</v>
      </c>
      <c r="L423" s="1">
        <v>0</v>
      </c>
      <c r="M423" s="1">
        <v>4620000</v>
      </c>
      <c r="N423" s="1">
        <v>0</v>
      </c>
      <c r="O423" s="1">
        <v>1000000</v>
      </c>
      <c r="P423" s="1">
        <v>3817067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18951829</v>
      </c>
      <c r="Y423" s="1">
        <v>4000000</v>
      </c>
      <c r="Z423" s="1">
        <v>2786268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2999124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15791720</v>
      </c>
      <c r="AO423" s="1">
        <v>0</v>
      </c>
      <c r="AP423" s="1">
        <v>0</v>
      </c>
      <c r="AQ423" s="1">
        <v>0</v>
      </c>
      <c r="AR423" s="1">
        <v>95488399</v>
      </c>
      <c r="AS423" s="1">
        <v>27365905</v>
      </c>
      <c r="AT423" s="1">
        <v>68122494</v>
      </c>
      <c r="AU423" s="1">
        <v>19097680</v>
      </c>
      <c r="AV423" s="1">
        <v>2864652</v>
      </c>
      <c r="AW423" s="1">
        <f t="shared" si="42"/>
        <v>117450731</v>
      </c>
    </row>
    <row r="424" spans="1:49" x14ac:dyDescent="0.2">
      <c r="A424" s="1" t="str">
        <f>"00491"</f>
        <v>00491</v>
      </c>
      <c r="B424" s="1" t="str">
        <f>"حميد"</f>
        <v>حميد</v>
      </c>
      <c r="C424" s="1" t="str">
        <f>"قانع"</f>
        <v>قانع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18297434</v>
      </c>
      <c r="G424" s="1">
        <v>0</v>
      </c>
      <c r="H424" s="1">
        <v>0</v>
      </c>
      <c r="I424" s="1">
        <v>3892318</v>
      </c>
      <c r="J424" s="1">
        <v>0</v>
      </c>
      <c r="K424" s="1">
        <v>15075429</v>
      </c>
      <c r="L424" s="1">
        <v>0</v>
      </c>
      <c r="M424" s="1">
        <v>4620000</v>
      </c>
      <c r="N424" s="1">
        <v>0</v>
      </c>
      <c r="O424" s="1">
        <v>1000000</v>
      </c>
      <c r="P424" s="1">
        <v>3503166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1848000</v>
      </c>
      <c r="W424" s="1">
        <v>0</v>
      </c>
      <c r="X424" s="1">
        <v>21067941</v>
      </c>
      <c r="Y424" s="1">
        <v>4000000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2752488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8253168</v>
      </c>
      <c r="AO424" s="1">
        <v>0</v>
      </c>
      <c r="AP424" s="1">
        <v>0</v>
      </c>
      <c r="AQ424" s="1">
        <v>0</v>
      </c>
      <c r="AR424" s="1">
        <v>84309944</v>
      </c>
      <c r="AS424" s="1">
        <v>40985415</v>
      </c>
      <c r="AT424" s="1">
        <v>43324529</v>
      </c>
      <c r="AU424" s="1">
        <v>16861989</v>
      </c>
      <c r="AV424" s="1">
        <v>2529298</v>
      </c>
      <c r="AW424" s="1">
        <f t="shared" si="42"/>
        <v>103701231</v>
      </c>
    </row>
    <row r="425" spans="1:49" x14ac:dyDescent="0.2">
      <c r="A425" s="1" t="str">
        <f>"00492"</f>
        <v>00492</v>
      </c>
      <c r="B425" s="1" t="str">
        <f>"حامد"</f>
        <v>حامد</v>
      </c>
      <c r="C425" s="1" t="str">
        <f>"كريم زاده"</f>
        <v>كريم زاده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22444147</v>
      </c>
      <c r="G425" s="1">
        <v>0</v>
      </c>
      <c r="H425" s="1">
        <v>0</v>
      </c>
      <c r="I425" s="1">
        <v>9765072</v>
      </c>
      <c r="J425" s="1">
        <v>0</v>
      </c>
      <c r="K425" s="1">
        <v>19991185</v>
      </c>
      <c r="L425" s="1">
        <v>0</v>
      </c>
      <c r="M425" s="1">
        <v>4125000</v>
      </c>
      <c r="N425" s="1">
        <v>0</v>
      </c>
      <c r="O425" s="1">
        <v>1000000</v>
      </c>
      <c r="P425" s="1">
        <v>3993416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17251249</v>
      </c>
      <c r="Y425" s="1">
        <v>4000000</v>
      </c>
      <c r="Z425" s="1">
        <v>3258021</v>
      </c>
      <c r="AA425" s="1">
        <v>0</v>
      </c>
      <c r="AB425" s="1">
        <v>0</v>
      </c>
      <c r="AC425" s="1">
        <v>0</v>
      </c>
      <c r="AD425" s="1">
        <v>0</v>
      </c>
      <c r="AE425" s="1">
        <v>4459102</v>
      </c>
      <c r="AF425" s="1">
        <v>0</v>
      </c>
      <c r="AG425" s="1">
        <v>3137684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20979899</v>
      </c>
      <c r="AO425" s="1">
        <v>0</v>
      </c>
      <c r="AP425" s="1">
        <v>0</v>
      </c>
      <c r="AQ425" s="1">
        <v>0</v>
      </c>
      <c r="AR425" s="1">
        <v>114404775</v>
      </c>
      <c r="AS425" s="1">
        <v>38592409</v>
      </c>
      <c r="AT425" s="1">
        <v>75812366</v>
      </c>
      <c r="AU425" s="1">
        <v>22880955</v>
      </c>
      <c r="AV425" s="1">
        <v>3432143</v>
      </c>
      <c r="AW425" s="1">
        <f t="shared" si="42"/>
        <v>140717873</v>
      </c>
    </row>
    <row r="426" spans="1:49" x14ac:dyDescent="0.2">
      <c r="A426" s="1" t="str">
        <f>"00493"</f>
        <v>00493</v>
      </c>
      <c r="B426" s="1" t="str">
        <f>"هادي"</f>
        <v>هادي</v>
      </c>
      <c r="C426" s="1" t="str">
        <f>"كسرايي"</f>
        <v>كسرايي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17065512</v>
      </c>
      <c r="G426" s="1">
        <v>0</v>
      </c>
      <c r="H426" s="1">
        <v>0</v>
      </c>
      <c r="I426" s="1">
        <v>0</v>
      </c>
      <c r="J426" s="1">
        <v>0</v>
      </c>
      <c r="K426" s="1">
        <v>14010222</v>
      </c>
      <c r="L426" s="1">
        <v>0</v>
      </c>
      <c r="M426" s="1">
        <v>4620000</v>
      </c>
      <c r="N426" s="1">
        <v>0</v>
      </c>
      <c r="O426" s="1">
        <v>1000000</v>
      </c>
      <c r="P426" s="1">
        <v>3349743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1848000</v>
      </c>
      <c r="W426" s="1">
        <v>0</v>
      </c>
      <c r="X426" s="1">
        <v>19875958</v>
      </c>
      <c r="Y426" s="1">
        <v>4000000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2631941</v>
      </c>
      <c r="AH426" s="1">
        <v>1835427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8115213</v>
      </c>
      <c r="AO426" s="1">
        <v>0</v>
      </c>
      <c r="AP426" s="1">
        <v>0</v>
      </c>
      <c r="AQ426" s="1">
        <v>0</v>
      </c>
      <c r="AR426" s="1">
        <v>78352016</v>
      </c>
      <c r="AS426" s="1">
        <v>28050955</v>
      </c>
      <c r="AT426" s="1">
        <v>50301061</v>
      </c>
      <c r="AU426" s="1">
        <v>15303318</v>
      </c>
      <c r="AV426" s="1">
        <v>2295498</v>
      </c>
      <c r="AW426" s="1">
        <f t="shared" si="42"/>
        <v>95950832</v>
      </c>
    </row>
    <row r="427" spans="1:49" x14ac:dyDescent="0.2">
      <c r="A427" s="1" t="str">
        <f>"00494"</f>
        <v>00494</v>
      </c>
      <c r="B427" s="1" t="str">
        <f>"علي"</f>
        <v>علي</v>
      </c>
      <c r="C427" s="1" t="str">
        <f>"كريمي"</f>
        <v>كريمي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27349159</v>
      </c>
      <c r="G427" s="1">
        <v>0</v>
      </c>
      <c r="H427" s="1">
        <v>0</v>
      </c>
      <c r="I427" s="1">
        <v>0</v>
      </c>
      <c r="J427" s="1">
        <v>0</v>
      </c>
      <c r="K427" s="1">
        <v>23584696</v>
      </c>
      <c r="L427" s="1">
        <v>0</v>
      </c>
      <c r="M427" s="1">
        <v>5500000</v>
      </c>
      <c r="N427" s="1">
        <v>0</v>
      </c>
      <c r="O427" s="1">
        <v>1000000</v>
      </c>
      <c r="P427" s="1">
        <v>4199744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17812510</v>
      </c>
      <c r="Y427" s="1">
        <v>4000000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4459102</v>
      </c>
      <c r="AF427" s="1">
        <v>0</v>
      </c>
      <c r="AG427" s="1">
        <v>3299798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14553199</v>
      </c>
      <c r="AO427" s="1">
        <v>0</v>
      </c>
      <c r="AP427" s="1">
        <v>0</v>
      </c>
      <c r="AQ427" s="1">
        <v>0</v>
      </c>
      <c r="AR427" s="1">
        <v>105758208</v>
      </c>
      <c r="AS427" s="1">
        <v>25395227</v>
      </c>
      <c r="AT427" s="1">
        <v>80362981</v>
      </c>
      <c r="AU427" s="1">
        <v>21151642</v>
      </c>
      <c r="AV427" s="1">
        <v>3172746</v>
      </c>
      <c r="AW427" s="1">
        <f t="shared" si="42"/>
        <v>130082596</v>
      </c>
    </row>
    <row r="428" spans="1:49" x14ac:dyDescent="0.2">
      <c r="A428" s="1" t="str">
        <f>"00495"</f>
        <v>00495</v>
      </c>
      <c r="B428" s="1" t="str">
        <f>"اميد"</f>
        <v>اميد</v>
      </c>
      <c r="C428" s="1" t="str">
        <f>"لغويان زاده"</f>
        <v>لغويان زاده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20950222</v>
      </c>
      <c r="G428" s="1">
        <v>0</v>
      </c>
      <c r="H428" s="1">
        <v>0</v>
      </c>
      <c r="I428" s="1">
        <v>12607787</v>
      </c>
      <c r="J428" s="1">
        <v>0</v>
      </c>
      <c r="K428" s="1">
        <v>15915185</v>
      </c>
      <c r="L428" s="1">
        <v>0</v>
      </c>
      <c r="M428" s="1">
        <v>5500000</v>
      </c>
      <c r="N428" s="1">
        <v>0</v>
      </c>
      <c r="O428" s="1">
        <v>1000000</v>
      </c>
      <c r="P428" s="1">
        <v>3258924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1848000</v>
      </c>
      <c r="W428" s="1">
        <v>0</v>
      </c>
      <c r="X428" s="1">
        <v>4777282</v>
      </c>
      <c r="Y428" s="1">
        <v>4000000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2560582</v>
      </c>
      <c r="AH428" s="1">
        <v>3670854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5087911</v>
      </c>
      <c r="AO428" s="1">
        <v>0</v>
      </c>
      <c r="AP428" s="1">
        <v>0</v>
      </c>
      <c r="AQ428" s="1">
        <v>0</v>
      </c>
      <c r="AR428" s="1">
        <v>81176747</v>
      </c>
      <c r="AS428" s="1">
        <v>16273273</v>
      </c>
      <c r="AT428" s="1">
        <v>64903474</v>
      </c>
      <c r="AU428" s="1">
        <v>15501179</v>
      </c>
      <c r="AV428" s="1">
        <v>2325177</v>
      </c>
      <c r="AW428" s="1">
        <f t="shared" si="42"/>
        <v>99003103</v>
      </c>
    </row>
    <row r="429" spans="1:49" x14ac:dyDescent="0.2">
      <c r="A429" s="1" t="str">
        <f>"00496"</f>
        <v>00496</v>
      </c>
      <c r="B429" s="1" t="str">
        <f>"محمد"</f>
        <v>محمد</v>
      </c>
      <c r="C429" s="1" t="str">
        <f>"مجري ساز پور"</f>
        <v>مجري ساز پور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18078258</v>
      </c>
      <c r="G429" s="1">
        <v>0</v>
      </c>
      <c r="H429" s="1">
        <v>0</v>
      </c>
      <c r="I429" s="1">
        <v>8633873</v>
      </c>
      <c r="J429" s="1">
        <v>0</v>
      </c>
      <c r="K429" s="1">
        <v>15439677</v>
      </c>
      <c r="L429" s="1">
        <v>0</v>
      </c>
      <c r="M429" s="1">
        <v>4620000</v>
      </c>
      <c r="N429" s="1">
        <v>0</v>
      </c>
      <c r="O429" s="1">
        <v>1000000</v>
      </c>
      <c r="P429" s="1">
        <v>3426455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1848000</v>
      </c>
      <c r="W429" s="1">
        <v>0</v>
      </c>
      <c r="X429" s="1">
        <v>17344567</v>
      </c>
      <c r="Y429" s="1">
        <v>4000000</v>
      </c>
      <c r="Z429" s="1">
        <v>2624263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2692215</v>
      </c>
      <c r="AH429" s="1">
        <v>1835427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14991954</v>
      </c>
      <c r="AO429" s="1">
        <v>0</v>
      </c>
      <c r="AP429" s="1">
        <v>0</v>
      </c>
      <c r="AQ429" s="1">
        <v>0</v>
      </c>
      <c r="AR429" s="1">
        <v>96534689</v>
      </c>
      <c r="AS429" s="1">
        <v>15302809</v>
      </c>
      <c r="AT429" s="1">
        <v>81231880</v>
      </c>
      <c r="AU429" s="1">
        <v>18939852</v>
      </c>
      <c r="AV429" s="1">
        <v>2840978</v>
      </c>
      <c r="AW429" s="1">
        <f t="shared" si="42"/>
        <v>118315519</v>
      </c>
    </row>
    <row r="430" spans="1:49" x14ac:dyDescent="0.2">
      <c r="A430" s="1" t="str">
        <f>"00497"</f>
        <v>00497</v>
      </c>
      <c r="B430" s="1" t="str">
        <f>"احمد"</f>
        <v>احمد</v>
      </c>
      <c r="C430" s="1" t="str">
        <f>"محمدي"</f>
        <v>محمدي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22869903</v>
      </c>
      <c r="G430" s="1">
        <v>0</v>
      </c>
      <c r="H430" s="1">
        <v>0</v>
      </c>
      <c r="I430" s="1">
        <v>5356909</v>
      </c>
      <c r="J430" s="1">
        <v>0</v>
      </c>
      <c r="K430" s="1">
        <v>18871046</v>
      </c>
      <c r="L430" s="1">
        <v>0</v>
      </c>
      <c r="M430" s="1">
        <v>0</v>
      </c>
      <c r="N430" s="1">
        <v>0</v>
      </c>
      <c r="O430" s="1">
        <v>1000000</v>
      </c>
      <c r="P430" s="1">
        <v>4142430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1848000</v>
      </c>
      <c r="W430" s="1">
        <v>0</v>
      </c>
      <c r="X430" s="1">
        <v>19577353</v>
      </c>
      <c r="Y430" s="1">
        <v>4000000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3254766</v>
      </c>
      <c r="AH430" s="1">
        <v>1835427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7199560</v>
      </c>
      <c r="AO430" s="1">
        <v>0</v>
      </c>
      <c r="AP430" s="1">
        <v>0</v>
      </c>
      <c r="AQ430" s="1">
        <v>0</v>
      </c>
      <c r="AR430" s="1">
        <v>89955394</v>
      </c>
      <c r="AS430" s="1">
        <v>40267255</v>
      </c>
      <c r="AT430" s="1">
        <v>49688139</v>
      </c>
      <c r="AU430" s="1">
        <v>17623993</v>
      </c>
      <c r="AV430" s="1">
        <v>2643599</v>
      </c>
      <c r="AW430" s="1">
        <f t="shared" si="42"/>
        <v>110222986</v>
      </c>
    </row>
    <row r="431" spans="1:49" x14ac:dyDescent="0.2">
      <c r="A431" s="1" t="str">
        <f>"00498"</f>
        <v>00498</v>
      </c>
      <c r="B431" s="1" t="str">
        <f>"عبدالرحيم"</f>
        <v>عبدالرحيم</v>
      </c>
      <c r="C431" s="1" t="str">
        <f>"محمديان"</f>
        <v>محمديان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17433325</v>
      </c>
      <c r="G431" s="1">
        <v>0</v>
      </c>
      <c r="H431" s="1">
        <v>0</v>
      </c>
      <c r="I431" s="1">
        <v>7992324</v>
      </c>
      <c r="J431" s="1">
        <v>0</v>
      </c>
      <c r="K431" s="1">
        <v>15220338</v>
      </c>
      <c r="L431" s="1">
        <v>0</v>
      </c>
      <c r="M431" s="1">
        <v>4620000</v>
      </c>
      <c r="N431" s="1">
        <v>0</v>
      </c>
      <c r="O431" s="1">
        <v>1000000</v>
      </c>
      <c r="P431" s="1">
        <v>3478478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1848000</v>
      </c>
      <c r="W431" s="1">
        <v>0</v>
      </c>
      <c r="X431" s="1">
        <v>17059246</v>
      </c>
      <c r="Y431" s="1">
        <v>4000000</v>
      </c>
      <c r="Z431" s="1">
        <v>2530644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2733089</v>
      </c>
      <c r="AH431" s="1">
        <v>1835427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14864681</v>
      </c>
      <c r="AO431" s="1">
        <v>0</v>
      </c>
      <c r="AP431" s="1">
        <v>0</v>
      </c>
      <c r="AQ431" s="1">
        <v>0</v>
      </c>
      <c r="AR431" s="1">
        <v>94615552</v>
      </c>
      <c r="AS431" s="1">
        <v>45017824</v>
      </c>
      <c r="AT431" s="1">
        <v>49597728</v>
      </c>
      <c r="AU431" s="1">
        <v>18556025</v>
      </c>
      <c r="AV431" s="1">
        <v>2783404</v>
      </c>
      <c r="AW431" s="1">
        <f t="shared" si="42"/>
        <v>115954981</v>
      </c>
    </row>
    <row r="432" spans="1:49" x14ac:dyDescent="0.2">
      <c r="A432" s="1" t="str">
        <f>"00499"</f>
        <v>00499</v>
      </c>
      <c r="B432" s="1" t="str">
        <f>"مهدي"</f>
        <v>مهدي</v>
      </c>
      <c r="C432" s="1" t="str">
        <f>"مرشدي"</f>
        <v>مرشدي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17602116</v>
      </c>
      <c r="G432" s="1">
        <v>0</v>
      </c>
      <c r="H432" s="1">
        <v>0</v>
      </c>
      <c r="I432" s="1">
        <v>14579296</v>
      </c>
      <c r="J432" s="1">
        <v>0</v>
      </c>
      <c r="K432" s="1">
        <v>15168485</v>
      </c>
      <c r="L432" s="1">
        <v>0</v>
      </c>
      <c r="M432" s="1">
        <v>4620000</v>
      </c>
      <c r="N432" s="1">
        <v>0</v>
      </c>
      <c r="O432" s="1">
        <v>1000000</v>
      </c>
      <c r="P432" s="1">
        <v>3259805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1848000</v>
      </c>
      <c r="W432" s="1">
        <v>0</v>
      </c>
      <c r="X432" s="1">
        <v>12073215</v>
      </c>
      <c r="Y432" s="1">
        <v>4000000</v>
      </c>
      <c r="Z432" s="1">
        <v>2278015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2561276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13900558</v>
      </c>
      <c r="AO432" s="1">
        <v>0</v>
      </c>
      <c r="AP432" s="1">
        <v>0</v>
      </c>
      <c r="AQ432" s="1">
        <v>0</v>
      </c>
      <c r="AR432" s="1">
        <v>92890766</v>
      </c>
      <c r="AS432" s="1">
        <v>19924574</v>
      </c>
      <c r="AT432" s="1">
        <v>72966192</v>
      </c>
      <c r="AU432" s="1">
        <v>18578153</v>
      </c>
      <c r="AV432" s="1">
        <v>2786723</v>
      </c>
      <c r="AW432" s="1">
        <f t="shared" si="42"/>
        <v>114255642</v>
      </c>
    </row>
    <row r="433" spans="1:49" x14ac:dyDescent="0.2">
      <c r="A433" s="1" t="str">
        <f>"00500"</f>
        <v>00500</v>
      </c>
      <c r="B433" s="1" t="str">
        <f>"محمد"</f>
        <v>محمد</v>
      </c>
      <c r="C433" s="1" t="str">
        <f>"معيني"</f>
        <v>معيني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21648058</v>
      </c>
      <c r="G433" s="1">
        <v>0</v>
      </c>
      <c r="H433" s="1">
        <v>0</v>
      </c>
      <c r="I433" s="1">
        <v>6225344</v>
      </c>
      <c r="J433" s="1">
        <v>0</v>
      </c>
      <c r="K433" s="1">
        <v>16458657</v>
      </c>
      <c r="L433" s="1">
        <v>0</v>
      </c>
      <c r="M433" s="1">
        <v>5500000</v>
      </c>
      <c r="N433" s="1">
        <v>0</v>
      </c>
      <c r="O433" s="1">
        <v>1000000</v>
      </c>
      <c r="P433" s="1">
        <v>3714785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1848000</v>
      </c>
      <c r="W433" s="1">
        <v>0</v>
      </c>
      <c r="X433" s="1">
        <v>22016878</v>
      </c>
      <c r="Y433" s="1">
        <v>4000000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2918760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6761207</v>
      </c>
      <c r="AO433" s="1">
        <v>0</v>
      </c>
      <c r="AP433" s="1">
        <v>0</v>
      </c>
      <c r="AQ433" s="1">
        <v>0</v>
      </c>
      <c r="AR433" s="1">
        <v>92091689</v>
      </c>
      <c r="AS433" s="1">
        <v>37918147</v>
      </c>
      <c r="AT433" s="1">
        <v>54173542</v>
      </c>
      <c r="AU433" s="1">
        <v>18418338</v>
      </c>
      <c r="AV433" s="1">
        <v>2762751</v>
      </c>
      <c r="AW433" s="1">
        <f t="shared" si="42"/>
        <v>113272778</v>
      </c>
    </row>
    <row r="434" spans="1:49" x14ac:dyDescent="0.2">
      <c r="A434" s="1" t="str">
        <f>"00501"</f>
        <v>00501</v>
      </c>
      <c r="B434" s="1" t="str">
        <f>"احمد"</f>
        <v>احمد</v>
      </c>
      <c r="C434" s="1" t="str">
        <f>"ملکي"</f>
        <v>ملکي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22640650</v>
      </c>
      <c r="G434" s="1">
        <v>0</v>
      </c>
      <c r="H434" s="1">
        <v>0</v>
      </c>
      <c r="I434" s="1">
        <v>0</v>
      </c>
      <c r="J434" s="1">
        <v>0</v>
      </c>
      <c r="K434" s="1">
        <v>18531860</v>
      </c>
      <c r="L434" s="1">
        <v>0</v>
      </c>
      <c r="M434" s="1">
        <v>4125000</v>
      </c>
      <c r="N434" s="1">
        <v>0</v>
      </c>
      <c r="O434" s="1">
        <v>1000000</v>
      </c>
      <c r="P434" s="1">
        <v>4062191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1848000</v>
      </c>
      <c r="W434" s="1">
        <v>0</v>
      </c>
      <c r="X434" s="1">
        <v>12907035</v>
      </c>
      <c r="Y434" s="1">
        <v>4000000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3191722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7691120</v>
      </c>
      <c r="AO434" s="1">
        <v>0</v>
      </c>
      <c r="AP434" s="1">
        <v>0</v>
      </c>
      <c r="AQ434" s="1">
        <v>0</v>
      </c>
      <c r="AR434" s="1">
        <v>79997578</v>
      </c>
      <c r="AS434" s="1">
        <v>22454805</v>
      </c>
      <c r="AT434" s="1">
        <v>57542773</v>
      </c>
      <c r="AU434" s="1">
        <v>15999516</v>
      </c>
      <c r="AV434" s="1">
        <v>2399927</v>
      </c>
      <c r="AW434" s="1">
        <f t="shared" si="42"/>
        <v>98397021</v>
      </c>
    </row>
    <row r="435" spans="1:49" x14ac:dyDescent="0.2">
      <c r="A435" s="1" t="str">
        <f>"00502"</f>
        <v>00502</v>
      </c>
      <c r="B435" s="1" t="str">
        <f>"رامين"</f>
        <v>رامين</v>
      </c>
      <c r="C435" s="1" t="str">
        <f>"منصوري"</f>
        <v>منصوري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17234303</v>
      </c>
      <c r="G435" s="1">
        <v>0</v>
      </c>
      <c r="H435" s="1">
        <v>0</v>
      </c>
      <c r="I435" s="1">
        <v>2228697</v>
      </c>
      <c r="J435" s="1">
        <v>0</v>
      </c>
      <c r="K435" s="1">
        <v>14145109</v>
      </c>
      <c r="L435" s="1">
        <v>0</v>
      </c>
      <c r="M435" s="1">
        <v>4620000</v>
      </c>
      <c r="N435" s="1">
        <v>0</v>
      </c>
      <c r="O435" s="1">
        <v>1000000</v>
      </c>
      <c r="P435" s="1">
        <v>3408820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1848000</v>
      </c>
      <c r="W435" s="1">
        <v>0</v>
      </c>
      <c r="X435" s="1">
        <v>18683389</v>
      </c>
      <c r="Y435" s="1">
        <v>4000000</v>
      </c>
      <c r="Z435" s="1">
        <v>2228697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2678359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7017669</v>
      </c>
      <c r="AO435" s="1">
        <v>0</v>
      </c>
      <c r="AP435" s="1">
        <v>0</v>
      </c>
      <c r="AQ435" s="1">
        <v>0</v>
      </c>
      <c r="AR435" s="1">
        <v>79093043</v>
      </c>
      <c r="AS435" s="1">
        <v>33538125</v>
      </c>
      <c r="AT435" s="1">
        <v>45554918</v>
      </c>
      <c r="AU435" s="1">
        <v>15818609</v>
      </c>
      <c r="AV435" s="1">
        <v>2372791</v>
      </c>
      <c r="AW435" s="1">
        <f t="shared" si="42"/>
        <v>97284443</v>
      </c>
    </row>
    <row r="436" spans="1:49" x14ac:dyDescent="0.2">
      <c r="A436" s="1" t="str">
        <f>"00503"</f>
        <v>00503</v>
      </c>
      <c r="B436" s="1" t="str">
        <f>"سيد ابوالحسن"</f>
        <v>سيد ابوالحسن</v>
      </c>
      <c r="C436" s="1" t="str">
        <f>"موسوي برازجاني"</f>
        <v>موسوي برازجاني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17753272</v>
      </c>
      <c r="G436" s="1">
        <v>0</v>
      </c>
      <c r="H436" s="1">
        <v>0</v>
      </c>
      <c r="I436" s="1">
        <v>2726508</v>
      </c>
      <c r="J436" s="1">
        <v>0</v>
      </c>
      <c r="K436" s="1">
        <v>14461336</v>
      </c>
      <c r="L436" s="1">
        <v>0</v>
      </c>
      <c r="M436" s="1">
        <v>4620000</v>
      </c>
      <c r="N436" s="1">
        <v>0</v>
      </c>
      <c r="O436" s="1">
        <v>1000000</v>
      </c>
      <c r="P436" s="1">
        <v>3312710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1848000</v>
      </c>
      <c r="W436" s="1">
        <v>0</v>
      </c>
      <c r="X436" s="1">
        <v>12041812</v>
      </c>
      <c r="Y436" s="1">
        <v>4000000</v>
      </c>
      <c r="Z436" s="1">
        <v>2272090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2602844</v>
      </c>
      <c r="AH436" s="1">
        <v>5506281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14225544</v>
      </c>
      <c r="AO436" s="1">
        <v>0</v>
      </c>
      <c r="AP436" s="1">
        <v>0</v>
      </c>
      <c r="AQ436" s="1">
        <v>0</v>
      </c>
      <c r="AR436" s="1">
        <v>86370397</v>
      </c>
      <c r="AS436" s="1">
        <v>12116574</v>
      </c>
      <c r="AT436" s="1">
        <v>74253823</v>
      </c>
      <c r="AU436" s="1">
        <v>16172823</v>
      </c>
      <c r="AV436" s="1">
        <v>2425923</v>
      </c>
      <c r="AW436" s="1">
        <f t="shared" si="42"/>
        <v>104969143</v>
      </c>
    </row>
    <row r="437" spans="1:49" x14ac:dyDescent="0.2">
      <c r="A437" s="1" t="str">
        <f>"00504"</f>
        <v>00504</v>
      </c>
      <c r="B437" s="1" t="str">
        <f>"مجتبي"</f>
        <v>مجتبي</v>
      </c>
      <c r="C437" s="1" t="str">
        <f>"ميري"</f>
        <v>ميري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16904279</v>
      </c>
      <c r="G437" s="1">
        <v>0</v>
      </c>
      <c r="H437" s="1">
        <v>0</v>
      </c>
      <c r="I437" s="1">
        <v>7602712</v>
      </c>
      <c r="J437" s="1">
        <v>0</v>
      </c>
      <c r="K437" s="1">
        <v>14921065</v>
      </c>
      <c r="L437" s="1">
        <v>0</v>
      </c>
      <c r="M437" s="1">
        <v>4620000</v>
      </c>
      <c r="N437" s="1">
        <v>0</v>
      </c>
      <c r="O437" s="1">
        <v>1000000</v>
      </c>
      <c r="P437" s="1">
        <v>3293312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1848000</v>
      </c>
      <c r="W437" s="1">
        <v>0</v>
      </c>
      <c r="X437" s="1">
        <v>11851026</v>
      </c>
      <c r="Y437" s="1">
        <v>4000000</v>
      </c>
      <c r="Z437" s="1">
        <v>2453847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2587602</v>
      </c>
      <c r="AH437" s="1">
        <v>1835427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13819942</v>
      </c>
      <c r="AO437" s="1">
        <v>0</v>
      </c>
      <c r="AP437" s="1">
        <v>0</v>
      </c>
      <c r="AQ437" s="1">
        <v>0</v>
      </c>
      <c r="AR437" s="1">
        <v>86737212</v>
      </c>
      <c r="AS437" s="1">
        <v>36293220</v>
      </c>
      <c r="AT437" s="1">
        <v>50443992</v>
      </c>
      <c r="AU437" s="1">
        <v>16980357</v>
      </c>
      <c r="AV437" s="1">
        <v>2547054</v>
      </c>
      <c r="AW437" s="1">
        <f t="shared" si="42"/>
        <v>106264623</v>
      </c>
    </row>
    <row r="438" spans="1:49" x14ac:dyDescent="0.2">
      <c r="A438" s="1" t="str">
        <f>"00505"</f>
        <v>00505</v>
      </c>
      <c r="B438" s="1" t="str">
        <f>"جمال"</f>
        <v>جمال</v>
      </c>
      <c r="C438" s="1" t="str">
        <f>"نصيري"</f>
        <v>نصيري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18599746</v>
      </c>
      <c r="G438" s="1">
        <v>0</v>
      </c>
      <c r="H438" s="1">
        <v>0</v>
      </c>
      <c r="I438" s="1">
        <v>12187710</v>
      </c>
      <c r="J438" s="1">
        <v>0</v>
      </c>
      <c r="K438" s="1">
        <v>15097863</v>
      </c>
      <c r="L438" s="1">
        <v>0</v>
      </c>
      <c r="M438" s="1">
        <v>4620000</v>
      </c>
      <c r="N438" s="1">
        <v>0</v>
      </c>
      <c r="O438" s="1">
        <v>1000000</v>
      </c>
      <c r="P438" s="1">
        <v>3608976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1848000</v>
      </c>
      <c r="W438" s="1">
        <v>0</v>
      </c>
      <c r="X438" s="1">
        <v>12421817</v>
      </c>
      <c r="Y438" s="1">
        <v>4000000</v>
      </c>
      <c r="Z438" s="1">
        <v>2699963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2835624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13865691</v>
      </c>
      <c r="AO438" s="1">
        <v>0</v>
      </c>
      <c r="AP438" s="1">
        <v>0</v>
      </c>
      <c r="AQ438" s="1">
        <v>0</v>
      </c>
      <c r="AR438" s="1">
        <v>92785390</v>
      </c>
      <c r="AS438" s="1">
        <v>23048912</v>
      </c>
      <c r="AT438" s="1">
        <v>69736478</v>
      </c>
      <c r="AU438" s="1">
        <v>18557078</v>
      </c>
      <c r="AV438" s="1">
        <v>2783562</v>
      </c>
      <c r="AW438" s="1">
        <f t="shared" si="42"/>
        <v>114126030</v>
      </c>
    </row>
    <row r="439" spans="1:49" x14ac:dyDescent="0.2">
      <c r="A439" s="1" t="str">
        <f>"00506"</f>
        <v>00506</v>
      </c>
      <c r="B439" s="1" t="str">
        <f>"سيد اسحق"</f>
        <v>سيد اسحق</v>
      </c>
      <c r="C439" s="1" t="str">
        <f>"نعمتي"</f>
        <v>نعمتي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16800989</v>
      </c>
      <c r="G439" s="1">
        <v>0</v>
      </c>
      <c r="H439" s="1">
        <v>0</v>
      </c>
      <c r="I439" s="1">
        <v>3483795</v>
      </c>
      <c r="J439" s="1">
        <v>0</v>
      </c>
      <c r="K439" s="1">
        <v>14058563</v>
      </c>
      <c r="L439" s="1">
        <v>0</v>
      </c>
      <c r="M439" s="1">
        <v>4620000</v>
      </c>
      <c r="N439" s="1">
        <v>0</v>
      </c>
      <c r="O439" s="1">
        <v>1000000</v>
      </c>
      <c r="P439" s="1">
        <v>3257160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1848000</v>
      </c>
      <c r="W439" s="1">
        <v>0</v>
      </c>
      <c r="X439" s="1">
        <v>21294119</v>
      </c>
      <c r="Y439" s="1">
        <v>4000000</v>
      </c>
      <c r="Z439" s="1">
        <v>2438853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2559197</v>
      </c>
      <c r="AH439" s="1">
        <v>1835427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12559049</v>
      </c>
      <c r="AO439" s="1">
        <v>0</v>
      </c>
      <c r="AP439" s="1">
        <v>0</v>
      </c>
      <c r="AQ439" s="1">
        <v>0</v>
      </c>
      <c r="AR439" s="1">
        <v>89755152</v>
      </c>
      <c r="AS439" s="1">
        <v>35809816</v>
      </c>
      <c r="AT439" s="1">
        <v>53945336</v>
      </c>
      <c r="AU439" s="1">
        <v>17583945</v>
      </c>
      <c r="AV439" s="1">
        <v>2637592</v>
      </c>
      <c r="AW439" s="1">
        <f t="shared" si="42"/>
        <v>109976689</v>
      </c>
    </row>
    <row r="440" spans="1:49" x14ac:dyDescent="0.2">
      <c r="A440" s="1" t="str">
        <f>"00508"</f>
        <v>00508</v>
      </c>
      <c r="B440" s="1" t="str">
        <f>"عبدالکريم"</f>
        <v>عبدالکريم</v>
      </c>
      <c r="C440" s="1" t="str">
        <f>"نيکنام"</f>
        <v>نيکنام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16506235</v>
      </c>
      <c r="G440" s="1">
        <v>0</v>
      </c>
      <c r="H440" s="1">
        <v>0</v>
      </c>
      <c r="I440" s="1">
        <v>5583152</v>
      </c>
      <c r="J440" s="1">
        <v>0</v>
      </c>
      <c r="K440" s="1">
        <v>13976959</v>
      </c>
      <c r="L440" s="1">
        <v>0</v>
      </c>
      <c r="M440" s="1">
        <v>3465000</v>
      </c>
      <c r="N440" s="1">
        <v>0</v>
      </c>
      <c r="O440" s="1">
        <v>1000000</v>
      </c>
      <c r="P440" s="1">
        <v>3153996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1848000</v>
      </c>
      <c r="W440" s="1">
        <v>0</v>
      </c>
      <c r="X440" s="1">
        <v>11380791</v>
      </c>
      <c r="Y440" s="1">
        <v>4000000</v>
      </c>
      <c r="Z440" s="1">
        <v>2147366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2478140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13366372</v>
      </c>
      <c r="AO440" s="1">
        <v>0</v>
      </c>
      <c r="AP440" s="1">
        <v>0</v>
      </c>
      <c r="AQ440" s="1">
        <v>0</v>
      </c>
      <c r="AR440" s="1">
        <v>78906011</v>
      </c>
      <c r="AS440" s="1">
        <v>31522908</v>
      </c>
      <c r="AT440" s="1">
        <v>47383103</v>
      </c>
      <c r="AU440" s="1">
        <v>15781202</v>
      </c>
      <c r="AV440" s="1">
        <v>2367180</v>
      </c>
      <c r="AW440" s="1">
        <f t="shared" si="42"/>
        <v>97054393</v>
      </c>
    </row>
    <row r="441" spans="1:49" x14ac:dyDescent="0.2">
      <c r="A441" s="1" t="str">
        <f>"00509"</f>
        <v>00509</v>
      </c>
      <c r="B441" s="1" t="str">
        <f>"سيد موسي"</f>
        <v>سيد موسي</v>
      </c>
      <c r="C441" s="1" t="str">
        <f>"هاشمي"</f>
        <v>هاشمي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18713113</v>
      </c>
      <c r="G441" s="1">
        <v>0</v>
      </c>
      <c r="H441" s="1">
        <v>0</v>
      </c>
      <c r="I441" s="1">
        <v>3480934</v>
      </c>
      <c r="J441" s="1">
        <v>0</v>
      </c>
      <c r="K441" s="1">
        <v>17307091</v>
      </c>
      <c r="L441" s="1">
        <v>0</v>
      </c>
      <c r="M441" s="1">
        <v>4620000</v>
      </c>
      <c r="N441" s="1">
        <v>0</v>
      </c>
      <c r="O441" s="1">
        <v>1000000</v>
      </c>
      <c r="P441" s="1">
        <v>3648654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1848000</v>
      </c>
      <c r="W441" s="1">
        <v>0</v>
      </c>
      <c r="X441" s="1">
        <v>13177533</v>
      </c>
      <c r="Y441" s="1">
        <v>4000000</v>
      </c>
      <c r="Z441" s="1">
        <v>2716420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2866799</v>
      </c>
      <c r="AH441" s="1">
        <v>3670854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14757965</v>
      </c>
      <c r="AO441" s="1">
        <v>0</v>
      </c>
      <c r="AP441" s="1">
        <v>0</v>
      </c>
      <c r="AQ441" s="1">
        <v>0</v>
      </c>
      <c r="AR441" s="1">
        <v>91807363</v>
      </c>
      <c r="AS441" s="1">
        <v>22623159</v>
      </c>
      <c r="AT441" s="1">
        <v>69184204</v>
      </c>
      <c r="AU441" s="1">
        <v>17627302</v>
      </c>
      <c r="AV441" s="1">
        <v>2644095</v>
      </c>
      <c r="AW441" s="1">
        <f t="shared" si="42"/>
        <v>112078760</v>
      </c>
    </row>
    <row r="442" spans="1:49" x14ac:dyDescent="0.2">
      <c r="A442" s="1" t="str">
        <f>"00512"</f>
        <v>00512</v>
      </c>
      <c r="B442" s="1" t="str">
        <f>"مريم"</f>
        <v>مريم</v>
      </c>
      <c r="C442" s="1" t="str">
        <f>"سليماني"</f>
        <v>سليماني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21023280</v>
      </c>
      <c r="G442" s="1">
        <v>0</v>
      </c>
      <c r="H442" s="1">
        <v>0</v>
      </c>
      <c r="I442" s="1">
        <v>1152439</v>
      </c>
      <c r="J442" s="1">
        <v>0</v>
      </c>
      <c r="K442" s="1">
        <v>17702538</v>
      </c>
      <c r="L442" s="1">
        <v>2530000</v>
      </c>
      <c r="M442" s="1">
        <v>4125000</v>
      </c>
      <c r="N442" s="1">
        <v>0</v>
      </c>
      <c r="O442" s="1">
        <v>1000000</v>
      </c>
      <c r="P442" s="1">
        <v>3284494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1848000</v>
      </c>
      <c r="W442" s="1">
        <v>0</v>
      </c>
      <c r="X442" s="1">
        <v>4949001</v>
      </c>
      <c r="Y442" s="1">
        <v>4000000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2580674</v>
      </c>
      <c r="AH442" s="1">
        <v>1835427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4899029</v>
      </c>
      <c r="AO442" s="1">
        <v>0</v>
      </c>
      <c r="AP442" s="1">
        <v>0</v>
      </c>
      <c r="AQ442" s="1">
        <v>0</v>
      </c>
      <c r="AR442" s="1">
        <v>70929882</v>
      </c>
      <c r="AS442" s="1">
        <v>7588749</v>
      </c>
      <c r="AT442" s="1">
        <v>63341133</v>
      </c>
      <c r="AU442" s="1">
        <v>13312891</v>
      </c>
      <c r="AV442" s="1">
        <v>1996934</v>
      </c>
      <c r="AW442" s="1">
        <f t="shared" si="42"/>
        <v>86239707</v>
      </c>
    </row>
    <row r="443" spans="1:49" x14ac:dyDescent="0.2">
      <c r="A443" s="1" t="str">
        <f>"00513"</f>
        <v>00513</v>
      </c>
      <c r="B443" s="1" t="str">
        <f>"مريم"</f>
        <v>مريم</v>
      </c>
      <c r="C443" s="1" t="str">
        <f>"دهقاني"</f>
        <v>دهقاني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21557365</v>
      </c>
      <c r="G443" s="1">
        <v>0</v>
      </c>
      <c r="H443" s="1">
        <v>0</v>
      </c>
      <c r="I443" s="1">
        <v>0</v>
      </c>
      <c r="J443" s="1">
        <v>0</v>
      </c>
      <c r="K443" s="1">
        <v>18360843</v>
      </c>
      <c r="L443" s="1">
        <v>0</v>
      </c>
      <c r="M443" s="1">
        <v>4125000</v>
      </c>
      <c r="N443" s="1">
        <v>0</v>
      </c>
      <c r="O443" s="1">
        <v>1000000</v>
      </c>
      <c r="P443" s="1">
        <v>3246579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1848000</v>
      </c>
      <c r="W443" s="1">
        <v>0</v>
      </c>
      <c r="X443" s="1">
        <v>5080383</v>
      </c>
      <c r="Y443" s="1">
        <v>4000000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2550884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5088163</v>
      </c>
      <c r="AO443" s="1">
        <v>0</v>
      </c>
      <c r="AP443" s="1">
        <v>0</v>
      </c>
      <c r="AQ443" s="1">
        <v>0</v>
      </c>
      <c r="AR443" s="1">
        <v>66857217</v>
      </c>
      <c r="AS443" s="1">
        <v>20983454</v>
      </c>
      <c r="AT443" s="1">
        <v>45873763</v>
      </c>
      <c r="AU443" s="1">
        <v>13371443</v>
      </c>
      <c r="AV443" s="1">
        <v>2005717</v>
      </c>
      <c r="AW443" s="1">
        <f t="shared" si="42"/>
        <v>82234377</v>
      </c>
    </row>
    <row r="444" spans="1:49" x14ac:dyDescent="0.2">
      <c r="A444" s="1" t="str">
        <f>"00514"</f>
        <v>00514</v>
      </c>
      <c r="B444" s="1" t="str">
        <f>"بديع الزمان"</f>
        <v>بديع الزمان</v>
      </c>
      <c r="C444" s="1" t="str">
        <f>"رفيعي"</f>
        <v>رفيعي</v>
      </c>
      <c r="D444" s="1" t="str">
        <f>"قراردادي کارگري"</f>
        <v>قراردادي کارگري</v>
      </c>
      <c r="E444" s="1" t="str">
        <f t="shared" ref="E444:E449" si="46">"پروژه تعميرات نيروگاه بوشهر"</f>
        <v>پروژه تعميرات نيروگاه بوشهر</v>
      </c>
      <c r="F444" s="1">
        <v>0</v>
      </c>
      <c r="G444" s="1">
        <v>9559061</v>
      </c>
      <c r="H444" s="1">
        <v>4779530</v>
      </c>
      <c r="I444" s="1">
        <v>899831</v>
      </c>
      <c r="J444" s="1">
        <v>0</v>
      </c>
      <c r="K444" s="1">
        <v>12761346</v>
      </c>
      <c r="L444" s="1">
        <v>0</v>
      </c>
      <c r="M444" s="1">
        <v>0</v>
      </c>
      <c r="N444" s="1">
        <v>11521166</v>
      </c>
      <c r="O444" s="1">
        <v>2000000</v>
      </c>
      <c r="P444" s="1">
        <v>7647248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2640000</v>
      </c>
      <c r="W444" s="1">
        <v>0</v>
      </c>
      <c r="X444" s="1">
        <v>16555282</v>
      </c>
      <c r="Y444" s="1">
        <v>4000000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935787</v>
      </c>
      <c r="AF444" s="1">
        <v>0</v>
      </c>
      <c r="AG444" s="1">
        <v>0</v>
      </c>
      <c r="AH444" s="1">
        <v>1835427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75134678</v>
      </c>
      <c r="AS444" s="1">
        <v>14154666</v>
      </c>
      <c r="AT444" s="1">
        <v>60980012</v>
      </c>
      <c r="AU444" s="1">
        <v>14659850</v>
      </c>
      <c r="AV444" s="1">
        <v>2198978</v>
      </c>
      <c r="AW444" s="1">
        <f t="shared" si="42"/>
        <v>91993506</v>
      </c>
    </row>
    <row r="445" spans="1:49" x14ac:dyDescent="0.2">
      <c r="A445" s="1" t="str">
        <f>"00515"</f>
        <v>00515</v>
      </c>
      <c r="B445" s="1" t="str">
        <f>"كورش"</f>
        <v>كورش</v>
      </c>
      <c r="C445" s="1" t="str">
        <f>"اميني"</f>
        <v>اميني</v>
      </c>
      <c r="D445" s="1" t="str">
        <f>"قراردادي کارگري"</f>
        <v>قراردادي کارگري</v>
      </c>
      <c r="E445" s="1" t="str">
        <f t="shared" si="46"/>
        <v>پروژه تعميرات نيروگاه بوشهر</v>
      </c>
      <c r="F445" s="1">
        <v>0</v>
      </c>
      <c r="G445" s="1">
        <v>10046102</v>
      </c>
      <c r="H445" s="1">
        <v>5023051</v>
      </c>
      <c r="I445" s="1">
        <v>18966515</v>
      </c>
      <c r="J445" s="1">
        <v>0</v>
      </c>
      <c r="K445" s="1">
        <v>13110162</v>
      </c>
      <c r="L445" s="1">
        <v>0</v>
      </c>
      <c r="M445" s="1">
        <v>0</v>
      </c>
      <c r="N445" s="1">
        <v>11331151</v>
      </c>
      <c r="O445" s="1">
        <v>2000000</v>
      </c>
      <c r="P445" s="1">
        <v>8036880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2640000</v>
      </c>
      <c r="W445" s="1">
        <v>0</v>
      </c>
      <c r="X445" s="1">
        <v>16980601</v>
      </c>
      <c r="Y445" s="1">
        <v>4000000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1028787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93163249</v>
      </c>
      <c r="AS445" s="1">
        <v>14677875</v>
      </c>
      <c r="AT445" s="1">
        <v>78485374</v>
      </c>
      <c r="AU445" s="1">
        <v>18632650</v>
      </c>
      <c r="AV445" s="1">
        <v>2794897</v>
      </c>
      <c r="AW445" s="1">
        <f t="shared" si="42"/>
        <v>114590796</v>
      </c>
    </row>
    <row r="446" spans="1:49" x14ac:dyDescent="0.2">
      <c r="A446" s="1" t="str">
        <f>"00516"</f>
        <v>00516</v>
      </c>
      <c r="B446" s="1" t="str">
        <f>"رضا"</f>
        <v>رضا</v>
      </c>
      <c r="C446" s="1" t="str">
        <f>"اشك منش"</f>
        <v>اشك منش</v>
      </c>
      <c r="D446" s="1" t="str">
        <f t="shared" ref="D446:D455" si="47">"قراردادي بهره بردار"</f>
        <v>قراردادي بهره بردار</v>
      </c>
      <c r="E446" s="1" t="str">
        <f t="shared" si="46"/>
        <v>پروژه تعميرات نيروگاه بوشهر</v>
      </c>
      <c r="F446" s="1">
        <v>28573523</v>
      </c>
      <c r="G446" s="1">
        <v>0</v>
      </c>
      <c r="H446" s="1">
        <v>0</v>
      </c>
      <c r="I446" s="1">
        <v>6328920</v>
      </c>
      <c r="J446" s="1">
        <v>0</v>
      </c>
      <c r="K446" s="1">
        <v>36403175</v>
      </c>
      <c r="L446" s="1">
        <v>0</v>
      </c>
      <c r="M446" s="1">
        <v>5500000</v>
      </c>
      <c r="N446" s="1">
        <v>0</v>
      </c>
      <c r="O446" s="1">
        <v>1000000</v>
      </c>
      <c r="P446" s="1">
        <v>4131849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1848000</v>
      </c>
      <c r="W446" s="1">
        <v>0</v>
      </c>
      <c r="X446" s="1">
        <v>8153621</v>
      </c>
      <c r="Y446" s="1">
        <v>4000000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4459102</v>
      </c>
      <c r="AF446" s="1">
        <v>0</v>
      </c>
      <c r="AG446" s="1">
        <v>3246453</v>
      </c>
      <c r="AH446" s="1">
        <v>1835427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4722113</v>
      </c>
      <c r="AO446" s="1">
        <v>0</v>
      </c>
      <c r="AP446" s="1">
        <v>0</v>
      </c>
      <c r="AQ446" s="1">
        <v>0</v>
      </c>
      <c r="AR446" s="1">
        <v>110202183</v>
      </c>
      <c r="AS446" s="1">
        <v>38644617</v>
      </c>
      <c r="AT446" s="1">
        <v>71557566</v>
      </c>
      <c r="AU446" s="1">
        <v>21673351</v>
      </c>
      <c r="AV446" s="1">
        <v>3251003</v>
      </c>
      <c r="AW446" s="1">
        <f t="shared" si="42"/>
        <v>135126537</v>
      </c>
    </row>
    <row r="447" spans="1:49" x14ac:dyDescent="0.2">
      <c r="A447" s="1" t="str">
        <f>"00517"</f>
        <v>00517</v>
      </c>
      <c r="B447" s="1" t="str">
        <f>"سجاد"</f>
        <v>سجاد</v>
      </c>
      <c r="C447" s="1" t="str">
        <f>"جعفري زاده"</f>
        <v>جعفري زاده</v>
      </c>
      <c r="D447" s="1" t="str">
        <f t="shared" si="47"/>
        <v>قراردادي بهره بردار</v>
      </c>
      <c r="E447" s="1" t="str">
        <f t="shared" si="46"/>
        <v>پروژه تعميرات نيروگاه بوشهر</v>
      </c>
      <c r="F447" s="1">
        <v>26600937</v>
      </c>
      <c r="G447" s="1">
        <v>0</v>
      </c>
      <c r="H447" s="1">
        <v>0</v>
      </c>
      <c r="I447" s="1">
        <v>8592498</v>
      </c>
      <c r="J447" s="1">
        <v>0</v>
      </c>
      <c r="K447" s="1">
        <v>21083184</v>
      </c>
      <c r="L447" s="1">
        <v>0</v>
      </c>
      <c r="M447" s="1">
        <v>5500000</v>
      </c>
      <c r="N447" s="1">
        <v>0</v>
      </c>
      <c r="O447" s="1">
        <v>1000000</v>
      </c>
      <c r="P447" s="1">
        <v>3937866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1848000</v>
      </c>
      <c r="W447" s="1">
        <v>0</v>
      </c>
      <c r="X447" s="1">
        <v>14231012</v>
      </c>
      <c r="Y447" s="1">
        <v>4000000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3094038</v>
      </c>
      <c r="AH447" s="1">
        <v>1835427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7157942</v>
      </c>
      <c r="AO447" s="1">
        <v>0</v>
      </c>
      <c r="AP447" s="1">
        <v>0</v>
      </c>
      <c r="AQ447" s="1">
        <v>0</v>
      </c>
      <c r="AR447" s="1">
        <v>98880904</v>
      </c>
      <c r="AS447" s="1">
        <v>38949882</v>
      </c>
      <c r="AT447" s="1">
        <v>59931022</v>
      </c>
      <c r="AU447" s="1">
        <v>19409095</v>
      </c>
      <c r="AV447" s="1">
        <v>2911364</v>
      </c>
      <c r="AW447" s="1">
        <f t="shared" si="42"/>
        <v>121201363</v>
      </c>
    </row>
    <row r="448" spans="1:49" x14ac:dyDescent="0.2">
      <c r="A448" s="1" t="str">
        <f>"00519"</f>
        <v>00519</v>
      </c>
      <c r="B448" s="1" t="str">
        <f>"رامين"</f>
        <v>رامين</v>
      </c>
      <c r="C448" s="1" t="str">
        <f>"وزان"</f>
        <v>وزان</v>
      </c>
      <c r="D448" s="1" t="str">
        <f t="shared" si="47"/>
        <v>قراردادي بهره بردار</v>
      </c>
      <c r="E448" s="1" t="str">
        <f t="shared" si="46"/>
        <v>پروژه تعميرات نيروگاه بوشهر</v>
      </c>
      <c r="F448" s="1">
        <v>27757280</v>
      </c>
      <c r="G448" s="1">
        <v>0</v>
      </c>
      <c r="H448" s="1">
        <v>0</v>
      </c>
      <c r="I448" s="1">
        <v>0</v>
      </c>
      <c r="J448" s="1">
        <v>0</v>
      </c>
      <c r="K448" s="1">
        <v>25020023</v>
      </c>
      <c r="L448" s="1">
        <v>0</v>
      </c>
      <c r="M448" s="1">
        <v>5500000</v>
      </c>
      <c r="N448" s="1">
        <v>0</v>
      </c>
      <c r="O448" s="1">
        <v>1000000</v>
      </c>
      <c r="P448" s="1">
        <v>4342586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1848000</v>
      </c>
      <c r="W448" s="1">
        <v>0</v>
      </c>
      <c r="X448" s="1">
        <v>21911247</v>
      </c>
      <c r="Y448" s="1">
        <v>4000000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3412032</v>
      </c>
      <c r="AH448" s="1">
        <v>1835427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7940729</v>
      </c>
      <c r="AO448" s="1">
        <v>0</v>
      </c>
      <c r="AP448" s="1">
        <v>0</v>
      </c>
      <c r="AQ448" s="1">
        <v>0</v>
      </c>
      <c r="AR448" s="1">
        <v>104567324</v>
      </c>
      <c r="AS448" s="1">
        <v>37927159</v>
      </c>
      <c r="AT448" s="1">
        <v>66640165</v>
      </c>
      <c r="AU448" s="1">
        <v>20546379</v>
      </c>
      <c r="AV448" s="1">
        <v>3081957</v>
      </c>
      <c r="AW448" s="1">
        <f t="shared" si="42"/>
        <v>128195660</v>
      </c>
    </row>
    <row r="449" spans="1:49" x14ac:dyDescent="0.2">
      <c r="A449" s="1" t="str">
        <f>"00520"</f>
        <v>00520</v>
      </c>
      <c r="B449" s="1" t="str">
        <f>"امير"</f>
        <v>امير</v>
      </c>
      <c r="C449" s="1" t="str">
        <f>"مجدميان"</f>
        <v>مجدميان</v>
      </c>
      <c r="D449" s="1" t="str">
        <f t="shared" si="47"/>
        <v>قراردادي بهره بردار</v>
      </c>
      <c r="E449" s="1" t="str">
        <f t="shared" si="46"/>
        <v>پروژه تعميرات نيروگاه بوشهر</v>
      </c>
      <c r="F449" s="1">
        <v>22083892</v>
      </c>
      <c r="G449" s="1">
        <v>0</v>
      </c>
      <c r="H449" s="1">
        <v>0</v>
      </c>
      <c r="I449" s="1">
        <v>11367530</v>
      </c>
      <c r="J449" s="1">
        <v>0</v>
      </c>
      <c r="K449" s="1">
        <v>17647723</v>
      </c>
      <c r="L449" s="1">
        <v>0</v>
      </c>
      <c r="M449" s="1">
        <v>4620000</v>
      </c>
      <c r="N449" s="1">
        <v>0</v>
      </c>
      <c r="O449" s="1">
        <v>1000000</v>
      </c>
      <c r="P449" s="1">
        <v>4418416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1848000</v>
      </c>
      <c r="W449" s="1">
        <v>0</v>
      </c>
      <c r="X449" s="1">
        <v>17751420</v>
      </c>
      <c r="Y449" s="1">
        <v>4000000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3471613</v>
      </c>
      <c r="AH449" s="1">
        <v>3670854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7851547</v>
      </c>
      <c r="AO449" s="1">
        <v>0</v>
      </c>
      <c r="AP449" s="1">
        <v>0</v>
      </c>
      <c r="AQ449" s="1">
        <v>0</v>
      </c>
      <c r="AR449" s="1">
        <v>99730995</v>
      </c>
      <c r="AS449" s="1">
        <v>19698743</v>
      </c>
      <c r="AT449" s="1">
        <v>80032252</v>
      </c>
      <c r="AU449" s="1">
        <v>19212028</v>
      </c>
      <c r="AV449" s="1">
        <v>2881804</v>
      </c>
      <c r="AW449" s="1">
        <f t="shared" si="42"/>
        <v>121824827</v>
      </c>
    </row>
    <row r="450" spans="1:49" x14ac:dyDescent="0.2">
      <c r="A450" s="1" t="str">
        <f>"00521"</f>
        <v>00521</v>
      </c>
      <c r="B450" s="1" t="str">
        <f>"حسين"</f>
        <v>حسين</v>
      </c>
      <c r="C450" s="1" t="str">
        <f>"آرمند"</f>
        <v>آرمند</v>
      </c>
      <c r="D450" s="1" t="str">
        <f t="shared" si="47"/>
        <v>قراردادي بهره بردار</v>
      </c>
      <c r="E450" s="1" t="str">
        <f t="shared" ref="E450:E455" si="48">"پروژه بهره برداري نيروگاه بوشهر"</f>
        <v>پروژه بهره برداري نيروگاه بوشهر</v>
      </c>
      <c r="F450" s="1">
        <v>18551880</v>
      </c>
      <c r="G450" s="1">
        <v>0</v>
      </c>
      <c r="H450" s="1">
        <v>0</v>
      </c>
      <c r="I450" s="1">
        <v>2287213</v>
      </c>
      <c r="J450" s="1">
        <v>0</v>
      </c>
      <c r="K450" s="1">
        <v>15889027</v>
      </c>
      <c r="L450" s="1">
        <v>0</v>
      </c>
      <c r="M450" s="1">
        <v>4620000</v>
      </c>
      <c r="N450" s="1">
        <v>0</v>
      </c>
      <c r="O450" s="1">
        <v>1000000</v>
      </c>
      <c r="P450" s="1">
        <v>3592222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1848000</v>
      </c>
      <c r="W450" s="1">
        <v>0</v>
      </c>
      <c r="X450" s="1">
        <v>15715431</v>
      </c>
      <c r="Y450" s="1">
        <v>4000000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2822460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8255133</v>
      </c>
      <c r="AO450" s="1">
        <v>0</v>
      </c>
      <c r="AP450" s="1">
        <v>0</v>
      </c>
      <c r="AQ450" s="1">
        <v>0</v>
      </c>
      <c r="AR450" s="1">
        <v>78581366</v>
      </c>
      <c r="AS450" s="1">
        <v>24564711</v>
      </c>
      <c r="AT450" s="1">
        <v>54016655</v>
      </c>
      <c r="AU450" s="1">
        <v>15716273</v>
      </c>
      <c r="AV450" s="1">
        <v>2357441</v>
      </c>
      <c r="AW450" s="1">
        <f t="shared" si="42"/>
        <v>96655080</v>
      </c>
    </row>
    <row r="451" spans="1:49" x14ac:dyDescent="0.2">
      <c r="A451" s="1" t="str">
        <f>"00522"</f>
        <v>00522</v>
      </c>
      <c r="B451" s="1" t="str">
        <f>"حميد"</f>
        <v>حميد</v>
      </c>
      <c r="C451" s="1" t="str">
        <f>"آقا بابايي"</f>
        <v>آقا بابايي</v>
      </c>
      <c r="D451" s="1" t="str">
        <f t="shared" si="47"/>
        <v>قراردادي بهره بردار</v>
      </c>
      <c r="E451" s="1" t="str">
        <f t="shared" si="48"/>
        <v>پروژه بهره برداري نيروگاه بوشهر</v>
      </c>
      <c r="F451" s="1">
        <v>44187937</v>
      </c>
      <c r="G451" s="1">
        <v>0</v>
      </c>
      <c r="H451" s="1">
        <v>0</v>
      </c>
      <c r="I451" s="1">
        <v>19077486</v>
      </c>
      <c r="J451" s="1">
        <v>0</v>
      </c>
      <c r="K451" s="1">
        <v>56366752</v>
      </c>
      <c r="L451" s="1">
        <v>0</v>
      </c>
      <c r="M451" s="1">
        <v>5500000</v>
      </c>
      <c r="N451" s="1">
        <v>0</v>
      </c>
      <c r="O451" s="1">
        <v>1000000</v>
      </c>
      <c r="P451" s="1">
        <v>6620129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1848000</v>
      </c>
      <c r="W451" s="1">
        <v>0</v>
      </c>
      <c r="X451" s="1">
        <v>12288874</v>
      </c>
      <c r="Y451" s="1">
        <v>4000000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3892267</v>
      </c>
      <c r="AF451" s="1">
        <v>0</v>
      </c>
      <c r="AG451" s="1">
        <v>5201530</v>
      </c>
      <c r="AH451" s="1">
        <v>3670854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6620129</v>
      </c>
      <c r="AO451" s="1">
        <v>0</v>
      </c>
      <c r="AP451" s="1">
        <v>0</v>
      </c>
      <c r="AQ451" s="1">
        <v>0</v>
      </c>
      <c r="AR451" s="1">
        <v>170273958</v>
      </c>
      <c r="AS451" s="1">
        <v>37304779</v>
      </c>
      <c r="AT451" s="1">
        <v>132969179</v>
      </c>
      <c r="AU451" s="1">
        <v>27637511</v>
      </c>
      <c r="AV451" s="1">
        <v>4145627</v>
      </c>
      <c r="AW451" s="1">
        <f t="shared" ref="AW451:AW514" si="49">AR451+AU451+AV451</f>
        <v>202057096</v>
      </c>
    </row>
    <row r="452" spans="1:49" x14ac:dyDescent="0.2">
      <c r="A452" s="1" t="str">
        <f>"00523"</f>
        <v>00523</v>
      </c>
      <c r="B452" s="1" t="str">
        <f>"محسن"</f>
        <v>محسن</v>
      </c>
      <c r="C452" s="1" t="str">
        <f>"ابراهيمي"</f>
        <v>ابراهيمي</v>
      </c>
      <c r="D452" s="1" t="str">
        <f t="shared" si="47"/>
        <v>قراردادي بهره بردار</v>
      </c>
      <c r="E452" s="1" t="str">
        <f t="shared" si="48"/>
        <v>پروژه بهره برداري نيروگاه بوشهر</v>
      </c>
      <c r="F452" s="1">
        <v>21605231</v>
      </c>
      <c r="G452" s="1">
        <v>0</v>
      </c>
      <c r="H452" s="1">
        <v>0</v>
      </c>
      <c r="I452" s="1">
        <v>2088633</v>
      </c>
      <c r="J452" s="1">
        <v>0</v>
      </c>
      <c r="K452" s="1">
        <v>16413394</v>
      </c>
      <c r="L452" s="1">
        <v>0</v>
      </c>
      <c r="M452" s="1">
        <v>4125000</v>
      </c>
      <c r="N452" s="1">
        <v>0</v>
      </c>
      <c r="O452" s="1">
        <v>1000000</v>
      </c>
      <c r="P452" s="1">
        <v>3699795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1848000</v>
      </c>
      <c r="W452" s="1">
        <v>0</v>
      </c>
      <c r="X452" s="1">
        <v>22699335</v>
      </c>
      <c r="Y452" s="1">
        <v>4000000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2906982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6672530</v>
      </c>
      <c r="AO452" s="1">
        <v>0</v>
      </c>
      <c r="AP452" s="1">
        <v>0</v>
      </c>
      <c r="AQ452" s="1">
        <v>0</v>
      </c>
      <c r="AR452" s="1">
        <v>87058900</v>
      </c>
      <c r="AS452" s="1">
        <v>20204225</v>
      </c>
      <c r="AT452" s="1">
        <v>66854675</v>
      </c>
      <c r="AU452" s="1">
        <v>17411780</v>
      </c>
      <c r="AV452" s="1">
        <v>2611767</v>
      </c>
      <c r="AW452" s="1">
        <f t="shared" si="49"/>
        <v>107082447</v>
      </c>
    </row>
    <row r="453" spans="1:49" x14ac:dyDescent="0.2">
      <c r="A453" s="1" t="str">
        <f>"00524"</f>
        <v>00524</v>
      </c>
      <c r="B453" s="1" t="str">
        <f>"مهدي"</f>
        <v>مهدي</v>
      </c>
      <c r="C453" s="1" t="str">
        <f>"اسکندري"</f>
        <v>اسکندري</v>
      </c>
      <c r="D453" s="1" t="str">
        <f t="shared" si="47"/>
        <v>قراردادي بهره بردار</v>
      </c>
      <c r="E453" s="1" t="str">
        <f t="shared" si="48"/>
        <v>پروژه بهره برداري نيروگاه بوشهر</v>
      </c>
      <c r="F453" s="1">
        <v>21905024</v>
      </c>
      <c r="G453" s="1">
        <v>0</v>
      </c>
      <c r="H453" s="1">
        <v>0</v>
      </c>
      <c r="I453" s="1">
        <v>7502126</v>
      </c>
      <c r="J453" s="1">
        <v>0</v>
      </c>
      <c r="K453" s="1">
        <v>18333610</v>
      </c>
      <c r="L453" s="1">
        <v>0</v>
      </c>
      <c r="M453" s="1">
        <v>5500000</v>
      </c>
      <c r="N453" s="1">
        <v>0</v>
      </c>
      <c r="O453" s="1">
        <v>1000000</v>
      </c>
      <c r="P453" s="1">
        <v>3804723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16566831</v>
      </c>
      <c r="Y453" s="1">
        <v>4000000</v>
      </c>
      <c r="Z453" s="1">
        <v>3179762</v>
      </c>
      <c r="AA453" s="1">
        <v>0</v>
      </c>
      <c r="AB453" s="1">
        <v>0</v>
      </c>
      <c r="AC453" s="1">
        <v>0</v>
      </c>
      <c r="AD453" s="1">
        <v>0</v>
      </c>
      <c r="AE453" s="1">
        <v>4459102</v>
      </c>
      <c r="AF453" s="1">
        <v>0</v>
      </c>
      <c r="AG453" s="1">
        <v>2989425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20537817</v>
      </c>
      <c r="AO453" s="1">
        <v>0</v>
      </c>
      <c r="AP453" s="1">
        <v>0</v>
      </c>
      <c r="AQ453" s="1">
        <v>0</v>
      </c>
      <c r="AR453" s="1">
        <v>109778420</v>
      </c>
      <c r="AS453" s="1">
        <v>20989084</v>
      </c>
      <c r="AT453" s="1">
        <v>88789336</v>
      </c>
      <c r="AU453" s="1">
        <v>21955684</v>
      </c>
      <c r="AV453" s="1">
        <v>3293353</v>
      </c>
      <c r="AW453" s="1">
        <f t="shared" si="49"/>
        <v>135027457</v>
      </c>
    </row>
    <row r="454" spans="1:49" x14ac:dyDescent="0.2">
      <c r="A454" s="1" t="str">
        <f>"00525"</f>
        <v>00525</v>
      </c>
      <c r="B454" s="1" t="str">
        <f>"روح اله"</f>
        <v>روح اله</v>
      </c>
      <c r="C454" s="1" t="str">
        <f>"اسيري"</f>
        <v>اسيري</v>
      </c>
      <c r="D454" s="1" t="str">
        <f t="shared" si="47"/>
        <v>قراردادي بهره بردار</v>
      </c>
      <c r="E454" s="1" t="str">
        <f t="shared" si="48"/>
        <v>پروژه بهره برداري نيروگاه بوشهر</v>
      </c>
      <c r="F454" s="1">
        <v>17954814</v>
      </c>
      <c r="G454" s="1">
        <v>0</v>
      </c>
      <c r="H454" s="1">
        <v>0</v>
      </c>
      <c r="I454" s="1">
        <v>868597</v>
      </c>
      <c r="J454" s="1">
        <v>0</v>
      </c>
      <c r="K454" s="1">
        <v>16759470</v>
      </c>
      <c r="L454" s="1">
        <v>0</v>
      </c>
      <c r="M454" s="1">
        <v>4620000</v>
      </c>
      <c r="N454" s="1">
        <v>0</v>
      </c>
      <c r="O454" s="1">
        <v>1000000</v>
      </c>
      <c r="P454" s="1">
        <v>3383249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1848000</v>
      </c>
      <c r="W454" s="1">
        <v>0</v>
      </c>
      <c r="X454" s="1">
        <v>11508656</v>
      </c>
      <c r="Y454" s="1">
        <v>4000000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2658268</v>
      </c>
      <c r="AH454" s="1">
        <v>1835427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9281835</v>
      </c>
      <c r="AO454" s="1">
        <v>0</v>
      </c>
      <c r="AP454" s="1">
        <v>0</v>
      </c>
      <c r="AQ454" s="1">
        <v>0</v>
      </c>
      <c r="AR454" s="1">
        <v>75718316</v>
      </c>
      <c r="AS454" s="1">
        <v>17820382</v>
      </c>
      <c r="AT454" s="1">
        <v>57897934</v>
      </c>
      <c r="AU454" s="1">
        <v>14776578</v>
      </c>
      <c r="AV454" s="1">
        <v>2216487</v>
      </c>
      <c r="AW454" s="1">
        <f t="shared" si="49"/>
        <v>92711381</v>
      </c>
    </row>
    <row r="455" spans="1:49" x14ac:dyDescent="0.2">
      <c r="A455" s="1" t="str">
        <f>"00526"</f>
        <v>00526</v>
      </c>
      <c r="B455" s="1" t="str">
        <f>"سارا"</f>
        <v>سارا</v>
      </c>
      <c r="C455" s="1" t="str">
        <f>"اميدي"</f>
        <v>اميدي</v>
      </c>
      <c r="D455" s="1" t="str">
        <f t="shared" si="47"/>
        <v>قراردادي بهره بردار</v>
      </c>
      <c r="E455" s="1" t="str">
        <f t="shared" si="48"/>
        <v>پروژه بهره برداري نيروگاه بوشهر</v>
      </c>
      <c r="F455" s="1">
        <v>16229116</v>
      </c>
      <c r="G455" s="1">
        <v>0</v>
      </c>
      <c r="H455" s="1">
        <v>0</v>
      </c>
      <c r="I455" s="1">
        <v>0</v>
      </c>
      <c r="J455" s="1">
        <v>0</v>
      </c>
      <c r="K455" s="1">
        <v>12264525</v>
      </c>
      <c r="L455" s="1">
        <v>2530000</v>
      </c>
      <c r="M455" s="1">
        <v>3465000</v>
      </c>
      <c r="N455" s="1">
        <v>0</v>
      </c>
      <c r="O455" s="1">
        <v>1000000</v>
      </c>
      <c r="P455" s="1">
        <v>3057004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1848000</v>
      </c>
      <c r="W455" s="1">
        <v>0</v>
      </c>
      <c r="X455" s="1">
        <v>3914006</v>
      </c>
      <c r="Y455" s="1">
        <v>4000000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2401932</v>
      </c>
      <c r="AH455" s="1">
        <v>1835427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5187485</v>
      </c>
      <c r="AO455" s="1">
        <v>0</v>
      </c>
      <c r="AP455" s="1">
        <v>0</v>
      </c>
      <c r="AQ455" s="1">
        <v>0</v>
      </c>
      <c r="AR455" s="1">
        <v>57732495</v>
      </c>
      <c r="AS455" s="1">
        <v>23246040</v>
      </c>
      <c r="AT455" s="1">
        <v>34486455</v>
      </c>
      <c r="AU455" s="1">
        <v>10673414</v>
      </c>
      <c r="AV455" s="1">
        <v>1601012</v>
      </c>
      <c r="AW455" s="1">
        <f t="shared" si="49"/>
        <v>70006921</v>
      </c>
    </row>
    <row r="456" spans="1:49" x14ac:dyDescent="0.2">
      <c r="A456" s="1" t="str">
        <f>"00527"</f>
        <v>00527</v>
      </c>
      <c r="B456" s="1" t="str">
        <f>"اسحاق"</f>
        <v>اسحاق</v>
      </c>
      <c r="C456" s="1" t="str">
        <f>"غلامي"</f>
        <v>غلامي</v>
      </c>
      <c r="D456" s="1" t="str">
        <f>"قراردادي کارگري"</f>
        <v>قراردادي کارگري</v>
      </c>
      <c r="E456" s="1" t="str">
        <f>"پروژه تعميرات نيروگاه بوشهر"</f>
        <v>پروژه تعميرات نيروگاه بوشهر</v>
      </c>
      <c r="F456" s="1">
        <v>0</v>
      </c>
      <c r="G456" s="1">
        <v>4978385</v>
      </c>
      <c r="H456" s="1">
        <v>2588760</v>
      </c>
      <c r="I456" s="1">
        <v>9241256</v>
      </c>
      <c r="J456" s="1">
        <v>0</v>
      </c>
      <c r="K456" s="1">
        <v>6129388</v>
      </c>
      <c r="L456" s="1">
        <v>0</v>
      </c>
      <c r="M456" s="1">
        <v>0</v>
      </c>
      <c r="N456" s="1">
        <v>11521166</v>
      </c>
      <c r="O456" s="1">
        <v>2000000</v>
      </c>
      <c r="P456" s="1">
        <v>3982708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2640000</v>
      </c>
      <c r="W456" s="1">
        <v>0</v>
      </c>
      <c r="X456" s="1">
        <v>3540041</v>
      </c>
      <c r="Y456" s="1">
        <v>4000000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1835427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52457131</v>
      </c>
      <c r="AS456" s="1">
        <v>9479681</v>
      </c>
      <c r="AT456" s="1">
        <v>42977450</v>
      </c>
      <c r="AU456" s="1">
        <v>10124341</v>
      </c>
      <c r="AV456" s="1">
        <v>1518651</v>
      </c>
      <c r="AW456" s="1">
        <f t="shared" si="49"/>
        <v>64100123</v>
      </c>
    </row>
    <row r="457" spans="1:49" x14ac:dyDescent="0.2">
      <c r="A457" s="1" t="str">
        <f>"00528"</f>
        <v>00528</v>
      </c>
      <c r="B457" s="1" t="str">
        <f>"ميلاد"</f>
        <v>ميلاد</v>
      </c>
      <c r="C457" s="1" t="str">
        <f>"بيژندي"</f>
        <v>بيژندي</v>
      </c>
      <c r="D457" s="1" t="str">
        <f t="shared" ref="D457:D487" si="50">"قراردادي بهره بردار"</f>
        <v>قراردادي بهره بردار</v>
      </c>
      <c r="E457" s="1" t="str">
        <f t="shared" ref="E457:E486" si="51">"پروژه بهره برداري نيروگاه بوشهر"</f>
        <v>پروژه بهره برداري نيروگاه بوشهر</v>
      </c>
      <c r="F457" s="1">
        <v>16445773</v>
      </c>
      <c r="G457" s="1">
        <v>0</v>
      </c>
      <c r="H457" s="1">
        <v>0</v>
      </c>
      <c r="I457" s="1">
        <v>4561337</v>
      </c>
      <c r="J457" s="1">
        <v>0</v>
      </c>
      <c r="K457" s="1">
        <v>12780257</v>
      </c>
      <c r="L457" s="1">
        <v>0</v>
      </c>
      <c r="M457" s="1">
        <v>0</v>
      </c>
      <c r="N457" s="1">
        <v>0</v>
      </c>
      <c r="O457" s="1">
        <v>1000000</v>
      </c>
      <c r="P457" s="1">
        <v>3132834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16491191</v>
      </c>
      <c r="Y457" s="1">
        <v>4000000</v>
      </c>
      <c r="Z457" s="1">
        <v>2387290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2461513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13329088</v>
      </c>
      <c r="AO457" s="1">
        <v>0</v>
      </c>
      <c r="AP457" s="1">
        <v>0</v>
      </c>
      <c r="AQ457" s="1">
        <v>0</v>
      </c>
      <c r="AR457" s="1">
        <v>76589283</v>
      </c>
      <c r="AS457" s="1">
        <v>28188617</v>
      </c>
      <c r="AT457" s="1">
        <v>48400666</v>
      </c>
      <c r="AU457" s="1">
        <v>15317857</v>
      </c>
      <c r="AV457" s="1">
        <v>2297678</v>
      </c>
      <c r="AW457" s="1">
        <f t="shared" si="49"/>
        <v>94204818</v>
      </c>
    </row>
    <row r="458" spans="1:49" x14ac:dyDescent="0.2">
      <c r="A458" s="1" t="str">
        <f>"00531"</f>
        <v>00531</v>
      </c>
      <c r="B458" s="1" t="str">
        <f>"مسعود"</f>
        <v>مسعود</v>
      </c>
      <c r="C458" s="1" t="str">
        <f>"حسين آبادي"</f>
        <v>حسين آبادي</v>
      </c>
      <c r="D458" s="1" t="str">
        <f t="shared" si="50"/>
        <v>قراردادي بهره بردار</v>
      </c>
      <c r="E458" s="1" t="str">
        <f t="shared" si="51"/>
        <v>پروژه بهره برداري نيروگاه بوشهر</v>
      </c>
      <c r="F458" s="1">
        <v>18423397</v>
      </c>
      <c r="G458" s="1">
        <v>0</v>
      </c>
      <c r="H458" s="1">
        <v>0</v>
      </c>
      <c r="I458" s="1">
        <v>8942044</v>
      </c>
      <c r="J458" s="1">
        <v>0</v>
      </c>
      <c r="K458" s="1">
        <v>16969422</v>
      </c>
      <c r="L458" s="1">
        <v>0</v>
      </c>
      <c r="M458" s="1">
        <v>4620000</v>
      </c>
      <c r="N458" s="1">
        <v>0</v>
      </c>
      <c r="O458" s="1">
        <v>1000000</v>
      </c>
      <c r="P458" s="1">
        <v>3547254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1848000</v>
      </c>
      <c r="W458" s="1">
        <v>0</v>
      </c>
      <c r="X458" s="1">
        <v>17963651</v>
      </c>
      <c r="Y458" s="1">
        <v>4000000</v>
      </c>
      <c r="Z458" s="1">
        <v>2674364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2787127</v>
      </c>
      <c r="AH458" s="1">
        <v>1835427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14851228</v>
      </c>
      <c r="AO458" s="1">
        <v>0</v>
      </c>
      <c r="AP458" s="1">
        <v>0</v>
      </c>
      <c r="AQ458" s="1">
        <v>0</v>
      </c>
      <c r="AR458" s="1">
        <v>99461914</v>
      </c>
      <c r="AS458" s="1">
        <v>35304071</v>
      </c>
      <c r="AT458" s="1">
        <v>64157843</v>
      </c>
      <c r="AU458" s="1">
        <v>19525297</v>
      </c>
      <c r="AV458" s="1">
        <v>2928795</v>
      </c>
      <c r="AW458" s="1">
        <f t="shared" si="49"/>
        <v>121916006</v>
      </c>
    </row>
    <row r="459" spans="1:49" x14ac:dyDescent="0.2">
      <c r="A459" s="1" t="str">
        <f>"00533"</f>
        <v>00533</v>
      </c>
      <c r="B459" s="1" t="str">
        <f>"نيما"</f>
        <v>نيما</v>
      </c>
      <c r="C459" s="1" t="str">
        <f>"درست کار"</f>
        <v>درست کار</v>
      </c>
      <c r="D459" s="1" t="str">
        <f t="shared" si="50"/>
        <v>قراردادي بهره بردار</v>
      </c>
      <c r="E459" s="1" t="str">
        <f t="shared" si="51"/>
        <v>پروژه بهره برداري نيروگاه بوشهر</v>
      </c>
      <c r="F459" s="1">
        <v>22824556</v>
      </c>
      <c r="G459" s="1">
        <v>0</v>
      </c>
      <c r="H459" s="1">
        <v>0</v>
      </c>
      <c r="I459" s="1">
        <v>10033903</v>
      </c>
      <c r="J459" s="1">
        <v>0</v>
      </c>
      <c r="K459" s="1">
        <v>20974531</v>
      </c>
      <c r="L459" s="1">
        <v>0</v>
      </c>
      <c r="M459" s="1">
        <v>5500000</v>
      </c>
      <c r="N459" s="1">
        <v>0</v>
      </c>
      <c r="O459" s="1">
        <v>1000000</v>
      </c>
      <c r="P459" s="1">
        <v>4126559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1848000</v>
      </c>
      <c r="W459" s="1">
        <v>0</v>
      </c>
      <c r="X459" s="1">
        <v>24035097</v>
      </c>
      <c r="Y459" s="1">
        <v>4000000</v>
      </c>
      <c r="Z459" s="1">
        <v>3313242</v>
      </c>
      <c r="AA459" s="1">
        <v>0</v>
      </c>
      <c r="AB459" s="1">
        <v>0</v>
      </c>
      <c r="AC459" s="1">
        <v>0</v>
      </c>
      <c r="AD459" s="1">
        <v>0</v>
      </c>
      <c r="AE459" s="1">
        <v>4459102</v>
      </c>
      <c r="AF459" s="1">
        <v>0</v>
      </c>
      <c r="AG459" s="1">
        <v>3242296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21905528</v>
      </c>
      <c r="AO459" s="1">
        <v>0</v>
      </c>
      <c r="AP459" s="1">
        <v>0</v>
      </c>
      <c r="AQ459" s="1">
        <v>0</v>
      </c>
      <c r="AR459" s="1">
        <v>127262814</v>
      </c>
      <c r="AS459" s="1">
        <v>48312702</v>
      </c>
      <c r="AT459" s="1">
        <v>78950112</v>
      </c>
      <c r="AU459" s="1">
        <v>25452563</v>
      </c>
      <c r="AV459" s="1">
        <v>3817884</v>
      </c>
      <c r="AW459" s="1">
        <f t="shared" si="49"/>
        <v>156533261</v>
      </c>
    </row>
    <row r="460" spans="1:49" x14ac:dyDescent="0.2">
      <c r="A460" s="1" t="str">
        <f>"00534"</f>
        <v>00534</v>
      </c>
      <c r="B460" s="1" t="str">
        <f>"اكرم"</f>
        <v>اكرم</v>
      </c>
      <c r="C460" s="1" t="str">
        <f>"درويشي"</f>
        <v>درويشي</v>
      </c>
      <c r="D460" s="1" t="str">
        <f t="shared" si="50"/>
        <v>قراردادي بهره بردار</v>
      </c>
      <c r="E460" s="1" t="str">
        <f t="shared" si="51"/>
        <v>پروژه بهره برداري نيروگاه بوشهر</v>
      </c>
      <c r="F460" s="1">
        <v>16355079</v>
      </c>
      <c r="G460" s="1">
        <v>0</v>
      </c>
      <c r="H460" s="1">
        <v>0</v>
      </c>
      <c r="I460" s="1">
        <v>0</v>
      </c>
      <c r="J460" s="1">
        <v>0</v>
      </c>
      <c r="K460" s="1">
        <v>11912895</v>
      </c>
      <c r="L460" s="1">
        <v>0</v>
      </c>
      <c r="M460" s="1">
        <v>3465000</v>
      </c>
      <c r="N460" s="1">
        <v>0</v>
      </c>
      <c r="O460" s="1">
        <v>1000000</v>
      </c>
      <c r="P460" s="1">
        <v>3131953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1848000</v>
      </c>
      <c r="W460" s="1">
        <v>0</v>
      </c>
      <c r="X460" s="1">
        <v>3913357</v>
      </c>
      <c r="Y460" s="1">
        <v>4000000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2460819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5272825</v>
      </c>
      <c r="AO460" s="1">
        <v>0</v>
      </c>
      <c r="AP460" s="1">
        <v>0</v>
      </c>
      <c r="AQ460" s="1">
        <v>0</v>
      </c>
      <c r="AR460" s="1">
        <v>53359928</v>
      </c>
      <c r="AS460" s="1">
        <v>31255079</v>
      </c>
      <c r="AT460" s="1">
        <v>22104849</v>
      </c>
      <c r="AU460" s="1">
        <v>10671986</v>
      </c>
      <c r="AV460" s="1">
        <v>1600798</v>
      </c>
      <c r="AW460" s="1">
        <f t="shared" si="49"/>
        <v>65632712</v>
      </c>
    </row>
    <row r="461" spans="1:49" x14ac:dyDescent="0.2">
      <c r="A461" s="1" t="str">
        <f>"00535"</f>
        <v>00535</v>
      </c>
      <c r="B461" s="1" t="str">
        <f>"اسماء"</f>
        <v>اسماء</v>
      </c>
      <c r="C461" s="1" t="str">
        <f>"دولتي"</f>
        <v>دولتي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15891534</v>
      </c>
      <c r="G461" s="1">
        <v>0</v>
      </c>
      <c r="H461" s="1">
        <v>0</v>
      </c>
      <c r="I461" s="1">
        <v>864438</v>
      </c>
      <c r="J461" s="1">
        <v>0</v>
      </c>
      <c r="K461" s="1">
        <v>11130024</v>
      </c>
      <c r="L461" s="1">
        <v>0</v>
      </c>
      <c r="M461" s="1">
        <v>3465000</v>
      </c>
      <c r="N461" s="1">
        <v>0</v>
      </c>
      <c r="O461" s="1">
        <v>1000000</v>
      </c>
      <c r="P461" s="1">
        <v>2661101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1848000</v>
      </c>
      <c r="W461" s="1">
        <v>0</v>
      </c>
      <c r="X461" s="1">
        <v>3712218</v>
      </c>
      <c r="Y461" s="1">
        <v>4000000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2090865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5348655</v>
      </c>
      <c r="AO461" s="1">
        <v>0</v>
      </c>
      <c r="AP461" s="1">
        <v>0</v>
      </c>
      <c r="AQ461" s="1">
        <v>0</v>
      </c>
      <c r="AR461" s="1">
        <v>52011835</v>
      </c>
      <c r="AS461" s="1">
        <v>16286732</v>
      </c>
      <c r="AT461" s="1">
        <v>35725103</v>
      </c>
      <c r="AU461" s="1">
        <v>10402367</v>
      </c>
      <c r="AV461" s="1">
        <v>1560355</v>
      </c>
      <c r="AW461" s="1">
        <f t="shared" si="49"/>
        <v>63974557</v>
      </c>
    </row>
    <row r="462" spans="1:49" x14ac:dyDescent="0.2">
      <c r="A462" s="1" t="str">
        <f>"00536"</f>
        <v>00536</v>
      </c>
      <c r="B462" s="1" t="str">
        <f>"سجاد"</f>
        <v>سجاد</v>
      </c>
      <c r="C462" s="1" t="str">
        <f>"دهقاني فتح ابادي"</f>
        <v>دهقاني فتح ابادي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f t="shared" si="49"/>
        <v>0</v>
      </c>
    </row>
    <row r="463" spans="1:49" x14ac:dyDescent="0.2">
      <c r="A463" s="1" t="str">
        <f>"00537"</f>
        <v>00537</v>
      </c>
      <c r="B463" s="1" t="str">
        <f>"حمزه"</f>
        <v>حمزه</v>
      </c>
      <c r="C463" s="1" t="str">
        <f>"ذبيحي"</f>
        <v>ذبيحي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22877461</v>
      </c>
      <c r="G463" s="1">
        <v>0</v>
      </c>
      <c r="H463" s="1">
        <v>0</v>
      </c>
      <c r="I463" s="1">
        <v>10003752</v>
      </c>
      <c r="J463" s="1">
        <v>0</v>
      </c>
      <c r="K463" s="1">
        <v>20611148</v>
      </c>
      <c r="L463" s="1">
        <v>0</v>
      </c>
      <c r="M463" s="1">
        <v>4125000</v>
      </c>
      <c r="N463" s="1">
        <v>0</v>
      </c>
      <c r="O463" s="1">
        <v>1000000</v>
      </c>
      <c r="P463" s="1">
        <v>4145075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23962875</v>
      </c>
      <c r="Y463" s="1">
        <v>4000000</v>
      </c>
      <c r="Z463" s="1">
        <v>3320922</v>
      </c>
      <c r="AA463" s="1">
        <v>0</v>
      </c>
      <c r="AB463" s="1">
        <v>0</v>
      </c>
      <c r="AC463" s="1">
        <v>0</v>
      </c>
      <c r="AD463" s="1">
        <v>0</v>
      </c>
      <c r="AE463" s="1">
        <v>4459102</v>
      </c>
      <c r="AF463" s="1">
        <v>0</v>
      </c>
      <c r="AG463" s="1">
        <v>3256845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21949967</v>
      </c>
      <c r="AO463" s="1">
        <v>0</v>
      </c>
      <c r="AP463" s="1">
        <v>0</v>
      </c>
      <c r="AQ463" s="1">
        <v>0</v>
      </c>
      <c r="AR463" s="1">
        <v>123712147</v>
      </c>
      <c r="AS463" s="1">
        <v>37890318</v>
      </c>
      <c r="AT463" s="1">
        <v>85821829</v>
      </c>
      <c r="AU463" s="1">
        <v>24742429</v>
      </c>
      <c r="AV463" s="1">
        <v>3711364</v>
      </c>
      <c r="AW463" s="1">
        <f t="shared" si="49"/>
        <v>152165940</v>
      </c>
    </row>
    <row r="464" spans="1:49" x14ac:dyDescent="0.2">
      <c r="A464" s="1" t="str">
        <f>"00539"</f>
        <v>00539</v>
      </c>
      <c r="B464" s="1" t="str">
        <f>"صابر"</f>
        <v>صابر</v>
      </c>
      <c r="C464" s="1" t="str">
        <f>"رفيعي"</f>
        <v>رفيعي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21920139</v>
      </c>
      <c r="G464" s="1">
        <v>0</v>
      </c>
      <c r="H464" s="1">
        <v>0</v>
      </c>
      <c r="I464" s="1">
        <v>7548245</v>
      </c>
      <c r="J464" s="1">
        <v>0</v>
      </c>
      <c r="K464" s="1">
        <v>18739457</v>
      </c>
      <c r="L464" s="1">
        <v>0</v>
      </c>
      <c r="M464" s="1">
        <v>5500000</v>
      </c>
      <c r="N464" s="1">
        <v>0</v>
      </c>
      <c r="O464" s="1">
        <v>1000000</v>
      </c>
      <c r="P464" s="1">
        <v>3810013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16668676</v>
      </c>
      <c r="Y464" s="1">
        <v>4000000</v>
      </c>
      <c r="Z464" s="1">
        <v>3181956</v>
      </c>
      <c r="AA464" s="1">
        <v>0</v>
      </c>
      <c r="AB464" s="1">
        <v>0</v>
      </c>
      <c r="AC464" s="1">
        <v>0</v>
      </c>
      <c r="AD464" s="1">
        <v>0</v>
      </c>
      <c r="AE464" s="1">
        <v>4459102</v>
      </c>
      <c r="AF464" s="1">
        <v>0</v>
      </c>
      <c r="AG464" s="1">
        <v>2993581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20550212</v>
      </c>
      <c r="AO464" s="1">
        <v>0</v>
      </c>
      <c r="AP464" s="1">
        <v>0</v>
      </c>
      <c r="AQ464" s="1">
        <v>0</v>
      </c>
      <c r="AR464" s="1">
        <v>110371381</v>
      </c>
      <c r="AS464" s="1">
        <v>36302974</v>
      </c>
      <c r="AT464" s="1">
        <v>74068407</v>
      </c>
      <c r="AU464" s="1">
        <v>22074276</v>
      </c>
      <c r="AV464" s="1">
        <v>3311141</v>
      </c>
      <c r="AW464" s="1">
        <f t="shared" si="49"/>
        <v>135756798</v>
      </c>
    </row>
    <row r="465" spans="1:49" x14ac:dyDescent="0.2">
      <c r="A465" s="1" t="str">
        <f>"00540"</f>
        <v>00540</v>
      </c>
      <c r="B465" s="1" t="str">
        <f>"قنبر"</f>
        <v>قنبر</v>
      </c>
      <c r="C465" s="1" t="str">
        <f>"رئيسي"</f>
        <v>رئيسي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16632199</v>
      </c>
      <c r="G465" s="1">
        <v>0</v>
      </c>
      <c r="H465" s="1">
        <v>0</v>
      </c>
      <c r="I465" s="1">
        <v>1736638</v>
      </c>
      <c r="J465" s="1">
        <v>0</v>
      </c>
      <c r="K465" s="1">
        <v>13901310</v>
      </c>
      <c r="L465" s="1">
        <v>0</v>
      </c>
      <c r="M465" s="1">
        <v>4620000</v>
      </c>
      <c r="N465" s="1">
        <v>0</v>
      </c>
      <c r="O465" s="1">
        <v>1000000</v>
      </c>
      <c r="P465" s="1">
        <v>3198083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1848000</v>
      </c>
      <c r="W465" s="1">
        <v>0</v>
      </c>
      <c r="X465" s="1">
        <v>11403100</v>
      </c>
      <c r="Y465" s="1">
        <v>4000000</v>
      </c>
      <c r="Z465" s="1">
        <v>868319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2512779</v>
      </c>
      <c r="AH465" s="1">
        <v>3670854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13879144</v>
      </c>
      <c r="AO465" s="1">
        <v>0</v>
      </c>
      <c r="AP465" s="1">
        <v>0</v>
      </c>
      <c r="AQ465" s="1">
        <v>0</v>
      </c>
      <c r="AR465" s="1">
        <v>79270426</v>
      </c>
      <c r="AS465" s="1">
        <v>28777210</v>
      </c>
      <c r="AT465" s="1">
        <v>50493216</v>
      </c>
      <c r="AU465" s="1">
        <v>15119914</v>
      </c>
      <c r="AV465" s="1">
        <v>2267987</v>
      </c>
      <c r="AW465" s="1">
        <f t="shared" si="49"/>
        <v>96658327</v>
      </c>
    </row>
    <row r="466" spans="1:49" x14ac:dyDescent="0.2">
      <c r="A466" s="1" t="str">
        <f>"00541"</f>
        <v>00541</v>
      </c>
      <c r="B466" s="1" t="str">
        <f>"وحيد"</f>
        <v>وحيد</v>
      </c>
      <c r="C466" s="1" t="str">
        <f>"زارعي"</f>
        <v>زارعي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21905024</v>
      </c>
      <c r="G466" s="1">
        <v>0</v>
      </c>
      <c r="H466" s="1">
        <v>0</v>
      </c>
      <c r="I466" s="1">
        <v>0</v>
      </c>
      <c r="J466" s="1">
        <v>0</v>
      </c>
      <c r="K466" s="1">
        <v>16593271</v>
      </c>
      <c r="L466" s="1">
        <v>0</v>
      </c>
      <c r="M466" s="1">
        <v>5500000</v>
      </c>
      <c r="N466" s="1">
        <v>0</v>
      </c>
      <c r="O466" s="1">
        <v>1000000</v>
      </c>
      <c r="P466" s="1">
        <v>3804723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1848000</v>
      </c>
      <c r="W466" s="1">
        <v>0</v>
      </c>
      <c r="X466" s="1">
        <v>18903307</v>
      </c>
      <c r="Y466" s="1">
        <v>4000000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2989425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6497441</v>
      </c>
      <c r="AO466" s="1">
        <v>0</v>
      </c>
      <c r="AP466" s="1">
        <v>0</v>
      </c>
      <c r="AQ466" s="1">
        <v>0</v>
      </c>
      <c r="AR466" s="1">
        <v>83041191</v>
      </c>
      <c r="AS466" s="1">
        <v>27917146</v>
      </c>
      <c r="AT466" s="1">
        <v>55124045</v>
      </c>
      <c r="AU466" s="1">
        <v>16608238</v>
      </c>
      <c r="AV466" s="1">
        <v>2491236</v>
      </c>
      <c r="AW466" s="1">
        <f t="shared" si="49"/>
        <v>102140665</v>
      </c>
    </row>
    <row r="467" spans="1:49" x14ac:dyDescent="0.2">
      <c r="A467" s="1" t="str">
        <f>"00542"</f>
        <v>00542</v>
      </c>
      <c r="B467" s="1" t="str">
        <f>"سجاد"</f>
        <v>سجاد</v>
      </c>
      <c r="C467" s="1" t="str">
        <f>"سالميان"</f>
        <v>سالميان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21632943</v>
      </c>
      <c r="G467" s="1">
        <v>0</v>
      </c>
      <c r="H467" s="1">
        <v>0</v>
      </c>
      <c r="I467" s="1">
        <v>4229206</v>
      </c>
      <c r="J467" s="1">
        <v>0</v>
      </c>
      <c r="K467" s="1">
        <v>16924759</v>
      </c>
      <c r="L467" s="1">
        <v>0</v>
      </c>
      <c r="M467" s="1">
        <v>5500000</v>
      </c>
      <c r="N467" s="1">
        <v>0</v>
      </c>
      <c r="O467" s="1">
        <v>1000000</v>
      </c>
      <c r="P467" s="1">
        <v>3709494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1848000</v>
      </c>
      <c r="W467" s="1">
        <v>0</v>
      </c>
      <c r="X467" s="1">
        <v>9356768</v>
      </c>
      <c r="Y467" s="1">
        <v>4000000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2914602</v>
      </c>
      <c r="AH467" s="1">
        <v>1835427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5395325</v>
      </c>
      <c r="AO467" s="1">
        <v>0</v>
      </c>
      <c r="AP467" s="1">
        <v>0</v>
      </c>
      <c r="AQ467" s="1">
        <v>0</v>
      </c>
      <c r="AR467" s="1">
        <v>78346524</v>
      </c>
      <c r="AS467" s="1">
        <v>13650354</v>
      </c>
      <c r="AT467" s="1">
        <v>64696170</v>
      </c>
      <c r="AU467" s="1">
        <v>15302219</v>
      </c>
      <c r="AV467" s="1">
        <v>2295333</v>
      </c>
      <c r="AW467" s="1">
        <f t="shared" si="49"/>
        <v>95944076</v>
      </c>
    </row>
    <row r="468" spans="1:49" x14ac:dyDescent="0.2">
      <c r="A468" s="1" t="str">
        <f>"00545"</f>
        <v>00545</v>
      </c>
      <c r="B468" s="1" t="str">
        <f>"ميثم"</f>
        <v>ميثم</v>
      </c>
      <c r="C468" s="1" t="str">
        <f>"شاپورجاني"</f>
        <v>شاپورجاني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17793580</v>
      </c>
      <c r="G468" s="1">
        <v>0</v>
      </c>
      <c r="H468" s="1">
        <v>0</v>
      </c>
      <c r="I468" s="1">
        <v>1323070</v>
      </c>
      <c r="J468" s="1">
        <v>0</v>
      </c>
      <c r="K468" s="1">
        <v>14166660</v>
      </c>
      <c r="L468" s="1">
        <v>0</v>
      </c>
      <c r="M468" s="1">
        <v>4620000</v>
      </c>
      <c r="N468" s="1">
        <v>0</v>
      </c>
      <c r="O468" s="1">
        <v>1000000</v>
      </c>
      <c r="P468" s="1">
        <v>3326818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1848000</v>
      </c>
      <c r="W468" s="1">
        <v>0</v>
      </c>
      <c r="X468" s="1">
        <v>11686858</v>
      </c>
      <c r="Y468" s="1">
        <v>4000000</v>
      </c>
      <c r="Z468" s="1">
        <v>882046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2613928</v>
      </c>
      <c r="AH468" s="1">
        <v>1835427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12911443</v>
      </c>
      <c r="AO468" s="1">
        <v>0</v>
      </c>
      <c r="AP468" s="1">
        <v>0</v>
      </c>
      <c r="AQ468" s="1">
        <v>0</v>
      </c>
      <c r="AR468" s="1">
        <v>78007830</v>
      </c>
      <c r="AS468" s="1">
        <v>32178344</v>
      </c>
      <c r="AT468" s="1">
        <v>45829486</v>
      </c>
      <c r="AU468" s="1">
        <v>15234481</v>
      </c>
      <c r="AV468" s="1">
        <v>2285172</v>
      </c>
      <c r="AW468" s="1">
        <f t="shared" si="49"/>
        <v>95527483</v>
      </c>
    </row>
    <row r="469" spans="1:49" x14ac:dyDescent="0.2">
      <c r="A469" s="1" t="str">
        <f>"00546"</f>
        <v>00546</v>
      </c>
      <c r="B469" s="1" t="str">
        <f>"عليرضا"</f>
        <v>عليرضا</v>
      </c>
      <c r="C469" s="1" t="str">
        <f>"شفيعي"</f>
        <v>شفيعي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17274612</v>
      </c>
      <c r="G469" s="1">
        <v>0</v>
      </c>
      <c r="H469" s="1">
        <v>0</v>
      </c>
      <c r="I469" s="1">
        <v>20316334</v>
      </c>
      <c r="J469" s="1">
        <v>0</v>
      </c>
      <c r="K469" s="1">
        <v>13871423</v>
      </c>
      <c r="L469" s="1">
        <v>0</v>
      </c>
      <c r="M469" s="1">
        <v>4620000</v>
      </c>
      <c r="N469" s="1">
        <v>0</v>
      </c>
      <c r="O469" s="1">
        <v>1000000</v>
      </c>
      <c r="P469" s="1">
        <v>3145178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1848000</v>
      </c>
      <c r="W469" s="1">
        <v>0</v>
      </c>
      <c r="X469" s="1">
        <v>7885650</v>
      </c>
      <c r="Y469" s="1">
        <v>4000000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2471212</v>
      </c>
      <c r="AH469" s="1">
        <v>3670854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5862712</v>
      </c>
      <c r="AO469" s="1">
        <v>0</v>
      </c>
      <c r="AP469" s="1">
        <v>0</v>
      </c>
      <c r="AQ469" s="1">
        <v>0</v>
      </c>
      <c r="AR469" s="1">
        <v>85965975</v>
      </c>
      <c r="AS469" s="1">
        <v>34696518</v>
      </c>
      <c r="AT469" s="1">
        <v>51269457</v>
      </c>
      <c r="AU469" s="1">
        <v>16459024</v>
      </c>
      <c r="AV469" s="1">
        <v>2468854</v>
      </c>
      <c r="AW469" s="1">
        <f t="shared" si="49"/>
        <v>104893853</v>
      </c>
    </row>
    <row r="470" spans="1:49" x14ac:dyDescent="0.2">
      <c r="A470" s="1" t="str">
        <f>"00547"</f>
        <v>00547</v>
      </c>
      <c r="B470" s="1" t="str">
        <f>"حبيب اله"</f>
        <v>حبيب اله</v>
      </c>
      <c r="C470" s="1" t="str">
        <f>"صالحي"</f>
        <v>صالحي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16115749</v>
      </c>
      <c r="G470" s="1">
        <v>0</v>
      </c>
      <c r="H470" s="1">
        <v>0</v>
      </c>
      <c r="I470" s="1">
        <v>3348923</v>
      </c>
      <c r="J470" s="1">
        <v>0</v>
      </c>
      <c r="K470" s="1">
        <v>13992269</v>
      </c>
      <c r="L470" s="1">
        <v>0</v>
      </c>
      <c r="M470" s="1">
        <v>4620000</v>
      </c>
      <c r="N470" s="1">
        <v>0</v>
      </c>
      <c r="O470" s="1">
        <v>1000000</v>
      </c>
      <c r="P470" s="1">
        <v>3017326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1848000</v>
      </c>
      <c r="W470" s="1">
        <v>0</v>
      </c>
      <c r="X470" s="1">
        <v>20716237</v>
      </c>
      <c r="Y470" s="1">
        <v>4000000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2370756</v>
      </c>
      <c r="AH470" s="1">
        <v>1835427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11586258</v>
      </c>
      <c r="AO470" s="1">
        <v>0</v>
      </c>
      <c r="AP470" s="1">
        <v>0</v>
      </c>
      <c r="AQ470" s="1">
        <v>0</v>
      </c>
      <c r="AR470" s="1">
        <v>84450945</v>
      </c>
      <c r="AS470" s="1">
        <v>42260780</v>
      </c>
      <c r="AT470" s="1">
        <v>42190165</v>
      </c>
      <c r="AU470" s="1">
        <v>16523104</v>
      </c>
      <c r="AV470" s="1">
        <v>2478466</v>
      </c>
      <c r="AW470" s="1">
        <f t="shared" si="49"/>
        <v>103452515</v>
      </c>
    </row>
    <row r="471" spans="1:49" x14ac:dyDescent="0.2">
      <c r="A471" s="1" t="str">
        <f>"00548"</f>
        <v>00548</v>
      </c>
      <c r="B471" s="1" t="str">
        <f>"خالد"</f>
        <v>خالد</v>
      </c>
      <c r="C471" s="1" t="str">
        <f>"طاهرپور"</f>
        <v>طاهرپور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22454224</v>
      </c>
      <c r="G471" s="1">
        <v>0</v>
      </c>
      <c r="H471" s="1">
        <v>0</v>
      </c>
      <c r="I471" s="1">
        <v>0</v>
      </c>
      <c r="J471" s="1">
        <v>0</v>
      </c>
      <c r="K471" s="1">
        <v>19257225</v>
      </c>
      <c r="L471" s="1">
        <v>0</v>
      </c>
      <c r="M471" s="1">
        <v>5500000</v>
      </c>
      <c r="N471" s="1">
        <v>0</v>
      </c>
      <c r="O471" s="1">
        <v>1000000</v>
      </c>
      <c r="P471" s="1">
        <v>3996943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15538763</v>
      </c>
      <c r="Y471" s="1">
        <v>4000000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4459102</v>
      </c>
      <c r="AF471" s="1">
        <v>0</v>
      </c>
      <c r="AG471" s="1">
        <v>3140455</v>
      </c>
      <c r="AH471" s="1">
        <v>1835427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14251895</v>
      </c>
      <c r="AO471" s="1">
        <v>0</v>
      </c>
      <c r="AP471" s="1">
        <v>0</v>
      </c>
      <c r="AQ471" s="1">
        <v>0</v>
      </c>
      <c r="AR471" s="1">
        <v>95434034</v>
      </c>
      <c r="AS471" s="1">
        <v>27723950</v>
      </c>
      <c r="AT471" s="1">
        <v>67710084</v>
      </c>
      <c r="AU471" s="1">
        <v>18719721</v>
      </c>
      <c r="AV471" s="1">
        <v>2807958</v>
      </c>
      <c r="AW471" s="1">
        <f t="shared" si="49"/>
        <v>116961713</v>
      </c>
    </row>
    <row r="472" spans="1:49" x14ac:dyDescent="0.2">
      <c r="A472" s="1" t="str">
        <f>"00549"</f>
        <v>00549</v>
      </c>
      <c r="B472" s="1" t="str">
        <f>"مسعود"</f>
        <v>مسعود</v>
      </c>
      <c r="C472" s="1" t="str">
        <f>"ظاهري حقيقي"</f>
        <v>ظاهري حقيقي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15957035</v>
      </c>
      <c r="G472" s="1">
        <v>0</v>
      </c>
      <c r="H472" s="1">
        <v>0</v>
      </c>
      <c r="I472" s="1">
        <v>15810221</v>
      </c>
      <c r="J472" s="1">
        <v>0</v>
      </c>
      <c r="K472" s="1">
        <v>12995209</v>
      </c>
      <c r="L472" s="1">
        <v>0</v>
      </c>
      <c r="M472" s="1">
        <v>3465000</v>
      </c>
      <c r="N472" s="1">
        <v>0</v>
      </c>
      <c r="O472" s="1">
        <v>1000000</v>
      </c>
      <c r="P472" s="1">
        <v>2961776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20135519</v>
      </c>
      <c r="Y472" s="1">
        <v>4000000</v>
      </c>
      <c r="Z472" s="1">
        <v>2316344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2327110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11521412</v>
      </c>
      <c r="AO472" s="1">
        <v>0</v>
      </c>
      <c r="AP472" s="1">
        <v>0</v>
      </c>
      <c r="AQ472" s="1">
        <v>0</v>
      </c>
      <c r="AR472" s="1">
        <v>92489626</v>
      </c>
      <c r="AS472" s="1">
        <v>32402218</v>
      </c>
      <c r="AT472" s="1">
        <v>60087408</v>
      </c>
      <c r="AU472" s="1">
        <v>18497925</v>
      </c>
      <c r="AV472" s="1">
        <v>2774689</v>
      </c>
      <c r="AW472" s="1">
        <f t="shared" si="49"/>
        <v>113762240</v>
      </c>
    </row>
    <row r="473" spans="1:49" x14ac:dyDescent="0.2">
      <c r="A473" s="1" t="str">
        <f>"00550"</f>
        <v>00550</v>
      </c>
      <c r="B473" s="1" t="str">
        <f>"جواد"</f>
        <v>جواد</v>
      </c>
      <c r="C473" s="1" t="str">
        <f>"عفيف"</f>
        <v>عفيف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17221707</v>
      </c>
      <c r="G473" s="1">
        <v>0</v>
      </c>
      <c r="H473" s="1">
        <v>0</v>
      </c>
      <c r="I473" s="1">
        <v>2424070</v>
      </c>
      <c r="J473" s="1">
        <v>0</v>
      </c>
      <c r="K473" s="1">
        <v>13469839</v>
      </c>
      <c r="L473" s="1">
        <v>0</v>
      </c>
      <c r="M473" s="1">
        <v>3465000</v>
      </c>
      <c r="N473" s="1">
        <v>0</v>
      </c>
      <c r="O473" s="1">
        <v>1000000</v>
      </c>
      <c r="P473" s="1">
        <v>3126662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1848000</v>
      </c>
      <c r="W473" s="1">
        <v>0</v>
      </c>
      <c r="X473" s="1">
        <v>7661505</v>
      </c>
      <c r="Y473" s="1">
        <v>4000000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2456663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5138675</v>
      </c>
      <c r="AO473" s="1">
        <v>0</v>
      </c>
      <c r="AP473" s="1">
        <v>0</v>
      </c>
      <c r="AQ473" s="1">
        <v>0</v>
      </c>
      <c r="AR473" s="1">
        <v>61812121</v>
      </c>
      <c r="AS473" s="1">
        <v>13193001</v>
      </c>
      <c r="AT473" s="1">
        <v>48619120</v>
      </c>
      <c r="AU473" s="1">
        <v>12362424</v>
      </c>
      <c r="AV473" s="1">
        <v>1854364</v>
      </c>
      <c r="AW473" s="1">
        <f t="shared" si="49"/>
        <v>76028909</v>
      </c>
    </row>
    <row r="474" spans="1:49" x14ac:dyDescent="0.2">
      <c r="A474" s="1" t="str">
        <f>"00551"</f>
        <v>00551</v>
      </c>
      <c r="B474" s="1" t="str">
        <f>"سعيد"</f>
        <v>سعيد</v>
      </c>
      <c r="C474" s="1" t="str">
        <f>"فاتحي فر"</f>
        <v>فاتحي فر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17977487</v>
      </c>
      <c r="G474" s="1">
        <v>0</v>
      </c>
      <c r="H474" s="1">
        <v>0</v>
      </c>
      <c r="I474" s="1">
        <v>5526132</v>
      </c>
      <c r="J474" s="1">
        <v>0</v>
      </c>
      <c r="K474" s="1">
        <v>14885868</v>
      </c>
      <c r="L474" s="1">
        <v>0</v>
      </c>
      <c r="M474" s="1">
        <v>-4620000</v>
      </c>
      <c r="N474" s="1">
        <v>0</v>
      </c>
      <c r="O474" s="1">
        <v>1000000</v>
      </c>
      <c r="P474" s="1">
        <v>3391185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1848000</v>
      </c>
      <c r="W474" s="1">
        <v>0</v>
      </c>
      <c r="X474" s="1">
        <v>18163037</v>
      </c>
      <c r="Y474" s="1">
        <v>4000000</v>
      </c>
      <c r="Z474" s="1">
        <v>1004751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2664503</v>
      </c>
      <c r="AH474" s="1">
        <v>1835427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14111723</v>
      </c>
      <c r="AO474" s="1">
        <v>0</v>
      </c>
      <c r="AP474" s="1">
        <v>0</v>
      </c>
      <c r="AQ474" s="1">
        <v>0</v>
      </c>
      <c r="AR474" s="1">
        <v>81788113</v>
      </c>
      <c r="AS474" s="1">
        <v>39590327</v>
      </c>
      <c r="AT474" s="1">
        <v>42197786</v>
      </c>
      <c r="AU474" s="1">
        <v>15990537</v>
      </c>
      <c r="AV474" s="1">
        <v>2398581</v>
      </c>
      <c r="AW474" s="1">
        <f t="shared" si="49"/>
        <v>100177231</v>
      </c>
    </row>
    <row r="475" spans="1:49" x14ac:dyDescent="0.2">
      <c r="A475" s="1" t="str">
        <f>"00552"</f>
        <v>00552</v>
      </c>
      <c r="B475" s="1" t="str">
        <f>"محمد"</f>
        <v>محمد</v>
      </c>
      <c r="C475" s="1" t="str">
        <f>"قاسمي"</f>
        <v>قاسمي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17007569</v>
      </c>
      <c r="G475" s="1">
        <v>0</v>
      </c>
      <c r="H475" s="1">
        <v>0</v>
      </c>
      <c r="I475" s="1">
        <v>6626987</v>
      </c>
      <c r="J475" s="1">
        <v>0</v>
      </c>
      <c r="K475" s="1">
        <v>14022414</v>
      </c>
      <c r="L475" s="1">
        <v>0</v>
      </c>
      <c r="M475" s="1">
        <v>4620000</v>
      </c>
      <c r="N475" s="1">
        <v>0</v>
      </c>
      <c r="O475" s="1">
        <v>1000000</v>
      </c>
      <c r="P475" s="1">
        <v>3329463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1848000</v>
      </c>
      <c r="W475" s="1">
        <v>0</v>
      </c>
      <c r="X475" s="1">
        <v>11603752</v>
      </c>
      <c r="Y475" s="1">
        <v>4000000</v>
      </c>
      <c r="Z475" s="1">
        <v>2468841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2616006</v>
      </c>
      <c r="AH475" s="1">
        <v>3670854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14030048</v>
      </c>
      <c r="AO475" s="1">
        <v>0</v>
      </c>
      <c r="AP475" s="1">
        <v>0</v>
      </c>
      <c r="AQ475" s="1">
        <v>0</v>
      </c>
      <c r="AR475" s="1">
        <v>86843934</v>
      </c>
      <c r="AS475" s="1">
        <v>34714255</v>
      </c>
      <c r="AT475" s="1">
        <v>52129679</v>
      </c>
      <c r="AU475" s="1">
        <v>16634616</v>
      </c>
      <c r="AV475" s="1">
        <v>2495192</v>
      </c>
      <c r="AW475" s="1">
        <f t="shared" si="49"/>
        <v>105973742</v>
      </c>
    </row>
    <row r="476" spans="1:49" x14ac:dyDescent="0.2">
      <c r="A476" s="1" t="str">
        <f>"00553"</f>
        <v>00553</v>
      </c>
      <c r="B476" s="1" t="str">
        <f>"پويا"</f>
        <v>پويا</v>
      </c>
      <c r="C476" s="1" t="str">
        <f>"قباديان"</f>
        <v>قباديان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22685996</v>
      </c>
      <c r="G476" s="1">
        <v>0</v>
      </c>
      <c r="H476" s="1">
        <v>0</v>
      </c>
      <c r="I476" s="1">
        <v>2615854</v>
      </c>
      <c r="J476" s="1">
        <v>0</v>
      </c>
      <c r="K476" s="1">
        <v>19587928</v>
      </c>
      <c r="L476" s="1">
        <v>0</v>
      </c>
      <c r="M476" s="1">
        <v>5500000</v>
      </c>
      <c r="N476" s="1">
        <v>0</v>
      </c>
      <c r="O476" s="1">
        <v>1000000</v>
      </c>
      <c r="P476" s="1">
        <v>4078063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1848000</v>
      </c>
      <c r="W476" s="1">
        <v>0</v>
      </c>
      <c r="X476" s="1">
        <v>17482488</v>
      </c>
      <c r="Y476" s="1">
        <v>4000000</v>
      </c>
      <c r="Z476" s="1">
        <v>3293129</v>
      </c>
      <c r="AA476" s="1">
        <v>0</v>
      </c>
      <c r="AB476" s="1">
        <v>0</v>
      </c>
      <c r="AC476" s="1">
        <v>0</v>
      </c>
      <c r="AD476" s="1">
        <v>0</v>
      </c>
      <c r="AE476" s="1">
        <v>4459102</v>
      </c>
      <c r="AF476" s="1">
        <v>0</v>
      </c>
      <c r="AG476" s="1">
        <v>3204192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21178215</v>
      </c>
      <c r="AO476" s="1">
        <v>0</v>
      </c>
      <c r="AP476" s="1">
        <v>0</v>
      </c>
      <c r="AQ476" s="1">
        <v>0</v>
      </c>
      <c r="AR476" s="1">
        <v>110932967</v>
      </c>
      <c r="AS476" s="1">
        <v>41723901</v>
      </c>
      <c r="AT476" s="1">
        <v>69209066</v>
      </c>
      <c r="AU476" s="1">
        <v>22186593</v>
      </c>
      <c r="AV476" s="1">
        <v>3327989</v>
      </c>
      <c r="AW476" s="1">
        <f t="shared" si="49"/>
        <v>136447549</v>
      </c>
    </row>
    <row r="477" spans="1:49" x14ac:dyDescent="0.2">
      <c r="A477" s="1" t="str">
        <f>"00554"</f>
        <v>00554</v>
      </c>
      <c r="B477" s="1" t="str">
        <f>"امين"</f>
        <v>امين</v>
      </c>
      <c r="C477" s="1" t="str">
        <f>"قجري"</f>
        <v>قجري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16843817</v>
      </c>
      <c r="G477" s="1">
        <v>0</v>
      </c>
      <c r="H477" s="1">
        <v>0</v>
      </c>
      <c r="I477" s="1">
        <v>3386747</v>
      </c>
      <c r="J477" s="1">
        <v>0</v>
      </c>
      <c r="K477" s="1">
        <v>14942841</v>
      </c>
      <c r="L477" s="1">
        <v>0</v>
      </c>
      <c r="M477" s="1">
        <v>4620000</v>
      </c>
      <c r="N477" s="1">
        <v>0</v>
      </c>
      <c r="O477" s="1">
        <v>1000000</v>
      </c>
      <c r="P477" s="1">
        <v>3272149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1848000</v>
      </c>
      <c r="W477" s="1">
        <v>0</v>
      </c>
      <c r="X477" s="1">
        <v>17492207</v>
      </c>
      <c r="Y477" s="1">
        <v>4000000</v>
      </c>
      <c r="Z477" s="1">
        <v>2445070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2570975</v>
      </c>
      <c r="AH477" s="1">
        <v>1835427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13442353</v>
      </c>
      <c r="AO477" s="1">
        <v>0</v>
      </c>
      <c r="AP477" s="1">
        <v>0</v>
      </c>
      <c r="AQ477" s="1">
        <v>0</v>
      </c>
      <c r="AR477" s="1">
        <v>87699586</v>
      </c>
      <c r="AS477" s="1">
        <v>39301617</v>
      </c>
      <c r="AT477" s="1">
        <v>48397969</v>
      </c>
      <c r="AU477" s="1">
        <v>17172832</v>
      </c>
      <c r="AV477" s="1">
        <v>2575925</v>
      </c>
      <c r="AW477" s="1">
        <f t="shared" si="49"/>
        <v>107448343</v>
      </c>
    </row>
    <row r="478" spans="1:49" x14ac:dyDescent="0.2">
      <c r="A478" s="1" t="str">
        <f>"00555"</f>
        <v>00555</v>
      </c>
      <c r="B478" s="1" t="str">
        <f>"علي رضا"</f>
        <v>علي رضا</v>
      </c>
      <c r="C478" s="1" t="str">
        <f>"قناتي"</f>
        <v>قناتي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16876567</v>
      </c>
      <c r="G478" s="1">
        <v>0</v>
      </c>
      <c r="H478" s="1">
        <v>0</v>
      </c>
      <c r="I478" s="1">
        <v>3501638</v>
      </c>
      <c r="J478" s="1">
        <v>0</v>
      </c>
      <c r="K478" s="1">
        <v>14143824</v>
      </c>
      <c r="L478" s="1">
        <v>0</v>
      </c>
      <c r="M478" s="1">
        <v>4620000</v>
      </c>
      <c r="N478" s="1">
        <v>0</v>
      </c>
      <c r="O478" s="1">
        <v>1000000</v>
      </c>
      <c r="P478" s="1">
        <v>3283612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1848000</v>
      </c>
      <c r="W478" s="1">
        <v>0</v>
      </c>
      <c r="X478" s="1">
        <v>21403179</v>
      </c>
      <c r="Y478" s="1">
        <v>4000000</v>
      </c>
      <c r="Z478" s="1">
        <v>2449824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2579981</v>
      </c>
      <c r="AH478" s="1">
        <v>1835427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12603136</v>
      </c>
      <c r="AO478" s="1">
        <v>0</v>
      </c>
      <c r="AP478" s="1">
        <v>0</v>
      </c>
      <c r="AQ478" s="1">
        <v>0</v>
      </c>
      <c r="AR478" s="1">
        <v>90145188</v>
      </c>
      <c r="AS478" s="1">
        <v>39110712</v>
      </c>
      <c r="AT478" s="1">
        <v>51034476</v>
      </c>
      <c r="AU478" s="1">
        <v>17661952</v>
      </c>
      <c r="AV478" s="1">
        <v>2649293</v>
      </c>
      <c r="AW478" s="1">
        <f t="shared" si="49"/>
        <v>110456433</v>
      </c>
    </row>
    <row r="479" spans="1:49" x14ac:dyDescent="0.2">
      <c r="A479" s="1" t="str">
        <f>"00556"</f>
        <v>00556</v>
      </c>
      <c r="B479" s="1" t="str">
        <f>"سعيد"</f>
        <v>سعيد</v>
      </c>
      <c r="C479" s="1" t="str">
        <f>"ماندني"</f>
        <v>ماندني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18078258</v>
      </c>
      <c r="G479" s="1">
        <v>0</v>
      </c>
      <c r="H479" s="1">
        <v>0</v>
      </c>
      <c r="I479" s="1">
        <v>8686802</v>
      </c>
      <c r="J479" s="1">
        <v>0</v>
      </c>
      <c r="K479" s="1">
        <v>15814878</v>
      </c>
      <c r="L479" s="1">
        <v>0</v>
      </c>
      <c r="M479" s="1">
        <v>4620000</v>
      </c>
      <c r="N479" s="1">
        <v>0</v>
      </c>
      <c r="O479" s="1">
        <v>1000000</v>
      </c>
      <c r="P479" s="1">
        <v>3426455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1848000</v>
      </c>
      <c r="W479" s="1">
        <v>0</v>
      </c>
      <c r="X479" s="1">
        <v>17450895</v>
      </c>
      <c r="Y479" s="1">
        <v>4000000</v>
      </c>
      <c r="Z479" s="1">
        <v>2624263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2692215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14951646</v>
      </c>
      <c r="AO479" s="1">
        <v>0</v>
      </c>
      <c r="AP479" s="1">
        <v>0</v>
      </c>
      <c r="AQ479" s="1">
        <v>0</v>
      </c>
      <c r="AR479" s="1">
        <v>95193412</v>
      </c>
      <c r="AS479" s="1">
        <v>42748596</v>
      </c>
      <c r="AT479" s="1">
        <v>52444816</v>
      </c>
      <c r="AU479" s="1">
        <v>19038682</v>
      </c>
      <c r="AV479" s="1">
        <v>2855802</v>
      </c>
      <c r="AW479" s="1">
        <f t="shared" si="49"/>
        <v>117087896</v>
      </c>
    </row>
    <row r="480" spans="1:49" x14ac:dyDescent="0.2">
      <c r="A480" s="1" t="str">
        <f>"00557"</f>
        <v>00557</v>
      </c>
      <c r="B480" s="1" t="str">
        <f>"محمد جواد"</f>
        <v>محمد جواد</v>
      </c>
      <c r="C480" s="1" t="str">
        <f>"مرادي"</f>
        <v>مرادي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22446666</v>
      </c>
      <c r="G480" s="1">
        <v>0</v>
      </c>
      <c r="H480" s="1">
        <v>0</v>
      </c>
      <c r="I480" s="1">
        <v>3484593</v>
      </c>
      <c r="J480" s="1">
        <v>0</v>
      </c>
      <c r="K480" s="1">
        <v>19765310</v>
      </c>
      <c r="L480" s="1">
        <v>0</v>
      </c>
      <c r="M480" s="1">
        <v>0</v>
      </c>
      <c r="N480" s="1">
        <v>0</v>
      </c>
      <c r="O480" s="1">
        <v>1000000</v>
      </c>
      <c r="P480" s="1">
        <v>3994297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1848000</v>
      </c>
      <c r="W480" s="1">
        <v>0</v>
      </c>
      <c r="X480" s="1">
        <v>23371474</v>
      </c>
      <c r="Y480" s="1">
        <v>4000000</v>
      </c>
      <c r="Z480" s="1">
        <v>3258387</v>
      </c>
      <c r="AA480" s="1">
        <v>0</v>
      </c>
      <c r="AB480" s="1">
        <v>0</v>
      </c>
      <c r="AC480" s="1">
        <v>0</v>
      </c>
      <c r="AD480" s="1">
        <v>0</v>
      </c>
      <c r="AE480" s="1">
        <v>4459102</v>
      </c>
      <c r="AF480" s="1">
        <v>0</v>
      </c>
      <c r="AG480" s="1">
        <v>3138377</v>
      </c>
      <c r="AH480" s="1">
        <v>1835427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21588100</v>
      </c>
      <c r="AO480" s="1">
        <v>0</v>
      </c>
      <c r="AP480" s="1">
        <v>0</v>
      </c>
      <c r="AQ480" s="1">
        <v>0</v>
      </c>
      <c r="AR480" s="1">
        <v>114189733</v>
      </c>
      <c r="AS480" s="1">
        <v>37366349</v>
      </c>
      <c r="AT480" s="1">
        <v>76823384</v>
      </c>
      <c r="AU480" s="1">
        <v>22470861</v>
      </c>
      <c r="AV480" s="1">
        <v>3370629</v>
      </c>
      <c r="AW480" s="1">
        <f t="shared" si="49"/>
        <v>140031223</v>
      </c>
    </row>
    <row r="481" spans="1:49" x14ac:dyDescent="0.2">
      <c r="A481" s="1" t="str">
        <f>"00559"</f>
        <v>00559</v>
      </c>
      <c r="B481" s="1" t="str">
        <f>"رضا"</f>
        <v>رضا</v>
      </c>
      <c r="C481" s="1" t="str">
        <f>"مشکور"</f>
        <v>مشکور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16274463</v>
      </c>
      <c r="G481" s="1">
        <v>0</v>
      </c>
      <c r="H481" s="1">
        <v>0</v>
      </c>
      <c r="I481" s="1">
        <v>953689</v>
      </c>
      <c r="J481" s="1">
        <v>0</v>
      </c>
      <c r="K481" s="1">
        <v>13413919</v>
      </c>
      <c r="L481" s="1">
        <v>0</v>
      </c>
      <c r="M481" s="1">
        <v>4620000</v>
      </c>
      <c r="N481" s="1">
        <v>0</v>
      </c>
      <c r="O481" s="1">
        <v>1000000</v>
      </c>
      <c r="P481" s="1">
        <v>3072876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1848000</v>
      </c>
      <c r="W481" s="1">
        <v>0</v>
      </c>
      <c r="X481" s="1">
        <v>20648115</v>
      </c>
      <c r="Y481" s="1">
        <v>4000000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2414402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11751875</v>
      </c>
      <c r="AO481" s="1">
        <v>0</v>
      </c>
      <c r="AP481" s="1">
        <v>0</v>
      </c>
      <c r="AQ481" s="1">
        <v>0</v>
      </c>
      <c r="AR481" s="1">
        <v>79997339</v>
      </c>
      <c r="AS481" s="1">
        <v>32501736</v>
      </c>
      <c r="AT481" s="1">
        <v>47495603</v>
      </c>
      <c r="AU481" s="1">
        <v>15999468</v>
      </c>
      <c r="AV481" s="1">
        <v>2399920</v>
      </c>
      <c r="AW481" s="1">
        <f t="shared" si="49"/>
        <v>98396727</v>
      </c>
    </row>
    <row r="482" spans="1:49" x14ac:dyDescent="0.2">
      <c r="A482" s="1" t="str">
        <f>"00560"</f>
        <v>00560</v>
      </c>
      <c r="B482" s="1" t="str">
        <f>"وحيد"</f>
        <v>وحيد</v>
      </c>
      <c r="C482" s="1" t="str">
        <f>"منصوري"</f>
        <v>منصوري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15750455</v>
      </c>
      <c r="G482" s="1">
        <v>0</v>
      </c>
      <c r="H482" s="1">
        <v>0</v>
      </c>
      <c r="I482" s="1">
        <v>2790447</v>
      </c>
      <c r="J482" s="1">
        <v>0</v>
      </c>
      <c r="K482" s="1">
        <v>12281550</v>
      </c>
      <c r="L482" s="1">
        <v>0</v>
      </c>
      <c r="M482" s="1">
        <v>3465000</v>
      </c>
      <c r="N482" s="1">
        <v>0</v>
      </c>
      <c r="O482" s="1">
        <v>1000000</v>
      </c>
      <c r="P482" s="1">
        <v>2889473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1848000</v>
      </c>
      <c r="W482" s="1">
        <v>0</v>
      </c>
      <c r="X482" s="1">
        <v>14953846</v>
      </c>
      <c r="Y482" s="1">
        <v>4000000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2270301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8346683</v>
      </c>
      <c r="AO482" s="1">
        <v>0</v>
      </c>
      <c r="AP482" s="1">
        <v>0</v>
      </c>
      <c r="AQ482" s="1">
        <v>0</v>
      </c>
      <c r="AR482" s="1">
        <v>69595755</v>
      </c>
      <c r="AS482" s="1">
        <v>30475684</v>
      </c>
      <c r="AT482" s="1">
        <v>39120071</v>
      </c>
      <c r="AU482" s="1">
        <v>13919151</v>
      </c>
      <c r="AV482" s="1">
        <v>2087873</v>
      </c>
      <c r="AW482" s="1">
        <f t="shared" si="49"/>
        <v>85602779</v>
      </c>
    </row>
    <row r="483" spans="1:49" x14ac:dyDescent="0.2">
      <c r="A483" s="1" t="str">
        <f>"00561"</f>
        <v>00561</v>
      </c>
      <c r="B483" s="1" t="str">
        <f>"حسن"</f>
        <v>حسن</v>
      </c>
      <c r="C483" s="1" t="str">
        <f>"منصوري"</f>
        <v>منصوري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17360267</v>
      </c>
      <c r="G483" s="1">
        <v>0</v>
      </c>
      <c r="H483" s="1">
        <v>0</v>
      </c>
      <c r="I483" s="1">
        <v>4129648</v>
      </c>
      <c r="J483" s="1">
        <v>0</v>
      </c>
      <c r="K483" s="1">
        <v>14689498</v>
      </c>
      <c r="L483" s="1">
        <v>0</v>
      </c>
      <c r="M483" s="1">
        <v>4620000</v>
      </c>
      <c r="N483" s="1">
        <v>0</v>
      </c>
      <c r="O483" s="1">
        <v>1000000</v>
      </c>
      <c r="P483" s="1">
        <v>3452907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22086566</v>
      </c>
      <c r="Y483" s="1">
        <v>4000000</v>
      </c>
      <c r="Z483" s="1">
        <v>2520039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2712998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12851535</v>
      </c>
      <c r="AO483" s="1">
        <v>0</v>
      </c>
      <c r="AP483" s="1">
        <v>0</v>
      </c>
      <c r="AQ483" s="1">
        <v>0</v>
      </c>
      <c r="AR483" s="1">
        <v>89423458</v>
      </c>
      <c r="AS483" s="1">
        <v>36755122</v>
      </c>
      <c r="AT483" s="1">
        <v>52668336</v>
      </c>
      <c r="AU483" s="1">
        <v>17884692</v>
      </c>
      <c r="AV483" s="1">
        <v>2682704</v>
      </c>
      <c r="AW483" s="1">
        <f t="shared" si="49"/>
        <v>109990854</v>
      </c>
    </row>
    <row r="484" spans="1:49" x14ac:dyDescent="0.2">
      <c r="A484" s="1" t="str">
        <f>"00562"</f>
        <v>00562</v>
      </c>
      <c r="B484" s="1" t="str">
        <f>"محمد امين"</f>
        <v>محمد امين</v>
      </c>
      <c r="C484" s="1" t="str">
        <f>"ميرزائي"</f>
        <v>ميرزائي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22260240</v>
      </c>
      <c r="G484" s="1">
        <v>0</v>
      </c>
      <c r="H484" s="1">
        <v>0</v>
      </c>
      <c r="I484" s="1">
        <v>0</v>
      </c>
      <c r="J484" s="1">
        <v>0</v>
      </c>
      <c r="K484" s="1">
        <v>18303498</v>
      </c>
      <c r="L484" s="1">
        <v>0</v>
      </c>
      <c r="M484" s="1">
        <v>5500000</v>
      </c>
      <c r="N484" s="1">
        <v>0</v>
      </c>
      <c r="O484" s="1">
        <v>1000000</v>
      </c>
      <c r="P484" s="1">
        <v>3929049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1848000</v>
      </c>
      <c r="W484" s="1">
        <v>0</v>
      </c>
      <c r="X484" s="1">
        <v>10514601</v>
      </c>
      <c r="Y484" s="1">
        <v>4000000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3892267</v>
      </c>
      <c r="AF484" s="1">
        <v>0</v>
      </c>
      <c r="AG484" s="1">
        <v>3087109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5363519</v>
      </c>
      <c r="AO484" s="1">
        <v>0</v>
      </c>
      <c r="AP484" s="1">
        <v>0</v>
      </c>
      <c r="AQ484" s="1">
        <v>0</v>
      </c>
      <c r="AR484" s="1">
        <v>79698283</v>
      </c>
      <c r="AS484" s="1">
        <v>36020657</v>
      </c>
      <c r="AT484" s="1">
        <v>43677626</v>
      </c>
      <c r="AU484" s="1">
        <v>15939657</v>
      </c>
      <c r="AV484" s="1">
        <v>2390948</v>
      </c>
      <c r="AW484" s="1">
        <f t="shared" si="49"/>
        <v>98028888</v>
      </c>
    </row>
    <row r="485" spans="1:49" x14ac:dyDescent="0.2">
      <c r="A485" s="1" t="str">
        <f>"00563"</f>
        <v>00563</v>
      </c>
      <c r="B485" s="1" t="str">
        <f>"احمدرضا"</f>
        <v>احمدرضا</v>
      </c>
      <c r="C485" s="1" t="str">
        <f>"وطن خواه"</f>
        <v>وطن خواه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16808547</v>
      </c>
      <c r="G485" s="1">
        <v>0</v>
      </c>
      <c r="H485" s="1">
        <v>0</v>
      </c>
      <c r="I485" s="1">
        <v>3346925</v>
      </c>
      <c r="J485" s="1">
        <v>0</v>
      </c>
      <c r="K485" s="1">
        <v>14282943</v>
      </c>
      <c r="L485" s="1">
        <v>0</v>
      </c>
      <c r="M485" s="1">
        <v>4620000</v>
      </c>
      <c r="N485" s="1">
        <v>0</v>
      </c>
      <c r="O485" s="1">
        <v>1000000</v>
      </c>
      <c r="P485" s="1">
        <v>3259805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17286529</v>
      </c>
      <c r="Y485" s="1">
        <v>4000000</v>
      </c>
      <c r="Z485" s="1">
        <v>2439950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2561276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13559046</v>
      </c>
      <c r="AO485" s="1">
        <v>0</v>
      </c>
      <c r="AP485" s="1">
        <v>0</v>
      </c>
      <c r="AQ485" s="1">
        <v>0</v>
      </c>
      <c r="AR485" s="1">
        <v>83165021</v>
      </c>
      <c r="AS485" s="1">
        <v>28792704</v>
      </c>
      <c r="AT485" s="1">
        <v>54372317</v>
      </c>
      <c r="AU485" s="1">
        <v>16633004</v>
      </c>
      <c r="AV485" s="1">
        <v>2494951</v>
      </c>
      <c r="AW485" s="1">
        <f t="shared" si="49"/>
        <v>102292976</v>
      </c>
    </row>
    <row r="486" spans="1:49" x14ac:dyDescent="0.2">
      <c r="A486" s="1" t="str">
        <f>"00564"</f>
        <v>00564</v>
      </c>
      <c r="B486" s="1" t="str">
        <f>"سعيد"</f>
        <v>سعيد</v>
      </c>
      <c r="C486" s="1" t="str">
        <f>"هاشمي"</f>
        <v>هاشمي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16591890</v>
      </c>
      <c r="G486" s="1">
        <v>0</v>
      </c>
      <c r="H486" s="1">
        <v>0</v>
      </c>
      <c r="I486" s="1">
        <v>4756958</v>
      </c>
      <c r="J486" s="1">
        <v>0</v>
      </c>
      <c r="K486" s="1">
        <v>13087838</v>
      </c>
      <c r="L486" s="1">
        <v>0</v>
      </c>
      <c r="M486" s="1">
        <v>4620000</v>
      </c>
      <c r="N486" s="1">
        <v>0</v>
      </c>
      <c r="O486" s="1">
        <v>1000000</v>
      </c>
      <c r="P486" s="1">
        <v>3183975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20598384</v>
      </c>
      <c r="Y486" s="1">
        <v>4000000</v>
      </c>
      <c r="Z486" s="1">
        <v>2408500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2501695</v>
      </c>
      <c r="AH486" s="1">
        <v>3670854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11449110</v>
      </c>
      <c r="AO486" s="1">
        <v>0</v>
      </c>
      <c r="AP486" s="1">
        <v>0</v>
      </c>
      <c r="AQ486" s="1">
        <v>0</v>
      </c>
      <c r="AR486" s="1">
        <v>87869204</v>
      </c>
      <c r="AS486" s="1">
        <v>42136880</v>
      </c>
      <c r="AT486" s="1">
        <v>45732324</v>
      </c>
      <c r="AU486" s="1">
        <v>16839670</v>
      </c>
      <c r="AV486" s="1">
        <v>2525951</v>
      </c>
      <c r="AW486" s="1">
        <f t="shared" si="49"/>
        <v>107234825</v>
      </c>
    </row>
    <row r="487" spans="1:49" x14ac:dyDescent="0.2">
      <c r="A487" s="1" t="str">
        <f>"00565"</f>
        <v>00565</v>
      </c>
      <c r="B487" s="1" t="str">
        <f>"عباس"</f>
        <v>عباس</v>
      </c>
      <c r="C487" s="1" t="str">
        <f>"يزداني"</f>
        <v>يزداني</v>
      </c>
      <c r="D487" s="1" t="str">
        <f t="shared" si="50"/>
        <v>قراردادي بهره بردار</v>
      </c>
      <c r="E487" s="1" t="str">
        <f t="shared" ref="E487:E514" si="52">"پروژه تعميرات نيروگاه بوشهر"</f>
        <v>پروژه تعميرات نيروگاه بوشهر</v>
      </c>
      <c r="F487" s="1">
        <v>17259496</v>
      </c>
      <c r="G487" s="1">
        <v>0</v>
      </c>
      <c r="H487" s="1">
        <v>0</v>
      </c>
      <c r="I487" s="1">
        <v>2628220</v>
      </c>
      <c r="J487" s="1">
        <v>0</v>
      </c>
      <c r="K487" s="1">
        <v>15866943</v>
      </c>
      <c r="L487" s="1">
        <v>0</v>
      </c>
      <c r="M487" s="1">
        <v>0</v>
      </c>
      <c r="N487" s="1">
        <v>0</v>
      </c>
      <c r="O487" s="1">
        <v>1000000</v>
      </c>
      <c r="P487" s="1">
        <v>3139888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22850873</v>
      </c>
      <c r="Y487" s="1">
        <v>4000000</v>
      </c>
      <c r="Z487" s="1">
        <v>2505411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2467054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12907009</v>
      </c>
      <c r="AO487" s="1">
        <v>0</v>
      </c>
      <c r="AP487" s="1">
        <v>0</v>
      </c>
      <c r="AQ487" s="1">
        <v>0</v>
      </c>
      <c r="AR487" s="1">
        <v>84624894</v>
      </c>
      <c r="AS487" s="1">
        <v>36426571</v>
      </c>
      <c r="AT487" s="1">
        <v>48198323</v>
      </c>
      <c r="AU487" s="1">
        <v>16924979</v>
      </c>
      <c r="AV487" s="1">
        <v>2538747</v>
      </c>
      <c r="AW487" s="1">
        <f t="shared" si="49"/>
        <v>104088620</v>
      </c>
    </row>
    <row r="488" spans="1:49" x14ac:dyDescent="0.2">
      <c r="A488" s="1" t="str">
        <f>"00566"</f>
        <v>00566</v>
      </c>
      <c r="B488" s="1" t="str">
        <f>"عابد"</f>
        <v>عابد</v>
      </c>
      <c r="C488" s="1" t="str">
        <f>"خنده جام"</f>
        <v>خنده جام</v>
      </c>
      <c r="D488" s="1" t="str">
        <f t="shared" ref="D488:D513" si="53">"قراردادي کارگري"</f>
        <v>قراردادي کارگري</v>
      </c>
      <c r="E488" s="1" t="str">
        <f t="shared" si="52"/>
        <v>پروژه تعميرات نيروگاه بوشهر</v>
      </c>
      <c r="F488" s="1">
        <v>0</v>
      </c>
      <c r="G488" s="1">
        <v>5291874</v>
      </c>
      <c r="H488" s="1">
        <v>2751774</v>
      </c>
      <c r="I488" s="1">
        <v>9094107</v>
      </c>
      <c r="J488" s="1">
        <v>0</v>
      </c>
      <c r="K488" s="1">
        <v>5630554</v>
      </c>
      <c r="L488" s="1">
        <v>0</v>
      </c>
      <c r="M488" s="1">
        <v>0</v>
      </c>
      <c r="N488" s="1">
        <v>11521166</v>
      </c>
      <c r="O488" s="1">
        <v>2000000</v>
      </c>
      <c r="P488" s="1">
        <v>4233498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2640000</v>
      </c>
      <c r="W488" s="1">
        <v>0</v>
      </c>
      <c r="X488" s="1">
        <v>7392990</v>
      </c>
      <c r="Y488" s="1">
        <v>4000000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1835427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56391390</v>
      </c>
      <c r="AS488" s="1">
        <v>8624208</v>
      </c>
      <c r="AT488" s="1">
        <v>47767182</v>
      </c>
      <c r="AU488" s="1">
        <v>10911193</v>
      </c>
      <c r="AV488" s="1">
        <v>1636679</v>
      </c>
      <c r="AW488" s="1">
        <f t="shared" si="49"/>
        <v>68939262</v>
      </c>
    </row>
    <row r="489" spans="1:49" x14ac:dyDescent="0.2">
      <c r="A489" s="1" t="str">
        <f>"00567"</f>
        <v>00567</v>
      </c>
      <c r="B489" s="1" t="str">
        <f>"مهدي"</f>
        <v>مهدي</v>
      </c>
      <c r="C489" s="1" t="str">
        <f>"شاكري"</f>
        <v>شاكري</v>
      </c>
      <c r="D489" s="1" t="str">
        <f t="shared" si="53"/>
        <v>قراردادي کارگري</v>
      </c>
      <c r="E489" s="1" t="str">
        <f t="shared" si="52"/>
        <v>پروژه تعميرات نيروگاه بوشهر</v>
      </c>
      <c r="F489" s="1">
        <v>0</v>
      </c>
      <c r="G489" s="1">
        <v>7078052</v>
      </c>
      <c r="H489" s="1">
        <v>3539026</v>
      </c>
      <c r="I489" s="1">
        <v>0</v>
      </c>
      <c r="J489" s="1">
        <v>0</v>
      </c>
      <c r="K489" s="1">
        <v>8918346</v>
      </c>
      <c r="L489" s="1">
        <v>0</v>
      </c>
      <c r="M489" s="1">
        <v>0</v>
      </c>
      <c r="N489" s="1">
        <v>11331151</v>
      </c>
      <c r="O489" s="1">
        <v>2000000</v>
      </c>
      <c r="P489" s="1">
        <v>5662441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2640000</v>
      </c>
      <c r="W489" s="1">
        <v>0</v>
      </c>
      <c r="X489" s="1">
        <v>13673286</v>
      </c>
      <c r="Y489" s="1">
        <v>4000000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1835427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60677729</v>
      </c>
      <c r="AS489" s="1">
        <v>9375638</v>
      </c>
      <c r="AT489" s="1">
        <v>51302091</v>
      </c>
      <c r="AU489" s="1">
        <v>11768460</v>
      </c>
      <c r="AV489" s="1">
        <v>1765269</v>
      </c>
      <c r="AW489" s="1">
        <f t="shared" si="49"/>
        <v>74211458</v>
      </c>
    </row>
    <row r="490" spans="1:49" x14ac:dyDescent="0.2">
      <c r="A490" s="1" t="str">
        <f>"00568"</f>
        <v>00568</v>
      </c>
      <c r="B490" s="1" t="str">
        <f>"علي"</f>
        <v>علي</v>
      </c>
      <c r="C490" s="1" t="str">
        <f>"فرهادي"</f>
        <v>فرهادي</v>
      </c>
      <c r="D490" s="1" t="str">
        <f t="shared" si="53"/>
        <v>قراردادي کارگري</v>
      </c>
      <c r="E490" s="1" t="str">
        <f t="shared" si="52"/>
        <v>پروژه تعميرات نيروگاه بوشهر</v>
      </c>
      <c r="F490" s="1">
        <v>0</v>
      </c>
      <c r="G490" s="1">
        <v>7944829</v>
      </c>
      <c r="H490" s="1">
        <v>4131311</v>
      </c>
      <c r="I490" s="1">
        <v>0</v>
      </c>
      <c r="J490" s="1">
        <v>0</v>
      </c>
      <c r="K490" s="1">
        <v>8936343</v>
      </c>
      <c r="L490" s="1">
        <v>0</v>
      </c>
      <c r="M490" s="1">
        <v>0</v>
      </c>
      <c r="N490" s="1">
        <v>11572430</v>
      </c>
      <c r="O490" s="1">
        <v>2000000</v>
      </c>
      <c r="P490" s="1">
        <v>6355863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2640000</v>
      </c>
      <c r="W490" s="1">
        <v>0</v>
      </c>
      <c r="X490" s="1">
        <v>13993641</v>
      </c>
      <c r="Y490" s="1">
        <v>4000000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1835427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63409844</v>
      </c>
      <c r="AS490" s="1">
        <v>16263241</v>
      </c>
      <c r="AT490" s="1">
        <v>47146603</v>
      </c>
      <c r="AU490" s="1">
        <v>12314883</v>
      </c>
      <c r="AV490" s="1">
        <v>1847233</v>
      </c>
      <c r="AW490" s="1">
        <f t="shared" si="49"/>
        <v>77571960</v>
      </c>
    </row>
    <row r="491" spans="1:49" x14ac:dyDescent="0.2">
      <c r="A491" s="1" t="str">
        <f>"00569"</f>
        <v>00569</v>
      </c>
      <c r="B491" s="1" t="str">
        <f>"مجاهد"</f>
        <v>مجاهد</v>
      </c>
      <c r="C491" s="1" t="str">
        <f>"مسيح گل"</f>
        <v>مسيح گل</v>
      </c>
      <c r="D491" s="1" t="str">
        <f t="shared" si="53"/>
        <v>قراردادي کارگري</v>
      </c>
      <c r="E491" s="1" t="str">
        <f t="shared" si="52"/>
        <v>پروژه تعميرات نيروگاه بوشهر</v>
      </c>
      <c r="F491" s="1">
        <v>0</v>
      </c>
      <c r="G491" s="1">
        <v>5357379</v>
      </c>
      <c r="H491" s="1">
        <v>2678689</v>
      </c>
      <c r="I491" s="1">
        <v>8999704</v>
      </c>
      <c r="J491" s="1">
        <v>0</v>
      </c>
      <c r="K491" s="1">
        <v>5062723</v>
      </c>
      <c r="L491" s="1">
        <v>0</v>
      </c>
      <c r="M491" s="1">
        <v>0</v>
      </c>
      <c r="N491" s="1">
        <v>11572430</v>
      </c>
      <c r="O491" s="1">
        <v>2000000</v>
      </c>
      <c r="P491" s="1">
        <v>4285903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2640000</v>
      </c>
      <c r="W491" s="1">
        <v>0</v>
      </c>
      <c r="X491" s="1">
        <v>10898708</v>
      </c>
      <c r="Y491" s="1">
        <v>4000000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57495536</v>
      </c>
      <c r="AS491" s="1">
        <v>13020882</v>
      </c>
      <c r="AT491" s="1">
        <v>44474654</v>
      </c>
      <c r="AU491" s="1">
        <v>11499107</v>
      </c>
      <c r="AV491" s="1">
        <v>1724866</v>
      </c>
      <c r="AW491" s="1">
        <f t="shared" si="49"/>
        <v>70719509</v>
      </c>
    </row>
    <row r="492" spans="1:49" x14ac:dyDescent="0.2">
      <c r="A492" s="1" t="str">
        <f>"00570"</f>
        <v>00570</v>
      </c>
      <c r="B492" s="1" t="str">
        <f>"احمد رضا"</f>
        <v>احمد رضا</v>
      </c>
      <c r="C492" s="1" t="str">
        <f>"رستم بروجردي"</f>
        <v>رستم بروجردي</v>
      </c>
      <c r="D492" s="1" t="str">
        <f t="shared" si="53"/>
        <v>قراردادي کارگري</v>
      </c>
      <c r="E492" s="1" t="str">
        <f t="shared" si="52"/>
        <v>پروژه تعميرات نيروگاه بوشهر</v>
      </c>
      <c r="F492" s="1">
        <v>0</v>
      </c>
      <c r="G492" s="1">
        <v>5666188</v>
      </c>
      <c r="H492" s="1">
        <v>2946418</v>
      </c>
      <c r="I492" s="1">
        <v>0</v>
      </c>
      <c r="J492" s="1">
        <v>0</v>
      </c>
      <c r="K492" s="1">
        <v>6373328</v>
      </c>
      <c r="L492" s="1">
        <v>0</v>
      </c>
      <c r="M492" s="1">
        <v>0</v>
      </c>
      <c r="N492" s="1">
        <v>11521166</v>
      </c>
      <c r="O492" s="1">
        <v>2000000</v>
      </c>
      <c r="P492" s="1">
        <v>4532950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2640000</v>
      </c>
      <c r="W492" s="1">
        <v>0</v>
      </c>
      <c r="X492" s="1">
        <v>11916816</v>
      </c>
      <c r="Y492" s="1">
        <v>4000000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51596866</v>
      </c>
      <c r="AS492" s="1">
        <v>10211090</v>
      </c>
      <c r="AT492" s="1">
        <v>41385776</v>
      </c>
      <c r="AU492" s="1">
        <v>10319373</v>
      </c>
      <c r="AV492" s="1">
        <v>1547906</v>
      </c>
      <c r="AW492" s="1">
        <f t="shared" si="49"/>
        <v>63464145</v>
      </c>
    </row>
    <row r="493" spans="1:49" x14ac:dyDescent="0.2">
      <c r="A493" s="1" t="str">
        <f>"00571"</f>
        <v>00571</v>
      </c>
      <c r="B493" s="1" t="str">
        <f>"هادي"</f>
        <v>هادي</v>
      </c>
      <c r="C493" s="1" t="str">
        <f>"منفرد"</f>
        <v>منفرد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0</v>
      </c>
      <c r="G493" s="1">
        <v>7317852</v>
      </c>
      <c r="H493" s="1">
        <v>3658926</v>
      </c>
      <c r="I493" s="1">
        <v>0</v>
      </c>
      <c r="J493" s="1">
        <v>0</v>
      </c>
      <c r="K493" s="1">
        <v>9659564</v>
      </c>
      <c r="L493" s="1">
        <v>0</v>
      </c>
      <c r="M493" s="1">
        <v>0</v>
      </c>
      <c r="N493" s="1">
        <v>11521166</v>
      </c>
      <c r="O493" s="1">
        <v>2000000</v>
      </c>
      <c r="P493" s="1">
        <v>5854282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2640000</v>
      </c>
      <c r="W493" s="1">
        <v>0</v>
      </c>
      <c r="X493" s="1">
        <v>14147773</v>
      </c>
      <c r="Y493" s="1">
        <v>4000000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5506281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66305844</v>
      </c>
      <c r="AS493" s="1">
        <v>12261757</v>
      </c>
      <c r="AT493" s="1">
        <v>54044087</v>
      </c>
      <c r="AU493" s="1">
        <v>12159913</v>
      </c>
      <c r="AV493" s="1">
        <v>1823987</v>
      </c>
      <c r="AW493" s="1">
        <f t="shared" si="49"/>
        <v>80289744</v>
      </c>
    </row>
    <row r="494" spans="1:49" x14ac:dyDescent="0.2">
      <c r="A494" s="1" t="str">
        <f>"00572"</f>
        <v>00572</v>
      </c>
      <c r="B494" s="1" t="str">
        <f>"رمضان"</f>
        <v>رمضان</v>
      </c>
      <c r="C494" s="1" t="str">
        <f>"مجيدي"</f>
        <v>مجيدي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0</v>
      </c>
      <c r="G494" s="1">
        <v>7958866</v>
      </c>
      <c r="H494" s="1">
        <v>4059021</v>
      </c>
      <c r="I494" s="1">
        <v>0</v>
      </c>
      <c r="J494" s="1">
        <v>0</v>
      </c>
      <c r="K494" s="1">
        <v>8652879</v>
      </c>
      <c r="L494" s="1">
        <v>0</v>
      </c>
      <c r="M494" s="1">
        <v>0</v>
      </c>
      <c r="N494" s="1">
        <v>11521166</v>
      </c>
      <c r="O494" s="1">
        <v>2000000</v>
      </c>
      <c r="P494" s="1">
        <v>6367092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2640000</v>
      </c>
      <c r="W494" s="1">
        <v>0</v>
      </c>
      <c r="X494" s="1">
        <v>14322888</v>
      </c>
      <c r="Y494" s="1">
        <v>4000000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1835427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63357339</v>
      </c>
      <c r="AS494" s="1">
        <v>10694815</v>
      </c>
      <c r="AT494" s="1">
        <v>52662524</v>
      </c>
      <c r="AU494" s="1">
        <v>12304382</v>
      </c>
      <c r="AV494" s="1">
        <v>1845657</v>
      </c>
      <c r="AW494" s="1">
        <f t="shared" si="49"/>
        <v>77507378</v>
      </c>
    </row>
    <row r="495" spans="1:49" x14ac:dyDescent="0.2">
      <c r="A495" s="1" t="str">
        <f>"00573"</f>
        <v>00573</v>
      </c>
      <c r="B495" s="1" t="str">
        <f>"غلامحسين"</f>
        <v>غلامحسين</v>
      </c>
      <c r="C495" s="1" t="str">
        <f>"خاقاني"</f>
        <v>خاقاني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0</v>
      </c>
      <c r="G495" s="1">
        <v>4973706</v>
      </c>
      <c r="H495" s="1">
        <v>2586327</v>
      </c>
      <c r="I495" s="1">
        <v>559234</v>
      </c>
      <c r="J495" s="1">
        <v>0</v>
      </c>
      <c r="K495" s="1">
        <v>5670025</v>
      </c>
      <c r="L495" s="1">
        <v>0</v>
      </c>
      <c r="M495" s="1">
        <v>0</v>
      </c>
      <c r="N495" s="1">
        <v>11572430</v>
      </c>
      <c r="O495" s="1">
        <v>2000000</v>
      </c>
      <c r="P495" s="1">
        <v>3978965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2640000</v>
      </c>
      <c r="W495" s="1">
        <v>0</v>
      </c>
      <c r="X495" s="1">
        <v>10844251</v>
      </c>
      <c r="Y495" s="1">
        <v>4000000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3670854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52495792</v>
      </c>
      <c r="AS495" s="1">
        <v>10888191</v>
      </c>
      <c r="AT495" s="1">
        <v>41607601</v>
      </c>
      <c r="AU495" s="1">
        <v>9764988</v>
      </c>
      <c r="AV495" s="1">
        <v>1464748</v>
      </c>
      <c r="AW495" s="1">
        <f t="shared" si="49"/>
        <v>63725528</v>
      </c>
    </row>
    <row r="496" spans="1:49" x14ac:dyDescent="0.2">
      <c r="A496" s="1" t="str">
        <f>"00574"</f>
        <v>00574</v>
      </c>
      <c r="B496" s="1" t="str">
        <f>"بهزاد"</f>
        <v>بهزاد</v>
      </c>
      <c r="C496" s="1" t="str">
        <f>"رضائي"</f>
        <v>رضائي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0</v>
      </c>
      <c r="G496" s="1">
        <v>5259121</v>
      </c>
      <c r="H496" s="1">
        <v>2734743</v>
      </c>
      <c r="I496" s="1">
        <v>3751604</v>
      </c>
      <c r="J496" s="1">
        <v>0</v>
      </c>
      <c r="K496" s="1">
        <v>5755582</v>
      </c>
      <c r="L496" s="1">
        <v>0</v>
      </c>
      <c r="M496" s="1">
        <v>0</v>
      </c>
      <c r="N496" s="1">
        <v>11522509</v>
      </c>
      <c r="O496" s="1">
        <v>2000000</v>
      </c>
      <c r="P496" s="1">
        <v>4207297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2640000</v>
      </c>
      <c r="W496" s="1">
        <v>0</v>
      </c>
      <c r="X496" s="1">
        <v>11417360</v>
      </c>
      <c r="Y496" s="1">
        <v>4000000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3670854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56959070</v>
      </c>
      <c r="AS496" s="1">
        <v>6328318</v>
      </c>
      <c r="AT496" s="1">
        <v>50630752</v>
      </c>
      <c r="AU496" s="1">
        <v>10657643</v>
      </c>
      <c r="AV496" s="1">
        <v>1598646</v>
      </c>
      <c r="AW496" s="1">
        <f t="shared" si="49"/>
        <v>69215359</v>
      </c>
    </row>
    <row r="497" spans="1:49" x14ac:dyDescent="0.2">
      <c r="A497" s="1" t="str">
        <f>"00575"</f>
        <v>00575</v>
      </c>
      <c r="B497" s="1" t="str">
        <f>"داريوش"</f>
        <v>داريوش</v>
      </c>
      <c r="C497" s="1" t="str">
        <f>"اميربندي"</f>
        <v>اميربندي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0</v>
      </c>
      <c r="G497" s="1">
        <v>8258317</v>
      </c>
      <c r="H497" s="1">
        <v>4129159</v>
      </c>
      <c r="I497" s="1">
        <v>16848783</v>
      </c>
      <c r="J497" s="1">
        <v>0</v>
      </c>
      <c r="K497" s="1">
        <v>10405480</v>
      </c>
      <c r="L497" s="1">
        <v>0</v>
      </c>
      <c r="M497" s="1">
        <v>0</v>
      </c>
      <c r="N497" s="1">
        <v>11521166</v>
      </c>
      <c r="O497" s="1">
        <v>2000000</v>
      </c>
      <c r="P497" s="1">
        <v>6606654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2640000</v>
      </c>
      <c r="W497" s="1">
        <v>0</v>
      </c>
      <c r="X497" s="1">
        <v>14607441</v>
      </c>
      <c r="Y497" s="1">
        <v>4000000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3670854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84687854</v>
      </c>
      <c r="AS497" s="1">
        <v>13979863</v>
      </c>
      <c r="AT497" s="1">
        <v>70707991</v>
      </c>
      <c r="AU497" s="1">
        <v>16203400</v>
      </c>
      <c r="AV497" s="1">
        <v>2430510</v>
      </c>
      <c r="AW497" s="1">
        <f t="shared" si="49"/>
        <v>103321764</v>
      </c>
    </row>
    <row r="498" spans="1:49" x14ac:dyDescent="0.2">
      <c r="A498" s="1" t="str">
        <f>"00576"</f>
        <v>00576</v>
      </c>
      <c r="B498" s="1" t="str">
        <f>"اصغر"</f>
        <v>اصغر</v>
      </c>
      <c r="C498" s="1" t="str">
        <f>"عليپور"</f>
        <v>عليپور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0</v>
      </c>
      <c r="G498" s="1">
        <v>7140052</v>
      </c>
      <c r="H498" s="1">
        <v>3641426</v>
      </c>
      <c r="I498" s="1">
        <v>0</v>
      </c>
      <c r="J498" s="1">
        <v>0</v>
      </c>
      <c r="K498" s="1">
        <v>7762665</v>
      </c>
      <c r="L498" s="1">
        <v>0</v>
      </c>
      <c r="M498" s="1">
        <v>0</v>
      </c>
      <c r="N498" s="1">
        <v>11521166</v>
      </c>
      <c r="O498" s="1">
        <v>2000000</v>
      </c>
      <c r="P498" s="1">
        <v>5712041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2640000</v>
      </c>
      <c r="W498" s="1">
        <v>0</v>
      </c>
      <c r="X498" s="1">
        <v>13432753</v>
      </c>
      <c r="Y498" s="1">
        <v>4000000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7341708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65191811</v>
      </c>
      <c r="AS498" s="1">
        <v>6499737</v>
      </c>
      <c r="AT498" s="1">
        <v>58692074</v>
      </c>
      <c r="AU498" s="1">
        <v>11570021</v>
      </c>
      <c r="AV498" s="1">
        <v>1735503</v>
      </c>
      <c r="AW498" s="1">
        <f t="shared" si="49"/>
        <v>78497335</v>
      </c>
    </row>
    <row r="499" spans="1:49" x14ac:dyDescent="0.2">
      <c r="A499" s="1" t="str">
        <f>"00577"</f>
        <v>00577</v>
      </c>
      <c r="B499" s="1" t="str">
        <f>"عبدالمحمد"</f>
        <v>عبدالمحمد</v>
      </c>
      <c r="C499" s="1" t="str">
        <f>"گرامي"</f>
        <v>گرامي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0</v>
      </c>
      <c r="G499" s="1">
        <v>6747022</v>
      </c>
      <c r="H499" s="1">
        <v>3440981</v>
      </c>
      <c r="I499" s="1">
        <v>12430777</v>
      </c>
      <c r="J499" s="1">
        <v>0</v>
      </c>
      <c r="K499" s="1">
        <v>7539123</v>
      </c>
      <c r="L499" s="1">
        <v>0</v>
      </c>
      <c r="M499" s="1">
        <v>0</v>
      </c>
      <c r="N499" s="1">
        <v>11521166</v>
      </c>
      <c r="O499" s="1">
        <v>2000000</v>
      </c>
      <c r="P499" s="1">
        <v>5397618</v>
      </c>
      <c r="Q499" s="1">
        <v>0</v>
      </c>
      <c r="R499" s="1">
        <v>0</v>
      </c>
      <c r="S499" s="1">
        <v>0</v>
      </c>
      <c r="T499" s="1">
        <v>4349794</v>
      </c>
      <c r="U499" s="1">
        <v>0</v>
      </c>
      <c r="V499" s="1">
        <v>0</v>
      </c>
      <c r="W499" s="1">
        <v>0</v>
      </c>
      <c r="X499" s="1">
        <v>9394559</v>
      </c>
      <c r="Y499" s="1">
        <v>4000000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5196886</v>
      </c>
      <c r="AG499" s="1">
        <v>0</v>
      </c>
      <c r="AH499" s="1">
        <v>5506281</v>
      </c>
      <c r="AI499" s="1">
        <v>0</v>
      </c>
      <c r="AJ499" s="1">
        <v>0</v>
      </c>
      <c r="AK499" s="1">
        <v>0</v>
      </c>
      <c r="AL499" s="1">
        <v>7955697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85479904</v>
      </c>
      <c r="AS499" s="1">
        <v>12200966</v>
      </c>
      <c r="AT499" s="1">
        <v>73278938</v>
      </c>
      <c r="AU499" s="1">
        <v>15124766</v>
      </c>
      <c r="AV499" s="1">
        <v>2268715</v>
      </c>
      <c r="AW499" s="1">
        <f t="shared" si="49"/>
        <v>102873385</v>
      </c>
    </row>
    <row r="500" spans="1:49" x14ac:dyDescent="0.2">
      <c r="A500" s="1" t="str">
        <f>"00578"</f>
        <v>00578</v>
      </c>
      <c r="B500" s="1" t="str">
        <f>"علي اكبر"</f>
        <v>علي اكبر</v>
      </c>
      <c r="C500" s="1" t="str">
        <f>"هلال بحر"</f>
        <v>هلال بحر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0</v>
      </c>
      <c r="G500" s="1">
        <v>7947377</v>
      </c>
      <c r="H500" s="1">
        <v>3973689</v>
      </c>
      <c r="I500" s="1">
        <v>10983493</v>
      </c>
      <c r="J500" s="1">
        <v>0</v>
      </c>
      <c r="K500" s="1">
        <v>9894484</v>
      </c>
      <c r="L500" s="1">
        <v>0</v>
      </c>
      <c r="M500" s="1">
        <v>0</v>
      </c>
      <c r="N500" s="1">
        <v>11331151</v>
      </c>
      <c r="O500" s="1">
        <v>2000000</v>
      </c>
      <c r="P500" s="1">
        <v>6357901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2640000</v>
      </c>
      <c r="W500" s="1">
        <v>0</v>
      </c>
      <c r="X500" s="1">
        <v>14168427</v>
      </c>
      <c r="Y500" s="1">
        <v>4000000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73296522</v>
      </c>
      <c r="AS500" s="1">
        <v>11048133</v>
      </c>
      <c r="AT500" s="1">
        <v>62248389</v>
      </c>
      <c r="AU500" s="1">
        <v>14659304</v>
      </c>
      <c r="AV500" s="1">
        <v>2198896</v>
      </c>
      <c r="AW500" s="1">
        <f t="shared" si="49"/>
        <v>90154722</v>
      </c>
    </row>
    <row r="501" spans="1:49" x14ac:dyDescent="0.2">
      <c r="A501" s="1" t="str">
        <f>"00579"</f>
        <v>00579</v>
      </c>
      <c r="B501" s="1" t="str">
        <f>"امير"</f>
        <v>امير</v>
      </c>
      <c r="C501" s="1" t="str">
        <f>"شاه نجات بوشهري"</f>
        <v>شاه نجات بوشهري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0</v>
      </c>
      <c r="G501" s="1">
        <v>7116658</v>
      </c>
      <c r="H501" s="1">
        <v>3700662</v>
      </c>
      <c r="I501" s="1">
        <v>0</v>
      </c>
      <c r="J501" s="1">
        <v>0</v>
      </c>
      <c r="K501" s="1">
        <v>7680297</v>
      </c>
      <c r="L501" s="1">
        <v>0</v>
      </c>
      <c r="M501" s="1">
        <v>0</v>
      </c>
      <c r="N501" s="1">
        <v>11521166</v>
      </c>
      <c r="O501" s="1">
        <v>2000000</v>
      </c>
      <c r="P501" s="1">
        <v>5693326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2640000</v>
      </c>
      <c r="W501" s="1">
        <v>0</v>
      </c>
      <c r="X501" s="1">
        <v>13411874</v>
      </c>
      <c r="Y501" s="1">
        <v>4000000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57763983</v>
      </c>
      <c r="AS501" s="1">
        <v>13594960</v>
      </c>
      <c r="AT501" s="1">
        <v>44169023</v>
      </c>
      <c r="AU501" s="1">
        <v>11552797</v>
      </c>
      <c r="AV501" s="1">
        <v>1732919</v>
      </c>
      <c r="AW501" s="1">
        <f t="shared" si="49"/>
        <v>71049699</v>
      </c>
    </row>
    <row r="502" spans="1:49" x14ac:dyDescent="0.2">
      <c r="A502" s="1" t="str">
        <f>"00580"</f>
        <v>00580</v>
      </c>
      <c r="B502" s="1" t="str">
        <f>"عبدالرضا"</f>
        <v>عبدالرضا</v>
      </c>
      <c r="C502" s="1" t="str">
        <f>"عطشاني"</f>
        <v>عطشاني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0</v>
      </c>
      <c r="G502" s="1">
        <v>5783162</v>
      </c>
      <c r="H502" s="1">
        <v>2949412</v>
      </c>
      <c r="I502" s="1">
        <v>311836</v>
      </c>
      <c r="J502" s="1">
        <v>0</v>
      </c>
      <c r="K502" s="1">
        <v>7335363</v>
      </c>
      <c r="L502" s="1">
        <v>0</v>
      </c>
      <c r="M502" s="1">
        <v>0</v>
      </c>
      <c r="N502" s="1">
        <v>11572430</v>
      </c>
      <c r="O502" s="1">
        <v>2000000</v>
      </c>
      <c r="P502" s="1">
        <v>4626529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2640000</v>
      </c>
      <c r="W502" s="1">
        <v>0</v>
      </c>
      <c r="X502" s="1">
        <v>11924738</v>
      </c>
      <c r="Y502" s="1">
        <v>4000000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5506281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58649751</v>
      </c>
      <c r="AS502" s="1">
        <v>19545398</v>
      </c>
      <c r="AT502" s="1">
        <v>39104353</v>
      </c>
      <c r="AU502" s="1">
        <v>10628694</v>
      </c>
      <c r="AV502" s="1">
        <v>1594304</v>
      </c>
      <c r="AW502" s="1">
        <f t="shared" si="49"/>
        <v>70872749</v>
      </c>
    </row>
    <row r="503" spans="1:49" x14ac:dyDescent="0.2">
      <c r="A503" s="1" t="str">
        <f>"00581"</f>
        <v>00581</v>
      </c>
      <c r="B503" s="1" t="str">
        <f>"رضا"</f>
        <v>رضا</v>
      </c>
      <c r="C503" s="1" t="str">
        <f>"بنشاخته"</f>
        <v>بنشاخته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0</v>
      </c>
      <c r="G503" s="1">
        <v>7656848</v>
      </c>
      <c r="H503" s="1">
        <v>3904992</v>
      </c>
      <c r="I503" s="1">
        <v>0</v>
      </c>
      <c r="J503" s="1">
        <v>0</v>
      </c>
      <c r="K503" s="1">
        <v>8555762</v>
      </c>
      <c r="L503" s="1">
        <v>0</v>
      </c>
      <c r="M503" s="1">
        <v>0</v>
      </c>
      <c r="N503" s="1">
        <v>11149515</v>
      </c>
      <c r="O503" s="1">
        <v>1935484</v>
      </c>
      <c r="P503" s="1">
        <v>6125478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2640000</v>
      </c>
      <c r="W503" s="1">
        <v>0</v>
      </c>
      <c r="X503" s="1">
        <v>13451705</v>
      </c>
      <c r="Y503" s="1">
        <v>3870968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5328659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64619411</v>
      </c>
      <c r="AS503" s="1">
        <v>7982136</v>
      </c>
      <c r="AT503" s="1">
        <v>56637275</v>
      </c>
      <c r="AU503" s="1">
        <v>11858150</v>
      </c>
      <c r="AV503" s="1">
        <v>1778723</v>
      </c>
      <c r="AW503" s="1">
        <f t="shared" si="49"/>
        <v>78256284</v>
      </c>
    </row>
    <row r="504" spans="1:49" x14ac:dyDescent="0.2">
      <c r="A504" s="1" t="str">
        <f>"00582"</f>
        <v>00582</v>
      </c>
      <c r="B504" s="1" t="str">
        <f>"مصطفي"</f>
        <v>مصطفي</v>
      </c>
      <c r="C504" s="1" t="str">
        <f>"روانستان"</f>
        <v>روانستان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0</v>
      </c>
      <c r="G504" s="1">
        <v>5535178</v>
      </c>
      <c r="H504" s="1">
        <v>2878292</v>
      </c>
      <c r="I504" s="1">
        <v>0</v>
      </c>
      <c r="J504" s="1">
        <v>0</v>
      </c>
      <c r="K504" s="1">
        <v>6310103</v>
      </c>
      <c r="L504" s="1">
        <v>0</v>
      </c>
      <c r="M504" s="1">
        <v>0</v>
      </c>
      <c r="N504" s="1">
        <v>11556947</v>
      </c>
      <c r="O504" s="1">
        <v>2000000</v>
      </c>
      <c r="P504" s="1">
        <v>4428142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2640000</v>
      </c>
      <c r="W504" s="1">
        <v>0</v>
      </c>
      <c r="X504" s="1">
        <v>11441686</v>
      </c>
      <c r="Y504" s="1">
        <v>4000000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5506281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56296629</v>
      </c>
      <c r="AS504" s="1">
        <v>19492811</v>
      </c>
      <c r="AT504" s="1">
        <v>36803818</v>
      </c>
      <c r="AU504" s="1">
        <v>10158070</v>
      </c>
      <c r="AV504" s="1">
        <v>1523710</v>
      </c>
      <c r="AW504" s="1">
        <f t="shared" si="49"/>
        <v>67978409</v>
      </c>
    </row>
    <row r="505" spans="1:49" x14ac:dyDescent="0.2">
      <c r="A505" s="1" t="str">
        <f>"00583"</f>
        <v>00583</v>
      </c>
      <c r="B505" s="1" t="str">
        <f>"علي حسين"</f>
        <v>علي حسين</v>
      </c>
      <c r="C505" s="1" t="str">
        <f>"طاهري كلاني"</f>
        <v>طاهري كلاني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0</v>
      </c>
      <c r="G505" s="1">
        <v>8965876</v>
      </c>
      <c r="H505" s="1">
        <v>4482938</v>
      </c>
      <c r="I505" s="1">
        <v>11259067</v>
      </c>
      <c r="J505" s="1">
        <v>0</v>
      </c>
      <c r="K505" s="1">
        <v>11028027</v>
      </c>
      <c r="L505" s="1">
        <v>0</v>
      </c>
      <c r="M505" s="1">
        <v>0</v>
      </c>
      <c r="N505" s="1">
        <v>11331151</v>
      </c>
      <c r="O505" s="1">
        <v>2000000</v>
      </c>
      <c r="P505" s="1">
        <v>7172701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2640000</v>
      </c>
      <c r="W505" s="1">
        <v>0</v>
      </c>
      <c r="X505" s="1">
        <v>10204993</v>
      </c>
      <c r="Y505" s="1">
        <v>4000000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1835427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74920180</v>
      </c>
      <c r="AS505" s="1">
        <v>16229007</v>
      </c>
      <c r="AT505" s="1">
        <v>58691173</v>
      </c>
      <c r="AU505" s="1">
        <v>14616951</v>
      </c>
      <c r="AV505" s="1">
        <v>2192543</v>
      </c>
      <c r="AW505" s="1">
        <f t="shared" si="49"/>
        <v>91729674</v>
      </c>
    </row>
    <row r="506" spans="1:49" x14ac:dyDescent="0.2">
      <c r="A506" s="1" t="str">
        <f>"00584"</f>
        <v>00584</v>
      </c>
      <c r="B506" s="1" t="str">
        <f>"علي"</f>
        <v>علي</v>
      </c>
      <c r="C506" s="1" t="str">
        <f>"علوي راد"</f>
        <v>علوي راد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0</v>
      </c>
      <c r="G506" s="1">
        <v>5853346</v>
      </c>
      <c r="H506" s="1">
        <v>3043740</v>
      </c>
      <c r="I506" s="1">
        <v>306106</v>
      </c>
      <c r="J506" s="1">
        <v>0</v>
      </c>
      <c r="K506" s="1">
        <v>6494872</v>
      </c>
      <c r="L506" s="1">
        <v>0</v>
      </c>
      <c r="M506" s="1">
        <v>0</v>
      </c>
      <c r="N506" s="1">
        <v>11572430</v>
      </c>
      <c r="O506" s="1">
        <v>2000000</v>
      </c>
      <c r="P506" s="1">
        <v>4682676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2640000</v>
      </c>
      <c r="W506" s="1">
        <v>0</v>
      </c>
      <c r="X506" s="1">
        <v>11732590</v>
      </c>
      <c r="Y506" s="1">
        <v>4000000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3670854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55996614</v>
      </c>
      <c r="AS506" s="1">
        <v>5232184</v>
      </c>
      <c r="AT506" s="1">
        <v>50764430</v>
      </c>
      <c r="AU506" s="1">
        <v>10465152</v>
      </c>
      <c r="AV506" s="1">
        <v>1569773</v>
      </c>
      <c r="AW506" s="1">
        <f t="shared" si="49"/>
        <v>68031539</v>
      </c>
    </row>
    <row r="507" spans="1:49" x14ac:dyDescent="0.2">
      <c r="A507" s="1" t="str">
        <f>"00585"</f>
        <v>00585</v>
      </c>
      <c r="B507" s="1" t="str">
        <f>"سيد حسن"</f>
        <v>سيد حسن</v>
      </c>
      <c r="C507" s="1" t="str">
        <f>"افسرده فرد"</f>
        <v>افسرده فرد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0</v>
      </c>
      <c r="G507" s="1">
        <v>9377390</v>
      </c>
      <c r="H507" s="1">
        <v>4688695</v>
      </c>
      <c r="I507" s="1">
        <v>0</v>
      </c>
      <c r="J507" s="1">
        <v>0</v>
      </c>
      <c r="K507" s="1">
        <v>11815512</v>
      </c>
      <c r="L507" s="1">
        <v>0</v>
      </c>
      <c r="M507" s="1">
        <v>0</v>
      </c>
      <c r="N507" s="1">
        <v>11331151</v>
      </c>
      <c r="O507" s="1">
        <v>2000000</v>
      </c>
      <c r="P507" s="1">
        <v>7501913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2640000</v>
      </c>
      <c r="W507" s="1">
        <v>0</v>
      </c>
      <c r="X507" s="1">
        <v>17310985</v>
      </c>
      <c r="Y507" s="1">
        <v>4000000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5506281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76171927</v>
      </c>
      <c r="AS507" s="1">
        <v>13265129</v>
      </c>
      <c r="AT507" s="1">
        <v>62906798</v>
      </c>
      <c r="AU507" s="1">
        <v>14133129</v>
      </c>
      <c r="AV507" s="1">
        <v>2119969</v>
      </c>
      <c r="AW507" s="1">
        <f t="shared" si="49"/>
        <v>92425025</v>
      </c>
    </row>
    <row r="508" spans="1:49" x14ac:dyDescent="0.2">
      <c r="A508" s="1" t="str">
        <f>"00586"</f>
        <v>00586</v>
      </c>
      <c r="B508" s="1" t="str">
        <f>"رضا"</f>
        <v>رضا</v>
      </c>
      <c r="C508" s="1" t="str">
        <f>"بازدار"</f>
        <v>بازدار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0</v>
      </c>
      <c r="G508" s="1">
        <v>7439504</v>
      </c>
      <c r="H508" s="1">
        <v>3794147</v>
      </c>
      <c r="I508" s="1">
        <v>7870956</v>
      </c>
      <c r="J508" s="1">
        <v>0</v>
      </c>
      <c r="K508" s="1">
        <v>8200565</v>
      </c>
      <c r="L508" s="1">
        <v>0</v>
      </c>
      <c r="M508" s="1">
        <v>0</v>
      </c>
      <c r="N508" s="1">
        <v>11521166</v>
      </c>
      <c r="O508" s="1">
        <v>2000000</v>
      </c>
      <c r="P508" s="1">
        <v>5951603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2640000</v>
      </c>
      <c r="W508" s="1">
        <v>0</v>
      </c>
      <c r="X508" s="1">
        <v>13794235</v>
      </c>
      <c r="Y508" s="1">
        <v>4000000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3670854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70883030</v>
      </c>
      <c r="AS508" s="1">
        <v>10574670</v>
      </c>
      <c r="AT508" s="1">
        <v>60308360</v>
      </c>
      <c r="AU508" s="1">
        <v>13442435</v>
      </c>
      <c r="AV508" s="1">
        <v>2016365</v>
      </c>
      <c r="AW508" s="1">
        <f t="shared" si="49"/>
        <v>86341830</v>
      </c>
    </row>
    <row r="509" spans="1:49" x14ac:dyDescent="0.2">
      <c r="A509" s="1" t="str">
        <f>"00587"</f>
        <v>00587</v>
      </c>
      <c r="B509" s="1" t="str">
        <f>"محمود"</f>
        <v>محمود</v>
      </c>
      <c r="C509" s="1" t="str">
        <f>"كرم زاده"</f>
        <v>كرم زاده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0</v>
      </c>
      <c r="G509" s="1">
        <v>6213623</v>
      </c>
      <c r="H509" s="1">
        <v>3231085</v>
      </c>
      <c r="I509" s="1">
        <v>2296036</v>
      </c>
      <c r="J509" s="1">
        <v>0</v>
      </c>
      <c r="K509" s="1">
        <v>8028002</v>
      </c>
      <c r="L509" s="1">
        <v>0</v>
      </c>
      <c r="M509" s="1">
        <v>0</v>
      </c>
      <c r="N509" s="1">
        <v>11572430</v>
      </c>
      <c r="O509" s="1">
        <v>2000000</v>
      </c>
      <c r="P509" s="1">
        <v>4970899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2640000</v>
      </c>
      <c r="W509" s="1">
        <v>0</v>
      </c>
      <c r="X509" s="1">
        <v>12466971</v>
      </c>
      <c r="Y509" s="1">
        <v>4000000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1835427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59254473</v>
      </c>
      <c r="AS509" s="1">
        <v>11343647</v>
      </c>
      <c r="AT509" s="1">
        <v>47910826</v>
      </c>
      <c r="AU509" s="1">
        <v>11483809</v>
      </c>
      <c r="AV509" s="1">
        <v>1722571</v>
      </c>
      <c r="AW509" s="1">
        <f t="shared" si="49"/>
        <v>72460853</v>
      </c>
    </row>
    <row r="510" spans="1:49" x14ac:dyDescent="0.2">
      <c r="A510" s="1" t="str">
        <f>"00588"</f>
        <v>00588</v>
      </c>
      <c r="B510" s="1" t="str">
        <f>"عليرضا"</f>
        <v>عليرضا</v>
      </c>
      <c r="C510" s="1" t="str">
        <f>"جماله"</f>
        <v>جماله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0</v>
      </c>
      <c r="G510" s="1">
        <v>8361254</v>
      </c>
      <c r="H510" s="1">
        <v>4347852</v>
      </c>
      <c r="I510" s="1">
        <v>1535864</v>
      </c>
      <c r="J510" s="1">
        <v>0</v>
      </c>
      <c r="K510" s="1">
        <v>9150556</v>
      </c>
      <c r="L510" s="1">
        <v>0</v>
      </c>
      <c r="M510" s="1">
        <v>0</v>
      </c>
      <c r="N510" s="1">
        <v>11521166</v>
      </c>
      <c r="O510" s="1">
        <v>2000000</v>
      </c>
      <c r="P510" s="1">
        <v>6689003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2640000</v>
      </c>
      <c r="W510" s="1">
        <v>0</v>
      </c>
      <c r="X510" s="1">
        <v>14343647</v>
      </c>
      <c r="Y510" s="1">
        <v>4000000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3670854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68260196</v>
      </c>
      <c r="AS510" s="1">
        <v>13868152</v>
      </c>
      <c r="AT510" s="1">
        <v>54392044</v>
      </c>
      <c r="AU510" s="1">
        <v>12917868</v>
      </c>
      <c r="AV510" s="1">
        <v>1937680</v>
      </c>
      <c r="AW510" s="1">
        <f t="shared" si="49"/>
        <v>83115744</v>
      </c>
    </row>
    <row r="511" spans="1:49" x14ac:dyDescent="0.2">
      <c r="A511" s="1" t="str">
        <f>"00589"</f>
        <v>00589</v>
      </c>
      <c r="B511" s="1" t="str">
        <f>"محمد"</f>
        <v>محمد</v>
      </c>
      <c r="C511" s="1" t="str">
        <f>"تمدن آرا"</f>
        <v>تمدن آرا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0</v>
      </c>
      <c r="G511" s="1">
        <v>5179579</v>
      </c>
      <c r="H511" s="1">
        <v>2641585</v>
      </c>
      <c r="I511" s="1">
        <v>8935922</v>
      </c>
      <c r="J511" s="1">
        <v>0</v>
      </c>
      <c r="K511" s="1">
        <v>6178720</v>
      </c>
      <c r="L511" s="1">
        <v>0</v>
      </c>
      <c r="M511" s="1">
        <v>0</v>
      </c>
      <c r="N511" s="1">
        <v>11572430</v>
      </c>
      <c r="O511" s="1">
        <v>2000000</v>
      </c>
      <c r="P511" s="1">
        <v>4143664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2640000</v>
      </c>
      <c r="W511" s="1">
        <v>0</v>
      </c>
      <c r="X511" s="1">
        <v>11133953</v>
      </c>
      <c r="Y511" s="1">
        <v>4000000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3670854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62096707</v>
      </c>
      <c r="AS511" s="1">
        <v>15164242</v>
      </c>
      <c r="AT511" s="1">
        <v>46932465</v>
      </c>
      <c r="AU511" s="1">
        <v>11685171</v>
      </c>
      <c r="AV511" s="1">
        <v>1752776</v>
      </c>
      <c r="AW511" s="1">
        <f t="shared" si="49"/>
        <v>75534654</v>
      </c>
    </row>
    <row r="512" spans="1:49" x14ac:dyDescent="0.2">
      <c r="A512" s="1" t="str">
        <f>"00590"</f>
        <v>00590</v>
      </c>
      <c r="B512" s="1" t="str">
        <f>"شكراله"</f>
        <v>شكراله</v>
      </c>
      <c r="C512" s="1" t="str">
        <f>"حقيقي"</f>
        <v>حقيقي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0</v>
      </c>
      <c r="G512" s="1">
        <v>4290582</v>
      </c>
      <c r="H512" s="1">
        <v>2145291</v>
      </c>
      <c r="I512" s="1">
        <v>1268375</v>
      </c>
      <c r="J512" s="1">
        <v>0</v>
      </c>
      <c r="K512" s="1">
        <v>4505111</v>
      </c>
      <c r="L512" s="1">
        <v>0</v>
      </c>
      <c r="M512" s="1">
        <v>0</v>
      </c>
      <c r="N512" s="1">
        <v>11572430</v>
      </c>
      <c r="O512" s="1">
        <v>2000000</v>
      </c>
      <c r="P512" s="1">
        <v>3217937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2640000</v>
      </c>
      <c r="W512" s="1">
        <v>0</v>
      </c>
      <c r="X512" s="1">
        <v>10218032</v>
      </c>
      <c r="Y512" s="1">
        <v>4000000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1835427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47693185</v>
      </c>
      <c r="AS512" s="1">
        <v>3994358</v>
      </c>
      <c r="AT512" s="1">
        <v>43698827</v>
      </c>
      <c r="AU512" s="1">
        <v>9171552</v>
      </c>
      <c r="AV512" s="1">
        <v>1375733</v>
      </c>
      <c r="AW512" s="1">
        <f t="shared" si="49"/>
        <v>58240470</v>
      </c>
    </row>
    <row r="513" spans="1:49" x14ac:dyDescent="0.2">
      <c r="A513" s="1" t="str">
        <f>"00591"</f>
        <v>00591</v>
      </c>
      <c r="B513" s="1" t="str">
        <f>"سيد مهدي"</f>
        <v>سيد مهدي</v>
      </c>
      <c r="C513" s="1" t="str">
        <f>"موسوي"</f>
        <v>موسوي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0</v>
      </c>
      <c r="G513" s="1">
        <v>5090679</v>
      </c>
      <c r="H513" s="1">
        <v>2545340</v>
      </c>
      <c r="I513" s="1">
        <v>2725783</v>
      </c>
      <c r="J513" s="1">
        <v>0</v>
      </c>
      <c r="K513" s="1">
        <v>4734332</v>
      </c>
      <c r="L513" s="1">
        <v>0</v>
      </c>
      <c r="M513" s="1">
        <v>0</v>
      </c>
      <c r="N513" s="1">
        <v>11572430</v>
      </c>
      <c r="O513" s="1">
        <v>2000000</v>
      </c>
      <c r="P513" s="1">
        <v>3818009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10867453</v>
      </c>
      <c r="Y513" s="1">
        <v>4000000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4164119</v>
      </c>
      <c r="AG513" s="1">
        <v>0</v>
      </c>
      <c r="AH513" s="1">
        <v>5506281</v>
      </c>
      <c r="AI513" s="1">
        <v>0</v>
      </c>
      <c r="AJ513" s="1">
        <v>0</v>
      </c>
      <c r="AK513" s="1">
        <v>0</v>
      </c>
      <c r="AL513" s="1">
        <v>5233504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62257930</v>
      </c>
      <c r="AS513" s="1">
        <v>10684476</v>
      </c>
      <c r="AT513" s="1">
        <v>51573454</v>
      </c>
      <c r="AU513" s="1">
        <v>11350330</v>
      </c>
      <c r="AV513" s="1">
        <v>1702549</v>
      </c>
      <c r="AW513" s="1">
        <f t="shared" si="49"/>
        <v>75310809</v>
      </c>
    </row>
    <row r="514" spans="1:49" x14ac:dyDescent="0.2">
      <c r="A514" s="1" t="str">
        <f>"00594"</f>
        <v>00594</v>
      </c>
      <c r="B514" s="1" t="str">
        <f>"مهدي"</f>
        <v>مهدي</v>
      </c>
      <c r="C514" s="1" t="str">
        <f>"احمديان مفرد"</f>
        <v>احمديان مفرد</v>
      </c>
      <c r="D514" s="1" t="str">
        <f t="shared" ref="D514:D556" si="54">"قراردادي بهره بردار"</f>
        <v>قراردادي بهره بردار</v>
      </c>
      <c r="E514" s="1" t="str">
        <f t="shared" si="52"/>
        <v>پروژه تعميرات نيروگاه بوشهر</v>
      </c>
      <c r="F514" s="1">
        <v>34718014</v>
      </c>
      <c r="G514" s="1">
        <v>0</v>
      </c>
      <c r="H514" s="1">
        <v>0</v>
      </c>
      <c r="I514" s="1">
        <v>0</v>
      </c>
      <c r="J514" s="1">
        <v>0</v>
      </c>
      <c r="K514" s="1">
        <v>31027022</v>
      </c>
      <c r="L514" s="1">
        <v>0</v>
      </c>
      <c r="M514" s="1">
        <v>5500000</v>
      </c>
      <c r="N514" s="1">
        <v>0</v>
      </c>
      <c r="O514" s="1">
        <v>1000000</v>
      </c>
      <c r="P514" s="1">
        <v>5968521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1848000</v>
      </c>
      <c r="W514" s="1">
        <v>0</v>
      </c>
      <c r="X514" s="1">
        <v>20082905</v>
      </c>
      <c r="Y514" s="1">
        <v>4000000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4689552</v>
      </c>
      <c r="AH514" s="1">
        <v>1835427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10913866</v>
      </c>
      <c r="AO514" s="1">
        <v>0</v>
      </c>
      <c r="AP514" s="1">
        <v>0</v>
      </c>
      <c r="AQ514" s="1">
        <v>0</v>
      </c>
      <c r="AR514" s="1">
        <v>121583307</v>
      </c>
      <c r="AS514" s="1">
        <v>46474485</v>
      </c>
      <c r="AT514" s="1">
        <v>75108822</v>
      </c>
      <c r="AU514" s="1">
        <v>23949576</v>
      </c>
      <c r="AV514" s="1">
        <v>3592436</v>
      </c>
      <c r="AW514" s="1">
        <f t="shared" si="49"/>
        <v>149125319</v>
      </c>
    </row>
    <row r="515" spans="1:49" x14ac:dyDescent="0.2">
      <c r="A515" s="1" t="str">
        <f>"00595"</f>
        <v>00595</v>
      </c>
      <c r="B515" s="1" t="str">
        <f>"امين"</f>
        <v>امين</v>
      </c>
      <c r="C515" s="1" t="str">
        <f>"ارجمندي"</f>
        <v>ارجمندي</v>
      </c>
      <c r="D515" s="1" t="str">
        <f t="shared" si="54"/>
        <v>قراردادي بهره بردار</v>
      </c>
      <c r="E515" s="1" t="str">
        <f t="shared" ref="E515:E520" si="55">"پروژه بهره برداري نيروگاه بوشهر"</f>
        <v>پروژه بهره برداري نيروگاه بوشهر</v>
      </c>
      <c r="F515" s="1">
        <v>28233422</v>
      </c>
      <c r="G515" s="1">
        <v>0</v>
      </c>
      <c r="H515" s="1">
        <v>0</v>
      </c>
      <c r="I515" s="1">
        <v>27359709</v>
      </c>
      <c r="J515" s="1">
        <v>0</v>
      </c>
      <c r="K515" s="1">
        <v>28592937</v>
      </c>
      <c r="L515" s="1">
        <v>0</v>
      </c>
      <c r="M515" s="1">
        <v>5500000</v>
      </c>
      <c r="N515" s="1">
        <v>0</v>
      </c>
      <c r="O515" s="1">
        <v>1000000</v>
      </c>
      <c r="P515" s="1">
        <v>4509235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1848000</v>
      </c>
      <c r="W515" s="1">
        <v>0</v>
      </c>
      <c r="X515" s="1">
        <v>7343299</v>
      </c>
      <c r="Y515" s="1">
        <v>4000000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3401010</v>
      </c>
      <c r="AF515" s="1">
        <v>0</v>
      </c>
      <c r="AG515" s="1">
        <v>3542970</v>
      </c>
      <c r="AH515" s="1">
        <v>1835427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5153412</v>
      </c>
      <c r="AO515" s="1">
        <v>0</v>
      </c>
      <c r="AP515" s="1">
        <v>0</v>
      </c>
      <c r="AQ515" s="1">
        <v>0</v>
      </c>
      <c r="AR515" s="1">
        <v>122319421</v>
      </c>
      <c r="AS515" s="1">
        <v>38246520</v>
      </c>
      <c r="AT515" s="1">
        <v>84072901</v>
      </c>
      <c r="AU515" s="1">
        <v>24096799</v>
      </c>
      <c r="AV515" s="1">
        <v>3614520</v>
      </c>
      <c r="AW515" s="1">
        <f t="shared" ref="AW515:AW578" si="56">AR515+AU515+AV515</f>
        <v>150030740</v>
      </c>
    </row>
    <row r="516" spans="1:49" x14ac:dyDescent="0.2">
      <c r="A516" s="1" t="str">
        <f>"00600"</f>
        <v>00600</v>
      </c>
      <c r="B516" s="1" t="str">
        <f>"اسماعيل"</f>
        <v>اسماعيل</v>
      </c>
      <c r="C516" s="1" t="str">
        <f>"هويداپور"</f>
        <v>هويداپور</v>
      </c>
      <c r="D516" s="1" t="str">
        <f t="shared" si="54"/>
        <v>قراردادي بهره بردار</v>
      </c>
      <c r="E516" s="1" t="str">
        <f t="shared" si="55"/>
        <v>پروژه بهره برداري نيروگاه بوشهر</v>
      </c>
      <c r="F516" s="1">
        <v>25331226</v>
      </c>
      <c r="G516" s="1">
        <v>0</v>
      </c>
      <c r="H516" s="1">
        <v>0</v>
      </c>
      <c r="I516" s="1">
        <v>18235102</v>
      </c>
      <c r="J516" s="1">
        <v>0</v>
      </c>
      <c r="K516" s="1">
        <v>23119461</v>
      </c>
      <c r="L516" s="1">
        <v>0</v>
      </c>
      <c r="M516" s="1">
        <v>5500000</v>
      </c>
      <c r="N516" s="1">
        <v>0</v>
      </c>
      <c r="O516" s="1">
        <v>1000000</v>
      </c>
      <c r="P516" s="1">
        <v>3773861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1848000</v>
      </c>
      <c r="W516" s="1">
        <v>0</v>
      </c>
      <c r="X516" s="1">
        <v>6349323</v>
      </c>
      <c r="Y516" s="1">
        <v>4000000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3892267</v>
      </c>
      <c r="AF516" s="1">
        <v>0</v>
      </c>
      <c r="AG516" s="1">
        <v>2965177</v>
      </c>
      <c r="AH516" s="1">
        <v>1835427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4411236</v>
      </c>
      <c r="AO516" s="1">
        <v>0</v>
      </c>
      <c r="AP516" s="1">
        <v>0</v>
      </c>
      <c r="AQ516" s="1">
        <v>0</v>
      </c>
      <c r="AR516" s="1">
        <v>102261080</v>
      </c>
      <c r="AS516" s="1">
        <v>56183770</v>
      </c>
      <c r="AT516" s="1">
        <v>46077310</v>
      </c>
      <c r="AU516" s="1">
        <v>20085131</v>
      </c>
      <c r="AV516" s="1">
        <v>3012770</v>
      </c>
      <c r="AW516" s="1">
        <f t="shared" si="56"/>
        <v>125358981</v>
      </c>
    </row>
    <row r="517" spans="1:49" x14ac:dyDescent="0.2">
      <c r="A517" s="1" t="str">
        <f>"00601"</f>
        <v>00601</v>
      </c>
      <c r="B517" s="1" t="str">
        <f>"وحيد"</f>
        <v>وحيد</v>
      </c>
      <c r="C517" s="1" t="str">
        <f>"پاکروان"</f>
        <v>پاکروان</v>
      </c>
      <c r="D517" s="1" t="str">
        <f t="shared" si="54"/>
        <v>قراردادي بهره بردار</v>
      </c>
      <c r="E517" s="1" t="str">
        <f t="shared" si="55"/>
        <v>پروژه بهره برداري نيروگاه بوشهر</v>
      </c>
      <c r="F517" s="1">
        <v>19725858</v>
      </c>
      <c r="G517" s="1">
        <v>0</v>
      </c>
      <c r="H517" s="1">
        <v>0</v>
      </c>
      <c r="I517" s="1">
        <v>723737</v>
      </c>
      <c r="J517" s="1">
        <v>0</v>
      </c>
      <c r="K517" s="1">
        <v>16257111</v>
      </c>
      <c r="L517" s="1">
        <v>0</v>
      </c>
      <c r="M517" s="1">
        <v>4125000</v>
      </c>
      <c r="N517" s="1">
        <v>0</v>
      </c>
      <c r="O517" s="1">
        <v>1000000</v>
      </c>
      <c r="P517" s="1">
        <v>3240407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1848000</v>
      </c>
      <c r="W517" s="1">
        <v>0</v>
      </c>
      <c r="X517" s="1">
        <v>4661994</v>
      </c>
      <c r="Y517" s="1">
        <v>4000000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2546034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4850533</v>
      </c>
      <c r="AO517" s="1">
        <v>0</v>
      </c>
      <c r="AP517" s="1">
        <v>0</v>
      </c>
      <c r="AQ517" s="1">
        <v>0</v>
      </c>
      <c r="AR517" s="1">
        <v>62978674</v>
      </c>
      <c r="AS517" s="1">
        <v>24213932</v>
      </c>
      <c r="AT517" s="1">
        <v>38764742</v>
      </c>
      <c r="AU517" s="1">
        <v>12595735</v>
      </c>
      <c r="AV517" s="1">
        <v>1889360</v>
      </c>
      <c r="AW517" s="1">
        <f t="shared" si="56"/>
        <v>77463769</v>
      </c>
    </row>
    <row r="518" spans="1:49" x14ac:dyDescent="0.2">
      <c r="A518" s="1" t="str">
        <f>"00602"</f>
        <v>00602</v>
      </c>
      <c r="B518" s="1" t="str">
        <f>"زينب"</f>
        <v>زينب</v>
      </c>
      <c r="C518" s="1" t="str">
        <f>"صمديان مطلق"</f>
        <v>صمديان مطلق</v>
      </c>
      <c r="D518" s="1" t="str">
        <f t="shared" si="54"/>
        <v>قراردادي بهره بردار</v>
      </c>
      <c r="E518" s="1" t="str">
        <f t="shared" si="55"/>
        <v>پروژه بهره برداري نيروگاه بوشهر</v>
      </c>
      <c r="F518" s="1">
        <v>19290025</v>
      </c>
      <c r="G518" s="1">
        <v>0</v>
      </c>
      <c r="H518" s="1">
        <v>0</v>
      </c>
      <c r="I518" s="1">
        <v>1231561</v>
      </c>
      <c r="J518" s="1">
        <v>0</v>
      </c>
      <c r="K518" s="1">
        <v>18347863</v>
      </c>
      <c r="L518" s="1">
        <v>2530000</v>
      </c>
      <c r="M518" s="1">
        <v>3465000</v>
      </c>
      <c r="N518" s="1">
        <v>0</v>
      </c>
      <c r="O518" s="1">
        <v>1000000</v>
      </c>
      <c r="P518" s="1">
        <v>3762399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1848000</v>
      </c>
      <c r="W518" s="1">
        <v>0</v>
      </c>
      <c r="X518" s="1">
        <v>5288783</v>
      </c>
      <c r="Y518" s="1">
        <v>4000000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3229700</v>
      </c>
      <c r="AF518" s="1">
        <v>0</v>
      </c>
      <c r="AG518" s="1">
        <v>2956170</v>
      </c>
      <c r="AH518" s="1">
        <v>3670854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5301671</v>
      </c>
      <c r="AO518" s="1">
        <v>0</v>
      </c>
      <c r="AP518" s="1">
        <v>0</v>
      </c>
      <c r="AQ518" s="1">
        <v>0</v>
      </c>
      <c r="AR518" s="1">
        <v>75922026</v>
      </c>
      <c r="AS518" s="1">
        <v>14700741</v>
      </c>
      <c r="AT518" s="1">
        <v>61221285</v>
      </c>
      <c r="AU518" s="1">
        <v>13944234</v>
      </c>
      <c r="AV518" s="1">
        <v>2091635</v>
      </c>
      <c r="AW518" s="1">
        <f t="shared" si="56"/>
        <v>91957895</v>
      </c>
    </row>
    <row r="519" spans="1:49" x14ac:dyDescent="0.2">
      <c r="A519" s="1" t="str">
        <f>"00603"</f>
        <v>00603</v>
      </c>
      <c r="B519" s="1" t="str">
        <f>"اسماعيل"</f>
        <v>اسماعيل</v>
      </c>
      <c r="C519" s="1" t="str">
        <f>"قاسمي خواه"</f>
        <v>قاسمي خواه</v>
      </c>
      <c r="D519" s="1" t="str">
        <f t="shared" si="54"/>
        <v>قراردادي بهره بردار</v>
      </c>
      <c r="E519" s="1" t="str">
        <f t="shared" si="55"/>
        <v>پروژه بهره برداري نيروگاه بوشهر</v>
      </c>
      <c r="F519" s="1">
        <v>24139613</v>
      </c>
      <c r="G519" s="1">
        <v>0</v>
      </c>
      <c r="H519" s="1">
        <v>0</v>
      </c>
      <c r="I519" s="1">
        <v>17443707</v>
      </c>
      <c r="J519" s="1">
        <v>0</v>
      </c>
      <c r="K519" s="1">
        <v>21738443</v>
      </c>
      <c r="L519" s="1">
        <v>0</v>
      </c>
      <c r="M519" s="1">
        <v>5500000</v>
      </c>
      <c r="N519" s="1">
        <v>0</v>
      </c>
      <c r="O519" s="1">
        <v>1000000</v>
      </c>
      <c r="P519" s="1">
        <v>4150366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1848000</v>
      </c>
      <c r="W519" s="1">
        <v>0</v>
      </c>
      <c r="X519" s="1">
        <v>12865767</v>
      </c>
      <c r="Y519" s="1">
        <v>4000000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3261002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6551353</v>
      </c>
      <c r="AO519" s="1">
        <v>0</v>
      </c>
      <c r="AP519" s="1">
        <v>0</v>
      </c>
      <c r="AQ519" s="1">
        <v>0</v>
      </c>
      <c r="AR519" s="1">
        <v>102498251</v>
      </c>
      <c r="AS519" s="1">
        <v>41652901</v>
      </c>
      <c r="AT519" s="1">
        <v>60845350</v>
      </c>
      <c r="AU519" s="1">
        <v>20499650</v>
      </c>
      <c r="AV519" s="1">
        <v>3074948</v>
      </c>
      <c r="AW519" s="1">
        <f t="shared" si="56"/>
        <v>126072849</v>
      </c>
    </row>
    <row r="520" spans="1:49" x14ac:dyDescent="0.2">
      <c r="A520" s="1" t="str">
        <f>"00604"</f>
        <v>00604</v>
      </c>
      <c r="B520" s="1" t="str">
        <f>"مهدي"</f>
        <v>مهدي</v>
      </c>
      <c r="C520" s="1" t="str">
        <f>"اسدي"</f>
        <v>اسدي</v>
      </c>
      <c r="D520" s="1" t="str">
        <f t="shared" si="54"/>
        <v>قراردادي بهره بردار</v>
      </c>
      <c r="E520" s="1" t="str">
        <f t="shared" si="55"/>
        <v>پروژه بهره برداري نيروگاه بوشهر</v>
      </c>
      <c r="F520" s="1">
        <v>26175181</v>
      </c>
      <c r="G520" s="1">
        <v>0</v>
      </c>
      <c r="H520" s="1">
        <v>0</v>
      </c>
      <c r="I520" s="1">
        <v>7810869</v>
      </c>
      <c r="J520" s="1">
        <v>0</v>
      </c>
      <c r="K520" s="1">
        <v>24971638</v>
      </c>
      <c r="L520" s="1">
        <v>0</v>
      </c>
      <c r="M520" s="1">
        <v>5500000</v>
      </c>
      <c r="N520" s="1">
        <v>0</v>
      </c>
      <c r="O520" s="1">
        <v>1000000</v>
      </c>
      <c r="P520" s="1">
        <v>3788851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1848000</v>
      </c>
      <c r="W520" s="1">
        <v>0</v>
      </c>
      <c r="X520" s="1">
        <v>6289271</v>
      </c>
      <c r="Y520" s="1">
        <v>4000000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2976955</v>
      </c>
      <c r="AH520" s="1">
        <v>1835427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4980086</v>
      </c>
      <c r="AO520" s="1">
        <v>0</v>
      </c>
      <c r="AP520" s="1">
        <v>0</v>
      </c>
      <c r="AQ520" s="1">
        <v>0</v>
      </c>
      <c r="AR520" s="1">
        <v>91176278</v>
      </c>
      <c r="AS520" s="1">
        <v>30480868</v>
      </c>
      <c r="AT520" s="1">
        <v>60695410</v>
      </c>
      <c r="AU520" s="1">
        <v>17868170</v>
      </c>
      <c r="AV520" s="1">
        <v>2680226</v>
      </c>
      <c r="AW520" s="1">
        <f t="shared" si="56"/>
        <v>111724674</v>
      </c>
    </row>
    <row r="521" spans="1:49" x14ac:dyDescent="0.2">
      <c r="A521" s="1" t="str">
        <f>"00606"</f>
        <v>00606</v>
      </c>
      <c r="B521" s="1" t="str">
        <f>"محمدابراهيم"</f>
        <v>محمدابراهيم</v>
      </c>
      <c r="C521" s="1" t="str">
        <f>"اسمعيل پور"</f>
        <v>اسمعيل پور</v>
      </c>
      <c r="D521" s="1" t="str">
        <f t="shared" si="54"/>
        <v>قراردادي بهره بردار</v>
      </c>
      <c r="E521" s="1" t="str">
        <f>"پروژه تعميرات نيروگاه بوشهر"</f>
        <v>پروژه تعميرات نيروگاه بوشهر</v>
      </c>
      <c r="F521" s="1">
        <v>15997343</v>
      </c>
      <c r="G521" s="1">
        <v>0</v>
      </c>
      <c r="H521" s="1">
        <v>0</v>
      </c>
      <c r="I521" s="1">
        <v>0</v>
      </c>
      <c r="J521" s="1">
        <v>0</v>
      </c>
      <c r="K521" s="1">
        <v>15056043</v>
      </c>
      <c r="L521" s="1">
        <v>0</v>
      </c>
      <c r="M521" s="1">
        <v>4620000</v>
      </c>
      <c r="N521" s="1">
        <v>0</v>
      </c>
      <c r="O521" s="1">
        <v>1000000</v>
      </c>
      <c r="P521" s="1">
        <v>2975884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1848000</v>
      </c>
      <c r="W521" s="1">
        <v>0</v>
      </c>
      <c r="X521" s="1">
        <v>16959610</v>
      </c>
      <c r="Y521" s="1">
        <v>4000000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2338195</v>
      </c>
      <c r="AH521" s="1">
        <v>1835427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10097221</v>
      </c>
      <c r="AO521" s="1">
        <v>0</v>
      </c>
      <c r="AP521" s="1">
        <v>0</v>
      </c>
      <c r="AQ521" s="1">
        <v>0</v>
      </c>
      <c r="AR521" s="1">
        <v>76727723</v>
      </c>
      <c r="AS521" s="1">
        <v>40864945</v>
      </c>
      <c r="AT521" s="1">
        <v>35862778</v>
      </c>
      <c r="AU521" s="1">
        <v>14978459</v>
      </c>
      <c r="AV521" s="1">
        <v>2246769</v>
      </c>
      <c r="AW521" s="1">
        <f t="shared" si="56"/>
        <v>93952951</v>
      </c>
    </row>
    <row r="522" spans="1:49" x14ac:dyDescent="0.2">
      <c r="A522" s="1" t="str">
        <f>"00607"</f>
        <v>00607</v>
      </c>
      <c r="B522" s="1" t="str">
        <f>"امين"</f>
        <v>امين</v>
      </c>
      <c r="C522" s="1" t="str">
        <f>"افخمي نسب"</f>
        <v>افخمي نسب</v>
      </c>
      <c r="D522" s="1" t="str">
        <f t="shared" si="54"/>
        <v>قراردادي بهره بردار</v>
      </c>
      <c r="E522" s="1" t="str">
        <f t="shared" ref="E522:E541" si="57">"پروژه بهره برداري نيروگاه بوشهر"</f>
        <v>پروژه بهره برداري نيروگاه بوشهر</v>
      </c>
      <c r="F522" s="1">
        <v>16319809</v>
      </c>
      <c r="G522" s="1">
        <v>0</v>
      </c>
      <c r="H522" s="1">
        <v>0</v>
      </c>
      <c r="I522" s="1">
        <v>3383144</v>
      </c>
      <c r="J522" s="1">
        <v>0</v>
      </c>
      <c r="K522" s="1">
        <v>13800273</v>
      </c>
      <c r="L522" s="1">
        <v>0</v>
      </c>
      <c r="M522" s="1">
        <v>4620000</v>
      </c>
      <c r="N522" s="1">
        <v>0</v>
      </c>
      <c r="O522" s="1">
        <v>1000000</v>
      </c>
      <c r="P522" s="1">
        <v>3088747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1848000</v>
      </c>
      <c r="W522" s="1">
        <v>0</v>
      </c>
      <c r="X522" s="1">
        <v>20595319</v>
      </c>
      <c r="Y522" s="1">
        <v>4000000</v>
      </c>
      <c r="Z522" s="1">
        <v>2369005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2426872</v>
      </c>
      <c r="AH522" s="1">
        <v>1835427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12260389</v>
      </c>
      <c r="AO522" s="1">
        <v>0</v>
      </c>
      <c r="AP522" s="1">
        <v>0</v>
      </c>
      <c r="AQ522" s="1">
        <v>0</v>
      </c>
      <c r="AR522" s="1">
        <v>87546985</v>
      </c>
      <c r="AS522" s="1">
        <v>34316751</v>
      </c>
      <c r="AT522" s="1">
        <v>53230234</v>
      </c>
      <c r="AU522" s="1">
        <v>17142312</v>
      </c>
      <c r="AV522" s="1">
        <v>2571347</v>
      </c>
      <c r="AW522" s="1">
        <f t="shared" si="56"/>
        <v>107260644</v>
      </c>
    </row>
    <row r="523" spans="1:49" x14ac:dyDescent="0.2">
      <c r="A523" s="1" t="str">
        <f>"00608"</f>
        <v>00608</v>
      </c>
      <c r="B523" s="1" t="str">
        <f>"مجتبي"</f>
        <v>مجتبي</v>
      </c>
      <c r="C523" s="1" t="str">
        <f>"بازدار"</f>
        <v>بازدار</v>
      </c>
      <c r="D523" s="1" t="str">
        <f t="shared" si="54"/>
        <v>قراردادي بهره بردار</v>
      </c>
      <c r="E523" s="1" t="str">
        <f t="shared" si="57"/>
        <v>پروژه بهره برداري نيروگاه بوشهر</v>
      </c>
      <c r="F523" s="1">
        <v>21791657</v>
      </c>
      <c r="G523" s="1">
        <v>0</v>
      </c>
      <c r="H523" s="1">
        <v>0</v>
      </c>
      <c r="I523" s="1">
        <v>0</v>
      </c>
      <c r="J523" s="1">
        <v>0</v>
      </c>
      <c r="K523" s="1">
        <v>18589257</v>
      </c>
      <c r="L523" s="1">
        <v>0</v>
      </c>
      <c r="M523" s="1">
        <v>5500000</v>
      </c>
      <c r="N523" s="1">
        <v>0</v>
      </c>
      <c r="O523" s="1">
        <v>1000000</v>
      </c>
      <c r="P523" s="1">
        <v>3765044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15058254</v>
      </c>
      <c r="Y523" s="1">
        <v>4000000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4459102</v>
      </c>
      <c r="AF523" s="1">
        <v>0</v>
      </c>
      <c r="AG523" s="1">
        <v>2958249</v>
      </c>
      <c r="AH523" s="1">
        <v>1835427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13907360</v>
      </c>
      <c r="AO523" s="1">
        <v>0</v>
      </c>
      <c r="AP523" s="1">
        <v>0</v>
      </c>
      <c r="AQ523" s="1">
        <v>0</v>
      </c>
      <c r="AR523" s="1">
        <v>92864350</v>
      </c>
      <c r="AS523" s="1">
        <v>33831082</v>
      </c>
      <c r="AT523" s="1">
        <v>59033268</v>
      </c>
      <c r="AU523" s="1">
        <v>18205785</v>
      </c>
      <c r="AV523" s="1">
        <v>2730868</v>
      </c>
      <c r="AW523" s="1">
        <f t="shared" si="56"/>
        <v>113801003</v>
      </c>
    </row>
    <row r="524" spans="1:49" x14ac:dyDescent="0.2">
      <c r="A524" s="1" t="str">
        <f>"00609"</f>
        <v>00609</v>
      </c>
      <c r="B524" s="1" t="str">
        <f>"ناصر"</f>
        <v>ناصر</v>
      </c>
      <c r="C524" s="1" t="str">
        <f>"بحراني"</f>
        <v>بحراني</v>
      </c>
      <c r="D524" s="1" t="str">
        <f t="shared" si="54"/>
        <v>قراردادي بهره بردار</v>
      </c>
      <c r="E524" s="1" t="str">
        <f t="shared" si="57"/>
        <v>پروژه بهره برداري نيروگاه بوشهر</v>
      </c>
      <c r="F524" s="1">
        <v>24698890</v>
      </c>
      <c r="G524" s="1">
        <v>0</v>
      </c>
      <c r="H524" s="1">
        <v>0</v>
      </c>
      <c r="I524" s="1">
        <v>5508301</v>
      </c>
      <c r="J524" s="1">
        <v>0</v>
      </c>
      <c r="K524" s="1">
        <v>20397654</v>
      </c>
      <c r="L524" s="1">
        <v>0</v>
      </c>
      <c r="M524" s="1">
        <v>5500000</v>
      </c>
      <c r="N524" s="1">
        <v>0</v>
      </c>
      <c r="O524" s="1">
        <v>1000000</v>
      </c>
      <c r="P524" s="1">
        <v>4346113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1848000</v>
      </c>
      <c r="W524" s="1">
        <v>0</v>
      </c>
      <c r="X524" s="1">
        <v>18923755</v>
      </c>
      <c r="Y524" s="1">
        <v>4000000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3414803</v>
      </c>
      <c r="AH524" s="1">
        <v>1835427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6279272</v>
      </c>
      <c r="AO524" s="1">
        <v>0</v>
      </c>
      <c r="AP524" s="1">
        <v>0</v>
      </c>
      <c r="AQ524" s="1">
        <v>0</v>
      </c>
      <c r="AR524" s="1">
        <v>97752215</v>
      </c>
      <c r="AS524" s="1">
        <v>21724904</v>
      </c>
      <c r="AT524" s="1">
        <v>76027311</v>
      </c>
      <c r="AU524" s="1">
        <v>19183358</v>
      </c>
      <c r="AV524" s="1">
        <v>2877504</v>
      </c>
      <c r="AW524" s="1">
        <f t="shared" si="56"/>
        <v>119813077</v>
      </c>
    </row>
    <row r="525" spans="1:49" x14ac:dyDescent="0.2">
      <c r="A525" s="1" t="str">
        <f>"00613"</f>
        <v>00613</v>
      </c>
      <c r="B525" s="1" t="str">
        <f>"سعيد"</f>
        <v>سعيد</v>
      </c>
      <c r="C525" s="1" t="str">
        <f>"جوکار"</f>
        <v>جوکار</v>
      </c>
      <c r="D525" s="1" t="str">
        <f t="shared" si="54"/>
        <v>قراردادي بهره بردار</v>
      </c>
      <c r="E525" s="1" t="str">
        <f t="shared" si="57"/>
        <v>پروژه بهره برداري نيروگاه بوشهر</v>
      </c>
      <c r="F525" s="1">
        <v>16894202</v>
      </c>
      <c r="G525" s="1">
        <v>0</v>
      </c>
      <c r="H525" s="1">
        <v>0</v>
      </c>
      <c r="I525" s="1">
        <v>969878</v>
      </c>
      <c r="J525" s="1">
        <v>0</v>
      </c>
      <c r="K525" s="1">
        <v>14899869</v>
      </c>
      <c r="L525" s="1">
        <v>0</v>
      </c>
      <c r="M525" s="1">
        <v>0</v>
      </c>
      <c r="N525" s="1">
        <v>0</v>
      </c>
      <c r="O525" s="1">
        <v>1000000</v>
      </c>
      <c r="P525" s="1">
        <v>3289784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17532625</v>
      </c>
      <c r="Y525" s="1">
        <v>4000000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2584831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13521458</v>
      </c>
      <c r="AO525" s="1">
        <v>0</v>
      </c>
      <c r="AP525" s="1">
        <v>0</v>
      </c>
      <c r="AQ525" s="1">
        <v>0</v>
      </c>
      <c r="AR525" s="1">
        <v>74692647</v>
      </c>
      <c r="AS525" s="1">
        <v>30569177</v>
      </c>
      <c r="AT525" s="1">
        <v>44123470</v>
      </c>
      <c r="AU525" s="1">
        <v>14938529</v>
      </c>
      <c r="AV525" s="1">
        <v>2240779</v>
      </c>
      <c r="AW525" s="1">
        <f t="shared" si="56"/>
        <v>91871955</v>
      </c>
    </row>
    <row r="526" spans="1:49" x14ac:dyDescent="0.2">
      <c r="A526" s="1" t="str">
        <f>"00614"</f>
        <v>00614</v>
      </c>
      <c r="B526" s="1" t="str">
        <f>"مجتبي"</f>
        <v>مجتبي</v>
      </c>
      <c r="C526" s="1" t="str">
        <f>"حسني"</f>
        <v>حسني</v>
      </c>
      <c r="D526" s="1" t="str">
        <f t="shared" si="54"/>
        <v>قراردادي بهره بردار</v>
      </c>
      <c r="E526" s="1" t="str">
        <f t="shared" si="57"/>
        <v>پروژه بهره برداري نيروگاه بوشهر</v>
      </c>
      <c r="F526" s="1">
        <v>16969780</v>
      </c>
      <c r="G526" s="1">
        <v>0</v>
      </c>
      <c r="H526" s="1">
        <v>0</v>
      </c>
      <c r="I526" s="1">
        <v>5390024</v>
      </c>
      <c r="J526" s="1">
        <v>0</v>
      </c>
      <c r="K526" s="1">
        <v>13737396</v>
      </c>
      <c r="L526" s="1">
        <v>0</v>
      </c>
      <c r="M526" s="1">
        <v>3465000</v>
      </c>
      <c r="N526" s="1">
        <v>0</v>
      </c>
      <c r="O526" s="1">
        <v>1000000</v>
      </c>
      <c r="P526" s="1">
        <v>3316236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1848000</v>
      </c>
      <c r="W526" s="1">
        <v>0</v>
      </c>
      <c r="X526" s="1">
        <v>14244167</v>
      </c>
      <c r="Y526" s="1">
        <v>4000000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2605614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7883994</v>
      </c>
      <c r="AO526" s="1">
        <v>0</v>
      </c>
      <c r="AP526" s="1">
        <v>0</v>
      </c>
      <c r="AQ526" s="1">
        <v>0</v>
      </c>
      <c r="AR526" s="1">
        <v>74460211</v>
      </c>
      <c r="AS526" s="1">
        <v>20175383</v>
      </c>
      <c r="AT526" s="1">
        <v>54284828</v>
      </c>
      <c r="AU526" s="1">
        <v>14892042</v>
      </c>
      <c r="AV526" s="1">
        <v>2233806</v>
      </c>
      <c r="AW526" s="1">
        <f t="shared" si="56"/>
        <v>91586059</v>
      </c>
    </row>
    <row r="527" spans="1:49" x14ac:dyDescent="0.2">
      <c r="A527" s="1" t="str">
        <f>"00616"</f>
        <v>00616</v>
      </c>
      <c r="B527" s="1" t="str">
        <f>"حامد"</f>
        <v>حامد</v>
      </c>
      <c r="C527" s="1" t="str">
        <f>"حسين زاده"</f>
        <v>حسين زاده</v>
      </c>
      <c r="D527" s="1" t="str">
        <f t="shared" si="54"/>
        <v>قراردادي بهره بردار</v>
      </c>
      <c r="E527" s="1" t="str">
        <f t="shared" si="57"/>
        <v>پروژه بهره برداري نيروگاه بوشهر</v>
      </c>
      <c r="F527" s="1">
        <v>1489293</v>
      </c>
      <c r="G527" s="1">
        <v>0</v>
      </c>
      <c r="H527" s="1">
        <v>0</v>
      </c>
      <c r="I527" s="1">
        <v>0</v>
      </c>
      <c r="J527" s="1">
        <v>0</v>
      </c>
      <c r="K527" s="1">
        <v>1297940</v>
      </c>
      <c r="L527" s="1">
        <v>0</v>
      </c>
      <c r="M527" s="1">
        <v>354839</v>
      </c>
      <c r="N527" s="1">
        <v>0</v>
      </c>
      <c r="O527" s="1">
        <v>64516</v>
      </c>
      <c r="P527" s="1">
        <v>272089</v>
      </c>
      <c r="Q527" s="1">
        <v>0</v>
      </c>
      <c r="R527" s="1">
        <v>0</v>
      </c>
      <c r="S527" s="1">
        <v>0</v>
      </c>
      <c r="T527" s="1">
        <v>16679836</v>
      </c>
      <c r="U527" s="1">
        <v>0</v>
      </c>
      <c r="V527" s="1">
        <v>0</v>
      </c>
      <c r="W527" s="1">
        <v>0</v>
      </c>
      <c r="X527" s="1">
        <v>1158822</v>
      </c>
      <c r="Y527" s="1">
        <v>258065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213784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465031</v>
      </c>
      <c r="AO527" s="1">
        <v>0</v>
      </c>
      <c r="AP527" s="1">
        <v>0</v>
      </c>
      <c r="AQ527" s="1">
        <v>0</v>
      </c>
      <c r="AR527" s="1">
        <v>22254215</v>
      </c>
      <c r="AS527" s="1">
        <v>22254215</v>
      </c>
      <c r="AT527" s="1">
        <v>0</v>
      </c>
      <c r="AU527" s="1">
        <v>1114876</v>
      </c>
      <c r="AV527" s="1">
        <v>167231</v>
      </c>
      <c r="AW527" s="1">
        <f t="shared" si="56"/>
        <v>23536322</v>
      </c>
    </row>
    <row r="528" spans="1:49" x14ac:dyDescent="0.2">
      <c r="A528" s="1" t="str">
        <f>"00617"</f>
        <v>00617</v>
      </c>
      <c r="B528" s="1" t="str">
        <f>"صادق"</f>
        <v>صادق</v>
      </c>
      <c r="C528" s="1" t="str">
        <f>"دارابي"</f>
        <v>دارابي</v>
      </c>
      <c r="D528" s="1" t="str">
        <f t="shared" si="54"/>
        <v>قراردادي بهره بردار</v>
      </c>
      <c r="E528" s="1" t="str">
        <f t="shared" si="57"/>
        <v>پروژه بهره برداري نيروگاه بوشهر</v>
      </c>
      <c r="F528" s="1">
        <v>17196514</v>
      </c>
      <c r="G528" s="1">
        <v>0</v>
      </c>
      <c r="H528" s="1">
        <v>0</v>
      </c>
      <c r="I528" s="1">
        <v>0</v>
      </c>
      <c r="J528" s="1">
        <v>0</v>
      </c>
      <c r="K528" s="1">
        <v>14182183</v>
      </c>
      <c r="L528" s="1">
        <v>0</v>
      </c>
      <c r="M528" s="1">
        <v>4620000</v>
      </c>
      <c r="N528" s="1">
        <v>0</v>
      </c>
      <c r="O528" s="1">
        <v>1000000</v>
      </c>
      <c r="P528" s="1">
        <v>3395593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1848000</v>
      </c>
      <c r="W528" s="1">
        <v>0</v>
      </c>
      <c r="X528" s="1">
        <v>16534151</v>
      </c>
      <c r="Y528" s="1">
        <v>4000000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2667966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7856787</v>
      </c>
      <c r="AO528" s="1">
        <v>0</v>
      </c>
      <c r="AP528" s="1">
        <v>0</v>
      </c>
      <c r="AQ528" s="1">
        <v>0</v>
      </c>
      <c r="AR528" s="1">
        <v>73301194</v>
      </c>
      <c r="AS528" s="1">
        <v>26960101</v>
      </c>
      <c r="AT528" s="1">
        <v>46341093</v>
      </c>
      <c r="AU528" s="1">
        <v>14660239</v>
      </c>
      <c r="AV528" s="1">
        <v>2199036</v>
      </c>
      <c r="AW528" s="1">
        <f t="shared" si="56"/>
        <v>90160469</v>
      </c>
    </row>
    <row r="529" spans="1:49" x14ac:dyDescent="0.2">
      <c r="A529" s="1" t="str">
        <f>"00618"</f>
        <v>00618</v>
      </c>
      <c r="B529" s="1" t="str">
        <f>"صادق"</f>
        <v>صادق</v>
      </c>
      <c r="C529" s="1" t="str">
        <f>"داودي"</f>
        <v>داودي</v>
      </c>
      <c r="D529" s="1" t="str">
        <f t="shared" si="54"/>
        <v>قراردادي بهره بردار</v>
      </c>
      <c r="E529" s="1" t="str">
        <f t="shared" si="57"/>
        <v>پروژه بهره برداري نيروگاه بوشهر</v>
      </c>
      <c r="F529" s="1">
        <v>21874792</v>
      </c>
      <c r="G529" s="1">
        <v>0</v>
      </c>
      <c r="H529" s="1">
        <v>0</v>
      </c>
      <c r="I529" s="1">
        <v>9399205</v>
      </c>
      <c r="J529" s="1">
        <v>0</v>
      </c>
      <c r="K529" s="1">
        <v>18628157</v>
      </c>
      <c r="L529" s="1">
        <v>0</v>
      </c>
      <c r="M529" s="1">
        <v>5500000</v>
      </c>
      <c r="N529" s="1">
        <v>0</v>
      </c>
      <c r="O529" s="1">
        <v>1000000</v>
      </c>
      <c r="P529" s="1">
        <v>3794142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22514749</v>
      </c>
      <c r="Y529" s="1">
        <v>4000000</v>
      </c>
      <c r="Z529" s="1">
        <v>3175373</v>
      </c>
      <c r="AA529" s="1">
        <v>0</v>
      </c>
      <c r="AB529" s="1">
        <v>0</v>
      </c>
      <c r="AC529" s="1">
        <v>0</v>
      </c>
      <c r="AD529" s="1">
        <v>0</v>
      </c>
      <c r="AE529" s="1">
        <v>4459102</v>
      </c>
      <c r="AF529" s="1">
        <v>0</v>
      </c>
      <c r="AG529" s="1">
        <v>2981111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20890918</v>
      </c>
      <c r="AO529" s="1">
        <v>0</v>
      </c>
      <c r="AP529" s="1">
        <v>0</v>
      </c>
      <c r="AQ529" s="1">
        <v>0</v>
      </c>
      <c r="AR529" s="1">
        <v>118217549</v>
      </c>
      <c r="AS529" s="1">
        <v>39659784</v>
      </c>
      <c r="AT529" s="1">
        <v>78557765</v>
      </c>
      <c r="AU529" s="1">
        <v>23643510</v>
      </c>
      <c r="AV529" s="1">
        <v>3546526</v>
      </c>
      <c r="AW529" s="1">
        <f t="shared" si="56"/>
        <v>145407585</v>
      </c>
    </row>
    <row r="530" spans="1:49" x14ac:dyDescent="0.2">
      <c r="A530" s="1" t="str">
        <f>"00619"</f>
        <v>00619</v>
      </c>
      <c r="B530" s="1" t="str">
        <f>"وحيد"</f>
        <v>وحيد</v>
      </c>
      <c r="C530" s="1" t="str">
        <f>"دردي"</f>
        <v>دردي</v>
      </c>
      <c r="D530" s="1" t="str">
        <f t="shared" si="54"/>
        <v>قراردادي بهره بردار</v>
      </c>
      <c r="E530" s="1" t="str">
        <f t="shared" si="57"/>
        <v>پروژه بهره برداري نيروگاه بوشهر</v>
      </c>
      <c r="F530" s="1">
        <v>16863971</v>
      </c>
      <c r="G530" s="1">
        <v>0</v>
      </c>
      <c r="H530" s="1">
        <v>0</v>
      </c>
      <c r="I530" s="1">
        <v>3809393</v>
      </c>
      <c r="J530" s="1">
        <v>0</v>
      </c>
      <c r="K530" s="1">
        <v>13982062</v>
      </c>
      <c r="L530" s="1">
        <v>0</v>
      </c>
      <c r="M530" s="1">
        <v>3465000</v>
      </c>
      <c r="N530" s="1">
        <v>0</v>
      </c>
      <c r="O530" s="1">
        <v>1000000</v>
      </c>
      <c r="P530" s="1">
        <v>3279204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17215739</v>
      </c>
      <c r="Y530" s="1">
        <v>4000000</v>
      </c>
      <c r="Z530" s="1">
        <v>2380870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2576517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13563178</v>
      </c>
      <c r="AO530" s="1">
        <v>0</v>
      </c>
      <c r="AP530" s="1">
        <v>0</v>
      </c>
      <c r="AQ530" s="1">
        <v>0</v>
      </c>
      <c r="AR530" s="1">
        <v>82135934</v>
      </c>
      <c r="AS530" s="1">
        <v>33507168</v>
      </c>
      <c r="AT530" s="1">
        <v>48628766</v>
      </c>
      <c r="AU530" s="1">
        <v>16427187</v>
      </c>
      <c r="AV530" s="1">
        <v>2464078</v>
      </c>
      <c r="AW530" s="1">
        <f t="shared" si="56"/>
        <v>101027199</v>
      </c>
    </row>
    <row r="531" spans="1:49" x14ac:dyDescent="0.2">
      <c r="A531" s="1" t="str">
        <f>"00620"</f>
        <v>00620</v>
      </c>
      <c r="B531" s="1" t="str">
        <f>"سروش"</f>
        <v>سروش</v>
      </c>
      <c r="C531" s="1" t="str">
        <f>"دهقان"</f>
        <v>دهقان</v>
      </c>
      <c r="D531" s="1" t="str">
        <f t="shared" si="54"/>
        <v>قراردادي بهره بردار</v>
      </c>
      <c r="E531" s="1" t="str">
        <f t="shared" si="57"/>
        <v>پروژه بهره برداري نيروگاه بوشهر</v>
      </c>
      <c r="F531" s="1">
        <v>16765720</v>
      </c>
      <c r="G531" s="1">
        <v>0</v>
      </c>
      <c r="H531" s="1">
        <v>0</v>
      </c>
      <c r="I531" s="1">
        <v>7114182</v>
      </c>
      <c r="J531" s="1">
        <v>0</v>
      </c>
      <c r="K531" s="1">
        <v>14124945</v>
      </c>
      <c r="L531" s="1">
        <v>0</v>
      </c>
      <c r="M531" s="1">
        <v>4620000</v>
      </c>
      <c r="N531" s="1">
        <v>0</v>
      </c>
      <c r="O531" s="1">
        <v>1000000</v>
      </c>
      <c r="P531" s="1">
        <v>3244815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1848000</v>
      </c>
      <c r="W531" s="1">
        <v>0</v>
      </c>
      <c r="X531" s="1">
        <v>17053811</v>
      </c>
      <c r="Y531" s="1">
        <v>4000000</v>
      </c>
      <c r="Z531" s="1">
        <v>2371394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2549498</v>
      </c>
      <c r="AH531" s="1">
        <v>3670854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13473290</v>
      </c>
      <c r="AO531" s="1">
        <v>0</v>
      </c>
      <c r="AP531" s="1">
        <v>0</v>
      </c>
      <c r="AQ531" s="1">
        <v>0</v>
      </c>
      <c r="AR531" s="1">
        <v>91836509</v>
      </c>
      <c r="AS531" s="1">
        <v>34107695</v>
      </c>
      <c r="AT531" s="1">
        <v>57728814</v>
      </c>
      <c r="AU531" s="1">
        <v>17633131</v>
      </c>
      <c r="AV531" s="1">
        <v>2644970</v>
      </c>
      <c r="AW531" s="1">
        <f t="shared" si="56"/>
        <v>112114610</v>
      </c>
    </row>
    <row r="532" spans="1:49" x14ac:dyDescent="0.2">
      <c r="A532" s="1" t="str">
        <f>"00621"</f>
        <v>00621</v>
      </c>
      <c r="B532" s="1" t="str">
        <f>"سيده فاطمه"</f>
        <v>سيده فاطمه</v>
      </c>
      <c r="C532" s="1" t="str">
        <f>"رباني زاده"</f>
        <v>رباني زاده</v>
      </c>
      <c r="D532" s="1" t="str">
        <f t="shared" si="54"/>
        <v>قراردادي بهره بردار</v>
      </c>
      <c r="E532" s="1" t="str">
        <f t="shared" si="57"/>
        <v>پروژه بهره برداري نيروگاه بوشهر</v>
      </c>
      <c r="F532" s="1">
        <v>15972151</v>
      </c>
      <c r="G532" s="1">
        <v>0</v>
      </c>
      <c r="H532" s="1">
        <v>0</v>
      </c>
      <c r="I532" s="1">
        <v>0</v>
      </c>
      <c r="J532" s="1">
        <v>0</v>
      </c>
      <c r="K532" s="1">
        <v>11034052</v>
      </c>
      <c r="L532" s="1">
        <v>2530000</v>
      </c>
      <c r="M532" s="1">
        <v>3465000</v>
      </c>
      <c r="N532" s="1">
        <v>0</v>
      </c>
      <c r="O532" s="1">
        <v>1000000</v>
      </c>
      <c r="P532" s="1">
        <v>2967067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1848000</v>
      </c>
      <c r="W532" s="1">
        <v>0</v>
      </c>
      <c r="X532" s="1">
        <v>3741077</v>
      </c>
      <c r="Y532" s="1">
        <v>4000000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2331266</v>
      </c>
      <c r="AH532" s="1">
        <v>1835427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5106238</v>
      </c>
      <c r="AO532" s="1">
        <v>0</v>
      </c>
      <c r="AP532" s="1">
        <v>0</v>
      </c>
      <c r="AQ532" s="1">
        <v>0</v>
      </c>
      <c r="AR532" s="1">
        <v>55830278</v>
      </c>
      <c r="AS532" s="1">
        <v>7894540</v>
      </c>
      <c r="AT532" s="1">
        <v>47935738</v>
      </c>
      <c r="AU532" s="1">
        <v>10292970</v>
      </c>
      <c r="AV532" s="1">
        <v>1543946</v>
      </c>
      <c r="AW532" s="1">
        <f t="shared" si="56"/>
        <v>67667194</v>
      </c>
    </row>
    <row r="533" spans="1:49" x14ac:dyDescent="0.2">
      <c r="A533" s="1" t="str">
        <f>"00622"</f>
        <v>00622</v>
      </c>
      <c r="B533" s="1" t="str">
        <f>"حسين"</f>
        <v>حسين</v>
      </c>
      <c r="C533" s="1" t="str">
        <f>"رشيدي بد"</f>
        <v>رشيدي بد</v>
      </c>
      <c r="D533" s="1" t="str">
        <f t="shared" si="54"/>
        <v>قراردادي بهره بردار</v>
      </c>
      <c r="E533" s="1" t="str">
        <f t="shared" si="57"/>
        <v>پروژه بهره برداري نيروگاه بوشهر</v>
      </c>
      <c r="F533" s="1">
        <v>16392868</v>
      </c>
      <c r="G533" s="1">
        <v>0</v>
      </c>
      <c r="H533" s="1">
        <v>0</v>
      </c>
      <c r="I533" s="1">
        <v>3754094</v>
      </c>
      <c r="J533" s="1">
        <v>0</v>
      </c>
      <c r="K533" s="1">
        <v>13272576</v>
      </c>
      <c r="L533" s="1">
        <v>0</v>
      </c>
      <c r="M533" s="1">
        <v>3465000</v>
      </c>
      <c r="N533" s="1">
        <v>0</v>
      </c>
      <c r="O533" s="1">
        <v>1000000</v>
      </c>
      <c r="P533" s="1">
        <v>3114318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1848000</v>
      </c>
      <c r="W533" s="1">
        <v>0</v>
      </c>
      <c r="X533" s="1">
        <v>20077991</v>
      </c>
      <c r="Y533" s="1">
        <v>4000000</v>
      </c>
      <c r="Z533" s="1">
        <v>2379610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2446963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11196376</v>
      </c>
      <c r="AO533" s="1">
        <v>0</v>
      </c>
      <c r="AP533" s="1">
        <v>0</v>
      </c>
      <c r="AQ533" s="1">
        <v>0</v>
      </c>
      <c r="AR533" s="1">
        <v>82947796</v>
      </c>
      <c r="AS533" s="1">
        <v>31651699</v>
      </c>
      <c r="AT533" s="1">
        <v>51296097</v>
      </c>
      <c r="AU533" s="1">
        <v>16589559</v>
      </c>
      <c r="AV533" s="1">
        <v>2488434</v>
      </c>
      <c r="AW533" s="1">
        <f t="shared" si="56"/>
        <v>102025789</v>
      </c>
    </row>
    <row r="534" spans="1:49" x14ac:dyDescent="0.2">
      <c r="A534" s="1" t="str">
        <f>"00623"</f>
        <v>00623</v>
      </c>
      <c r="B534" s="1" t="str">
        <f>"فضل اله"</f>
        <v>فضل اله</v>
      </c>
      <c r="C534" s="1" t="str">
        <f>"رضواني نيا"</f>
        <v>رضواني نيا</v>
      </c>
      <c r="D534" s="1" t="str">
        <f t="shared" si="54"/>
        <v>قراردادي بهره بردار</v>
      </c>
      <c r="E534" s="1" t="str">
        <f t="shared" si="57"/>
        <v>پروژه بهره برداري نيروگاه بوشهر</v>
      </c>
      <c r="F534" s="1">
        <v>17909467</v>
      </c>
      <c r="G534" s="1">
        <v>0</v>
      </c>
      <c r="H534" s="1">
        <v>0</v>
      </c>
      <c r="I534" s="1">
        <v>8040220</v>
      </c>
      <c r="J534" s="1">
        <v>0</v>
      </c>
      <c r="K534" s="1">
        <v>15215644</v>
      </c>
      <c r="L534" s="1">
        <v>0</v>
      </c>
      <c r="M534" s="1">
        <v>0</v>
      </c>
      <c r="N534" s="1">
        <v>0</v>
      </c>
      <c r="O534" s="1">
        <v>1000000</v>
      </c>
      <c r="P534" s="1">
        <v>3367378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1848000</v>
      </c>
      <c r="W534" s="1">
        <v>0</v>
      </c>
      <c r="X534" s="1">
        <v>18168031</v>
      </c>
      <c r="Y534" s="1">
        <v>4000000</v>
      </c>
      <c r="Z534" s="1">
        <v>2599761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2645797</v>
      </c>
      <c r="AH534" s="1">
        <v>1835427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13907058</v>
      </c>
      <c r="AO534" s="1">
        <v>0</v>
      </c>
      <c r="AP534" s="1">
        <v>0</v>
      </c>
      <c r="AQ534" s="1">
        <v>0</v>
      </c>
      <c r="AR534" s="1">
        <v>90536783</v>
      </c>
      <c r="AS534" s="1">
        <v>16046248</v>
      </c>
      <c r="AT534" s="1">
        <v>74490535</v>
      </c>
      <c r="AU534" s="1">
        <v>17740271</v>
      </c>
      <c r="AV534" s="1">
        <v>2661041</v>
      </c>
      <c r="AW534" s="1">
        <f t="shared" si="56"/>
        <v>110938095</v>
      </c>
    </row>
    <row r="535" spans="1:49" x14ac:dyDescent="0.2">
      <c r="A535" s="1" t="str">
        <f>"00624"</f>
        <v>00624</v>
      </c>
      <c r="B535" s="1" t="str">
        <f>"مينا"</f>
        <v>مينا</v>
      </c>
      <c r="C535" s="1" t="str">
        <f>"زائري"</f>
        <v>زائري</v>
      </c>
      <c r="D535" s="1" t="str">
        <f t="shared" si="54"/>
        <v>قراردادي بهره بردار</v>
      </c>
      <c r="E535" s="1" t="str">
        <f t="shared" si="57"/>
        <v>پروژه بهره برداري نيروگاه بوشهر</v>
      </c>
      <c r="F535" s="1">
        <v>23376275</v>
      </c>
      <c r="G535" s="1">
        <v>0</v>
      </c>
      <c r="H535" s="1">
        <v>0</v>
      </c>
      <c r="I535" s="1">
        <v>0</v>
      </c>
      <c r="J535" s="1">
        <v>0</v>
      </c>
      <c r="K535" s="1">
        <v>17838126</v>
      </c>
      <c r="L535" s="1">
        <v>0</v>
      </c>
      <c r="M535" s="1">
        <v>4125000</v>
      </c>
      <c r="N535" s="1">
        <v>0</v>
      </c>
      <c r="O535" s="1">
        <v>1000000</v>
      </c>
      <c r="P535" s="1">
        <v>3883197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1848000</v>
      </c>
      <c r="W535" s="1">
        <v>0</v>
      </c>
      <c r="X535" s="1">
        <v>11194134</v>
      </c>
      <c r="Y535" s="1">
        <v>4000000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3051084</v>
      </c>
      <c r="AH535" s="1">
        <v>3670854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5798949</v>
      </c>
      <c r="AO535" s="1">
        <v>0</v>
      </c>
      <c r="AP535" s="1">
        <v>0</v>
      </c>
      <c r="AQ535" s="1">
        <v>0</v>
      </c>
      <c r="AR535" s="1">
        <v>79785619</v>
      </c>
      <c r="AS535" s="1">
        <v>35458567</v>
      </c>
      <c r="AT535" s="1">
        <v>44327052</v>
      </c>
      <c r="AU535" s="1">
        <v>15222953</v>
      </c>
      <c r="AV535" s="1">
        <v>2283443</v>
      </c>
      <c r="AW535" s="1">
        <f t="shared" si="56"/>
        <v>97292015</v>
      </c>
    </row>
    <row r="536" spans="1:49" x14ac:dyDescent="0.2">
      <c r="A536" s="1" t="str">
        <f>"00625"</f>
        <v>00625</v>
      </c>
      <c r="B536" s="1" t="str">
        <f>"رضا"</f>
        <v>رضا</v>
      </c>
      <c r="C536" s="1" t="str">
        <f>"زنده بودي"</f>
        <v>زنده بودي</v>
      </c>
      <c r="D536" s="1" t="str">
        <f t="shared" si="54"/>
        <v>قراردادي بهره بردار</v>
      </c>
      <c r="E536" s="1" t="str">
        <f t="shared" si="57"/>
        <v>پروژه بهره برداري نيروگاه بوشهر</v>
      </c>
      <c r="F536" s="1">
        <v>24051439</v>
      </c>
      <c r="G536" s="1">
        <v>0</v>
      </c>
      <c r="H536" s="1">
        <v>0</v>
      </c>
      <c r="I536" s="1">
        <v>1080301</v>
      </c>
      <c r="J536" s="1">
        <v>0</v>
      </c>
      <c r="K536" s="1">
        <v>20781926</v>
      </c>
      <c r="L536" s="1">
        <v>0</v>
      </c>
      <c r="M536" s="1">
        <v>5500000</v>
      </c>
      <c r="N536" s="1">
        <v>0</v>
      </c>
      <c r="O536" s="1">
        <v>1000000</v>
      </c>
      <c r="P536" s="1">
        <v>4119505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1848000</v>
      </c>
      <c r="W536" s="1">
        <v>0</v>
      </c>
      <c r="X536" s="1">
        <v>15186689</v>
      </c>
      <c r="Y536" s="1">
        <v>4000000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3401010</v>
      </c>
      <c r="AF536" s="1">
        <v>0</v>
      </c>
      <c r="AG536" s="1">
        <v>3236753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5769725</v>
      </c>
      <c r="AO536" s="1">
        <v>0</v>
      </c>
      <c r="AP536" s="1">
        <v>0</v>
      </c>
      <c r="AQ536" s="1">
        <v>0</v>
      </c>
      <c r="AR536" s="1">
        <v>89975348</v>
      </c>
      <c r="AS536" s="1">
        <v>30258790</v>
      </c>
      <c r="AT536" s="1">
        <v>59716558</v>
      </c>
      <c r="AU536" s="1">
        <v>17995070</v>
      </c>
      <c r="AV536" s="1">
        <v>2699260</v>
      </c>
      <c r="AW536" s="1">
        <f t="shared" si="56"/>
        <v>110669678</v>
      </c>
    </row>
    <row r="537" spans="1:49" x14ac:dyDescent="0.2">
      <c r="A537" s="1" t="str">
        <f>"00626"</f>
        <v>00626</v>
      </c>
      <c r="B537" s="1" t="str">
        <f>"عباد الله"</f>
        <v>عباد الله</v>
      </c>
      <c r="C537" s="1" t="str">
        <f>"سلطاني"</f>
        <v>سلطاني</v>
      </c>
      <c r="D537" s="1" t="str">
        <f t="shared" si="54"/>
        <v>قراردادي بهره بردار</v>
      </c>
      <c r="E537" s="1" t="str">
        <f t="shared" si="57"/>
        <v>پروژه بهره برداري نيروگاه بوشهر</v>
      </c>
      <c r="F537" s="1">
        <v>17010089</v>
      </c>
      <c r="G537" s="1">
        <v>0</v>
      </c>
      <c r="H537" s="1">
        <v>0</v>
      </c>
      <c r="I537" s="1">
        <v>861892</v>
      </c>
      <c r="J537" s="1">
        <v>0</v>
      </c>
      <c r="K537" s="1">
        <v>13978071</v>
      </c>
      <c r="L537" s="1">
        <v>0</v>
      </c>
      <c r="M537" s="1">
        <v>0</v>
      </c>
      <c r="N537" s="1">
        <v>0</v>
      </c>
      <c r="O537" s="1">
        <v>1000000</v>
      </c>
      <c r="P537" s="1">
        <v>3330344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1848000</v>
      </c>
      <c r="W537" s="1">
        <v>0</v>
      </c>
      <c r="X537" s="1">
        <v>16330391</v>
      </c>
      <c r="Y537" s="1">
        <v>4000000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2616700</v>
      </c>
      <c r="AH537" s="1">
        <v>1835427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7805595</v>
      </c>
      <c r="AO537" s="1">
        <v>0</v>
      </c>
      <c r="AP537" s="1">
        <v>0</v>
      </c>
      <c r="AQ537" s="1">
        <v>0</v>
      </c>
      <c r="AR537" s="1">
        <v>70616509</v>
      </c>
      <c r="AS537" s="1">
        <v>32874281</v>
      </c>
      <c r="AT537" s="1">
        <v>37742228</v>
      </c>
      <c r="AU537" s="1">
        <v>13756216</v>
      </c>
      <c r="AV537" s="1">
        <v>2063432</v>
      </c>
      <c r="AW537" s="1">
        <f t="shared" si="56"/>
        <v>86436157</v>
      </c>
    </row>
    <row r="538" spans="1:49" x14ac:dyDescent="0.2">
      <c r="A538" s="1" t="str">
        <f>"00627"</f>
        <v>00627</v>
      </c>
      <c r="B538" s="1" t="str">
        <f>"مريم"</f>
        <v>مريم</v>
      </c>
      <c r="C538" s="1" t="str">
        <f>"صفاريان"</f>
        <v>صفاريان</v>
      </c>
      <c r="D538" s="1" t="str">
        <f t="shared" si="54"/>
        <v>قراردادي بهره بردار</v>
      </c>
      <c r="E538" s="1" t="str">
        <f t="shared" si="57"/>
        <v>پروژه بهره برداري نيروگاه بوشهر</v>
      </c>
      <c r="F538" s="1">
        <v>27737126</v>
      </c>
      <c r="G538" s="1">
        <v>0</v>
      </c>
      <c r="H538" s="1">
        <v>0</v>
      </c>
      <c r="I538" s="1">
        <v>0</v>
      </c>
      <c r="J538" s="1">
        <v>0</v>
      </c>
      <c r="K538" s="1">
        <v>20419191</v>
      </c>
      <c r="L538" s="1">
        <v>0</v>
      </c>
      <c r="M538" s="1">
        <v>4125000</v>
      </c>
      <c r="N538" s="1">
        <v>0</v>
      </c>
      <c r="O538" s="1">
        <v>1000000</v>
      </c>
      <c r="P538" s="1">
        <v>4335532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1848000</v>
      </c>
      <c r="W538" s="1">
        <v>0</v>
      </c>
      <c r="X538" s="1">
        <v>10728672</v>
      </c>
      <c r="Y538" s="1">
        <v>4000000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3406490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5408361</v>
      </c>
      <c r="AO538" s="1">
        <v>0</v>
      </c>
      <c r="AP538" s="1">
        <v>0</v>
      </c>
      <c r="AQ538" s="1">
        <v>0</v>
      </c>
      <c r="AR538" s="1">
        <v>83008372</v>
      </c>
      <c r="AS538" s="1">
        <v>26835970</v>
      </c>
      <c r="AT538" s="1">
        <v>56172402</v>
      </c>
      <c r="AU538" s="1">
        <v>16601674</v>
      </c>
      <c r="AV538" s="1">
        <v>2490251</v>
      </c>
      <c r="AW538" s="1">
        <f t="shared" si="56"/>
        <v>102100297</v>
      </c>
    </row>
    <row r="539" spans="1:49" x14ac:dyDescent="0.2">
      <c r="A539" s="1" t="str">
        <f>"00628"</f>
        <v>00628</v>
      </c>
      <c r="B539" s="1" t="str">
        <f>"رضا"</f>
        <v>رضا</v>
      </c>
      <c r="C539" s="1" t="str">
        <f>"صفري"</f>
        <v>صفري</v>
      </c>
      <c r="D539" s="1" t="str">
        <f t="shared" si="54"/>
        <v>قراردادي بهره بردار</v>
      </c>
      <c r="E539" s="1" t="str">
        <f t="shared" si="57"/>
        <v>پروژه بهره برداري نيروگاه بوشهر</v>
      </c>
      <c r="F539" s="1">
        <v>19216966</v>
      </c>
      <c r="G539" s="1">
        <v>0</v>
      </c>
      <c r="H539" s="1">
        <v>0</v>
      </c>
      <c r="I539" s="1">
        <v>0</v>
      </c>
      <c r="J539" s="1">
        <v>0</v>
      </c>
      <c r="K539" s="1">
        <v>14632648</v>
      </c>
      <c r="L539" s="1">
        <v>0</v>
      </c>
      <c r="M539" s="1">
        <v>4620000</v>
      </c>
      <c r="N539" s="1">
        <v>0</v>
      </c>
      <c r="O539" s="1">
        <v>1000000</v>
      </c>
      <c r="P539" s="1">
        <v>3825002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1848000</v>
      </c>
      <c r="W539" s="1">
        <v>0</v>
      </c>
      <c r="X539" s="1">
        <v>10650699</v>
      </c>
      <c r="Y539" s="1">
        <v>4000000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3005359</v>
      </c>
      <c r="AH539" s="1">
        <v>3670854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5627412</v>
      </c>
      <c r="AO539" s="1">
        <v>0</v>
      </c>
      <c r="AP539" s="1">
        <v>0</v>
      </c>
      <c r="AQ539" s="1">
        <v>0</v>
      </c>
      <c r="AR539" s="1">
        <v>72096940</v>
      </c>
      <c r="AS539" s="1">
        <v>26022953</v>
      </c>
      <c r="AT539" s="1">
        <v>46073987</v>
      </c>
      <c r="AU539" s="1">
        <v>13685217</v>
      </c>
      <c r="AV539" s="1">
        <v>2052783</v>
      </c>
      <c r="AW539" s="1">
        <f t="shared" si="56"/>
        <v>87834940</v>
      </c>
    </row>
    <row r="540" spans="1:49" x14ac:dyDescent="0.2">
      <c r="A540" s="1" t="str">
        <f>"00629"</f>
        <v>00629</v>
      </c>
      <c r="B540" s="1" t="str">
        <f>"علي اکبر"</f>
        <v>علي اکبر</v>
      </c>
      <c r="C540" s="1" t="str">
        <f>"غلامي چنگلوايي"</f>
        <v>غلامي چنگلوايي</v>
      </c>
      <c r="D540" s="1" t="str">
        <f t="shared" si="54"/>
        <v>قراردادي بهره بردار</v>
      </c>
      <c r="E540" s="1" t="str">
        <f t="shared" si="57"/>
        <v>پروژه بهره برداري نيروگاه بوشهر</v>
      </c>
      <c r="F540" s="1">
        <v>21915101</v>
      </c>
      <c r="G540" s="1">
        <v>0</v>
      </c>
      <c r="H540" s="1">
        <v>0</v>
      </c>
      <c r="I540" s="1">
        <v>481381</v>
      </c>
      <c r="J540" s="1">
        <v>0</v>
      </c>
      <c r="K540" s="1">
        <v>16678328</v>
      </c>
      <c r="L540" s="1">
        <v>0</v>
      </c>
      <c r="M540" s="1">
        <v>4125000</v>
      </c>
      <c r="N540" s="1">
        <v>0</v>
      </c>
      <c r="O540" s="1">
        <v>1000000</v>
      </c>
      <c r="P540" s="1">
        <v>3808250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1848000</v>
      </c>
      <c r="W540" s="1">
        <v>0</v>
      </c>
      <c r="X540" s="1">
        <v>16537825</v>
      </c>
      <c r="Y540" s="1">
        <v>4000000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2992196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6286830</v>
      </c>
      <c r="AO540" s="1">
        <v>0</v>
      </c>
      <c r="AP540" s="1">
        <v>0</v>
      </c>
      <c r="AQ540" s="1">
        <v>0</v>
      </c>
      <c r="AR540" s="1">
        <v>79672911</v>
      </c>
      <c r="AS540" s="1">
        <v>28381893</v>
      </c>
      <c r="AT540" s="1">
        <v>51291018</v>
      </c>
      <c r="AU540" s="1">
        <v>15934582</v>
      </c>
      <c r="AV540" s="1">
        <v>2390187</v>
      </c>
      <c r="AW540" s="1">
        <f t="shared" si="56"/>
        <v>97997680</v>
      </c>
    </row>
    <row r="541" spans="1:49" x14ac:dyDescent="0.2">
      <c r="A541" s="1" t="str">
        <f>"00630"</f>
        <v>00630</v>
      </c>
      <c r="B541" s="1" t="str">
        <f>"عباس"</f>
        <v>عباس</v>
      </c>
      <c r="C541" s="1" t="str">
        <f>"قادري"</f>
        <v>قادري</v>
      </c>
      <c r="D541" s="1" t="str">
        <f t="shared" si="54"/>
        <v>قراردادي بهره بردار</v>
      </c>
      <c r="E541" s="1" t="str">
        <f t="shared" si="57"/>
        <v>پروژه بهره برداري نيروگاه بوشهر</v>
      </c>
      <c r="F541" s="1">
        <v>27865609</v>
      </c>
      <c r="G541" s="1">
        <v>0</v>
      </c>
      <c r="H541" s="1">
        <v>0</v>
      </c>
      <c r="I541" s="1">
        <v>8209726</v>
      </c>
      <c r="J541" s="1">
        <v>0</v>
      </c>
      <c r="K541" s="1">
        <v>21975732</v>
      </c>
      <c r="L541" s="1">
        <v>0</v>
      </c>
      <c r="M541" s="1">
        <v>5500000</v>
      </c>
      <c r="N541" s="1">
        <v>0</v>
      </c>
      <c r="O541" s="1">
        <v>1000000</v>
      </c>
      <c r="P541" s="1">
        <v>4380500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1848000</v>
      </c>
      <c r="W541" s="1">
        <v>0</v>
      </c>
      <c r="X541" s="1">
        <v>18930691</v>
      </c>
      <c r="Y541" s="1">
        <v>4000000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3441823</v>
      </c>
      <c r="AH541" s="1">
        <v>1835427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6508173</v>
      </c>
      <c r="AO541" s="1">
        <v>0</v>
      </c>
      <c r="AP541" s="1">
        <v>0</v>
      </c>
      <c r="AQ541" s="1">
        <v>0</v>
      </c>
      <c r="AR541" s="1">
        <v>105495681</v>
      </c>
      <c r="AS541" s="1">
        <v>45836227</v>
      </c>
      <c r="AT541" s="1">
        <v>59659454</v>
      </c>
      <c r="AU541" s="1">
        <v>20732051</v>
      </c>
      <c r="AV541" s="1">
        <v>3109808</v>
      </c>
      <c r="AW541" s="1">
        <f t="shared" si="56"/>
        <v>129337540</v>
      </c>
    </row>
    <row r="542" spans="1:49" x14ac:dyDescent="0.2">
      <c r="A542" s="1" t="str">
        <f>"00631"</f>
        <v>00631</v>
      </c>
      <c r="B542" s="1" t="str">
        <f>"احمد"</f>
        <v>احمد</v>
      </c>
      <c r="C542" s="1" t="str">
        <f>"كشت ريز"</f>
        <v>كشت ريز</v>
      </c>
      <c r="D542" s="1" t="str">
        <f t="shared" si="54"/>
        <v>قراردادي بهره بردار</v>
      </c>
      <c r="E542" s="1" t="str">
        <f>"پروژه تعميرات نيروگاه بوشهر"</f>
        <v>پروژه تعميرات نيروگاه بوشهر</v>
      </c>
      <c r="F542" s="1">
        <v>20060920</v>
      </c>
      <c r="G542" s="1">
        <v>0</v>
      </c>
      <c r="H542" s="1">
        <v>0</v>
      </c>
      <c r="I542" s="1">
        <v>0</v>
      </c>
      <c r="J542" s="1">
        <v>0</v>
      </c>
      <c r="K542" s="1">
        <v>20504228</v>
      </c>
      <c r="L542" s="1">
        <v>0</v>
      </c>
      <c r="M542" s="1">
        <v>4620000</v>
      </c>
      <c r="N542" s="1">
        <v>0</v>
      </c>
      <c r="O542" s="1">
        <v>1000000</v>
      </c>
      <c r="P542" s="1">
        <v>4120387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1848000</v>
      </c>
      <c r="W542" s="1">
        <v>0</v>
      </c>
      <c r="X542" s="1">
        <v>14178869</v>
      </c>
      <c r="Y542" s="1">
        <v>4000000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3237447</v>
      </c>
      <c r="AH542" s="1">
        <v>3670854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8792493</v>
      </c>
      <c r="AO542" s="1">
        <v>0</v>
      </c>
      <c r="AP542" s="1">
        <v>0</v>
      </c>
      <c r="AQ542" s="1">
        <v>0</v>
      </c>
      <c r="AR542" s="1">
        <v>86033198</v>
      </c>
      <c r="AS542" s="1">
        <v>26730801</v>
      </c>
      <c r="AT542" s="1">
        <v>59302397</v>
      </c>
      <c r="AU542" s="1">
        <v>16472469</v>
      </c>
      <c r="AV542" s="1">
        <v>2470870</v>
      </c>
      <c r="AW542" s="1">
        <f t="shared" si="56"/>
        <v>104976537</v>
      </c>
    </row>
    <row r="543" spans="1:49" x14ac:dyDescent="0.2">
      <c r="A543" s="1" t="str">
        <f>"00632"</f>
        <v>00632</v>
      </c>
      <c r="B543" s="1" t="str">
        <f>"احمدرضا"</f>
        <v>احمدرضا</v>
      </c>
      <c r="C543" s="1" t="str">
        <f>"گل بهار حقيقي"</f>
        <v>گل بهار حقيقي</v>
      </c>
      <c r="D543" s="1" t="str">
        <f t="shared" si="54"/>
        <v>قراردادي بهره بردار</v>
      </c>
      <c r="E543" s="1" t="str">
        <f>"پروژه تعميرات نيروگاه بوشهر"</f>
        <v>پروژه تعميرات نيروگاه بوشهر</v>
      </c>
      <c r="F543" s="1">
        <v>27837897</v>
      </c>
      <c r="G543" s="1">
        <v>0</v>
      </c>
      <c r="H543" s="1">
        <v>0</v>
      </c>
      <c r="I543" s="1">
        <v>0</v>
      </c>
      <c r="J543" s="1">
        <v>0</v>
      </c>
      <c r="K543" s="1">
        <v>25972007</v>
      </c>
      <c r="L543" s="1">
        <v>0</v>
      </c>
      <c r="M543" s="1">
        <v>5500000</v>
      </c>
      <c r="N543" s="1">
        <v>0</v>
      </c>
      <c r="O543" s="1">
        <v>1000000</v>
      </c>
      <c r="P543" s="1">
        <v>4370802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1848000</v>
      </c>
      <c r="W543" s="1">
        <v>0</v>
      </c>
      <c r="X543" s="1">
        <v>18659082</v>
      </c>
      <c r="Y543" s="1">
        <v>4000000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3434202</v>
      </c>
      <c r="AH543" s="1">
        <v>1835427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7492803</v>
      </c>
      <c r="AO543" s="1">
        <v>0</v>
      </c>
      <c r="AP543" s="1">
        <v>0</v>
      </c>
      <c r="AQ543" s="1">
        <v>0</v>
      </c>
      <c r="AR543" s="1">
        <v>101950220</v>
      </c>
      <c r="AS543" s="1">
        <v>39211975</v>
      </c>
      <c r="AT543" s="1">
        <v>62738245</v>
      </c>
      <c r="AU543" s="1">
        <v>20022959</v>
      </c>
      <c r="AV543" s="1">
        <v>3003444</v>
      </c>
      <c r="AW543" s="1">
        <f t="shared" si="56"/>
        <v>124976623</v>
      </c>
    </row>
    <row r="544" spans="1:49" x14ac:dyDescent="0.2">
      <c r="A544" s="1" t="str">
        <f>"00634"</f>
        <v>00634</v>
      </c>
      <c r="B544" s="1" t="str">
        <f>"امير"</f>
        <v>امير</v>
      </c>
      <c r="C544" s="1" t="str">
        <f>"ماهوتي"</f>
        <v>ماهوتي</v>
      </c>
      <c r="D544" s="1" t="str">
        <f t="shared" si="54"/>
        <v>قراردادي بهره بردار</v>
      </c>
      <c r="E544" s="1" t="str">
        <f>"پروژه بهره برداري نيروگاه بوشهر"</f>
        <v>پروژه بهره برداري نيروگاه بوشهر</v>
      </c>
      <c r="F544" s="1">
        <v>16589371</v>
      </c>
      <c r="G544" s="1">
        <v>0</v>
      </c>
      <c r="H544" s="1">
        <v>0</v>
      </c>
      <c r="I544" s="1">
        <v>7067320</v>
      </c>
      <c r="J544" s="1">
        <v>0</v>
      </c>
      <c r="K544" s="1">
        <v>13167860</v>
      </c>
      <c r="L544" s="1">
        <v>0</v>
      </c>
      <c r="M544" s="1">
        <v>4620000</v>
      </c>
      <c r="N544" s="1">
        <v>0</v>
      </c>
      <c r="O544" s="1">
        <v>1000000</v>
      </c>
      <c r="P544" s="1">
        <v>3183093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1848000</v>
      </c>
      <c r="W544" s="1">
        <v>0</v>
      </c>
      <c r="X544" s="1">
        <v>15030233</v>
      </c>
      <c r="Y544" s="1">
        <v>4000000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2501003</v>
      </c>
      <c r="AH544" s="1">
        <v>1835427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8442567</v>
      </c>
      <c r="AO544" s="1">
        <v>0</v>
      </c>
      <c r="AP544" s="1">
        <v>0</v>
      </c>
      <c r="AQ544" s="1">
        <v>0</v>
      </c>
      <c r="AR544" s="1">
        <v>79284874</v>
      </c>
      <c r="AS544" s="1">
        <v>33979133</v>
      </c>
      <c r="AT544" s="1">
        <v>45305741</v>
      </c>
      <c r="AU544" s="1">
        <v>15489889</v>
      </c>
      <c r="AV544" s="1">
        <v>2323483</v>
      </c>
      <c r="AW544" s="1">
        <f t="shared" si="56"/>
        <v>97098246</v>
      </c>
    </row>
    <row r="545" spans="1:49" x14ac:dyDescent="0.2">
      <c r="A545" s="1" t="str">
        <f>"00635"</f>
        <v>00635</v>
      </c>
      <c r="B545" s="1" t="str">
        <f>"احسان"</f>
        <v>احسان</v>
      </c>
      <c r="C545" s="1" t="str">
        <f>"محبي"</f>
        <v>محبي</v>
      </c>
      <c r="D545" s="1" t="str">
        <f t="shared" si="54"/>
        <v>قراردادي بهره بردار</v>
      </c>
      <c r="E545" s="1" t="str">
        <f>"پروژه بهره برداري نيروگاه بوشهر"</f>
        <v>پروژه بهره برداري نيروگاه بوشهر</v>
      </c>
      <c r="F545" s="1">
        <v>21484306</v>
      </c>
      <c r="G545" s="1">
        <v>0</v>
      </c>
      <c r="H545" s="1">
        <v>0</v>
      </c>
      <c r="I545" s="1">
        <v>0</v>
      </c>
      <c r="J545" s="1">
        <v>0</v>
      </c>
      <c r="K545" s="1">
        <v>16148824</v>
      </c>
      <c r="L545" s="1">
        <v>0</v>
      </c>
      <c r="M545" s="1">
        <v>5500000</v>
      </c>
      <c r="N545" s="1">
        <v>0</v>
      </c>
      <c r="O545" s="1">
        <v>1000000</v>
      </c>
      <c r="P545" s="1">
        <v>3657471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1848000</v>
      </c>
      <c r="W545" s="1">
        <v>0</v>
      </c>
      <c r="X545" s="1">
        <v>16274082</v>
      </c>
      <c r="Y545" s="1">
        <v>4000000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2873728</v>
      </c>
      <c r="AH545" s="1">
        <v>1835427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6692180</v>
      </c>
      <c r="AO545" s="1">
        <v>0</v>
      </c>
      <c r="AP545" s="1">
        <v>0</v>
      </c>
      <c r="AQ545" s="1">
        <v>0</v>
      </c>
      <c r="AR545" s="1">
        <v>81314018</v>
      </c>
      <c r="AS545" s="1">
        <v>30735887</v>
      </c>
      <c r="AT545" s="1">
        <v>50578131</v>
      </c>
      <c r="AU545" s="1">
        <v>15895718</v>
      </c>
      <c r="AV545" s="1">
        <v>2384358</v>
      </c>
      <c r="AW545" s="1">
        <f t="shared" si="56"/>
        <v>99594094</v>
      </c>
    </row>
    <row r="546" spans="1:49" x14ac:dyDescent="0.2">
      <c r="A546" s="1" t="str">
        <f>"00636"</f>
        <v>00636</v>
      </c>
      <c r="B546" s="1" t="str">
        <f>"حميد"</f>
        <v>حميد</v>
      </c>
      <c r="C546" s="1" t="str">
        <f>"محمدي"</f>
        <v>محمدي</v>
      </c>
      <c r="D546" s="1" t="str">
        <f t="shared" si="54"/>
        <v>قراردادي بهره بردار</v>
      </c>
      <c r="E546" s="1" t="str">
        <f>"پروژه بهره برداري نيروگاه بوشهر"</f>
        <v>پروژه بهره برداري نيروگاه بوشهر</v>
      </c>
      <c r="F546" s="1">
        <v>21181994</v>
      </c>
      <c r="G546" s="1">
        <v>0</v>
      </c>
      <c r="H546" s="1">
        <v>0</v>
      </c>
      <c r="I546" s="1">
        <v>7106058</v>
      </c>
      <c r="J546" s="1">
        <v>0</v>
      </c>
      <c r="K546" s="1">
        <v>17528726</v>
      </c>
      <c r="L546" s="1">
        <v>0</v>
      </c>
      <c r="M546" s="1">
        <v>5500000</v>
      </c>
      <c r="N546" s="1">
        <v>0</v>
      </c>
      <c r="O546" s="1">
        <v>1000000</v>
      </c>
      <c r="P546" s="1">
        <v>3551662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1848000</v>
      </c>
      <c r="W546" s="1">
        <v>0</v>
      </c>
      <c r="X546" s="1">
        <v>12587874</v>
      </c>
      <c r="Y546" s="1">
        <v>4000000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2790592</v>
      </c>
      <c r="AH546" s="1">
        <v>1835427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5298522</v>
      </c>
      <c r="AO546" s="1">
        <v>0</v>
      </c>
      <c r="AP546" s="1">
        <v>0</v>
      </c>
      <c r="AQ546" s="1">
        <v>0</v>
      </c>
      <c r="AR546" s="1">
        <v>84228855</v>
      </c>
      <c r="AS546" s="1">
        <v>34061926</v>
      </c>
      <c r="AT546" s="1">
        <v>50166929</v>
      </c>
      <c r="AU546" s="1">
        <v>16478686</v>
      </c>
      <c r="AV546" s="1">
        <v>2471803</v>
      </c>
      <c r="AW546" s="1">
        <f t="shared" si="56"/>
        <v>103179344</v>
      </c>
    </row>
    <row r="547" spans="1:49" x14ac:dyDescent="0.2">
      <c r="A547" s="1" t="str">
        <f>"00637"</f>
        <v>00637</v>
      </c>
      <c r="B547" s="1" t="str">
        <f>"مصطفي"</f>
        <v>مصطفي</v>
      </c>
      <c r="C547" s="1" t="str">
        <f>"مرادپور"</f>
        <v>مرادپور</v>
      </c>
      <c r="D547" s="1" t="str">
        <f t="shared" si="54"/>
        <v>قراردادي بهره بردار</v>
      </c>
      <c r="E547" s="1" t="str">
        <f>"پروژه تعميرات نيروگاه بوشهر"</f>
        <v>پروژه تعميرات نيروگاه بوشهر</v>
      </c>
      <c r="F547" s="1">
        <v>22350934</v>
      </c>
      <c r="G547" s="1">
        <v>0</v>
      </c>
      <c r="H547" s="1">
        <v>0</v>
      </c>
      <c r="I547" s="1">
        <v>5777512</v>
      </c>
      <c r="J547" s="1">
        <v>0</v>
      </c>
      <c r="K547" s="1">
        <v>18473530</v>
      </c>
      <c r="L547" s="1">
        <v>0</v>
      </c>
      <c r="M547" s="1">
        <v>5500000</v>
      </c>
      <c r="N547" s="1">
        <v>0</v>
      </c>
      <c r="O547" s="1">
        <v>1000000</v>
      </c>
      <c r="P547" s="1">
        <v>3960791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1848000</v>
      </c>
      <c r="W547" s="1">
        <v>0</v>
      </c>
      <c r="X547" s="1">
        <v>14079138</v>
      </c>
      <c r="Y547" s="1">
        <v>4000000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3112050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6253223</v>
      </c>
      <c r="AO547" s="1">
        <v>0</v>
      </c>
      <c r="AP547" s="1">
        <v>0</v>
      </c>
      <c r="AQ547" s="1">
        <v>0</v>
      </c>
      <c r="AR547" s="1">
        <v>86355178</v>
      </c>
      <c r="AS547" s="1">
        <v>18384032</v>
      </c>
      <c r="AT547" s="1">
        <v>67971146</v>
      </c>
      <c r="AU547" s="1">
        <v>17271036</v>
      </c>
      <c r="AV547" s="1">
        <v>2590655</v>
      </c>
      <c r="AW547" s="1">
        <f t="shared" si="56"/>
        <v>106216869</v>
      </c>
    </row>
    <row r="548" spans="1:49" x14ac:dyDescent="0.2">
      <c r="A548" s="1" t="str">
        <f>"00638"</f>
        <v>00638</v>
      </c>
      <c r="B548" s="1" t="str">
        <f>"عبدالرسول"</f>
        <v>عبدالرسول</v>
      </c>
      <c r="C548" s="1" t="str">
        <f>"مهدي پور"</f>
        <v>مهدي پور</v>
      </c>
      <c r="D548" s="1" t="str">
        <f t="shared" si="54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22391242</v>
      </c>
      <c r="G548" s="1">
        <v>0</v>
      </c>
      <c r="H548" s="1">
        <v>0</v>
      </c>
      <c r="I548" s="1">
        <v>0</v>
      </c>
      <c r="J548" s="1">
        <v>0</v>
      </c>
      <c r="K548" s="1">
        <v>17290805</v>
      </c>
      <c r="L548" s="1">
        <v>0</v>
      </c>
      <c r="M548" s="1">
        <v>5500000</v>
      </c>
      <c r="N548" s="1">
        <v>0</v>
      </c>
      <c r="O548" s="1">
        <v>1000000</v>
      </c>
      <c r="P548" s="1">
        <v>3974899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1848000</v>
      </c>
      <c r="W548" s="1">
        <v>0</v>
      </c>
      <c r="X548" s="1">
        <v>5597571</v>
      </c>
      <c r="Y548" s="1">
        <v>4000000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3123135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9195626</v>
      </c>
      <c r="AO548" s="1">
        <v>0</v>
      </c>
      <c r="AP548" s="1">
        <v>0</v>
      </c>
      <c r="AQ548" s="1">
        <v>0</v>
      </c>
      <c r="AR548" s="1">
        <v>73921278</v>
      </c>
      <c r="AS548" s="1">
        <v>13231466</v>
      </c>
      <c r="AT548" s="1">
        <v>60689812</v>
      </c>
      <c r="AU548" s="1">
        <v>14784256</v>
      </c>
      <c r="AV548" s="1">
        <v>2217638</v>
      </c>
      <c r="AW548" s="1">
        <f t="shared" si="56"/>
        <v>90923172</v>
      </c>
    </row>
    <row r="549" spans="1:49" x14ac:dyDescent="0.2">
      <c r="A549" s="1" t="str">
        <f>"00639"</f>
        <v>00639</v>
      </c>
      <c r="B549" s="1" t="str">
        <f>"امين"</f>
        <v>امين</v>
      </c>
      <c r="C549" s="1" t="str">
        <f>"ناصرپور"</f>
        <v>ناصرپور</v>
      </c>
      <c r="D549" s="1" t="str">
        <f t="shared" si="54"/>
        <v>قراردادي بهره بردار</v>
      </c>
      <c r="E549" s="1" t="str">
        <f t="shared" ref="E549:E556" si="58">"پروژه بهره برداري نيروگاه بوشهر"</f>
        <v>پروژه بهره برداري نيروگاه بوشهر</v>
      </c>
      <c r="F549" s="1">
        <v>16884125</v>
      </c>
      <c r="G549" s="1">
        <v>0</v>
      </c>
      <c r="H549" s="1">
        <v>0</v>
      </c>
      <c r="I549" s="1">
        <v>2147409</v>
      </c>
      <c r="J549" s="1">
        <v>0</v>
      </c>
      <c r="K549" s="1">
        <v>14131528</v>
      </c>
      <c r="L549" s="1">
        <v>0</v>
      </c>
      <c r="M549" s="1">
        <v>4620000</v>
      </c>
      <c r="N549" s="1">
        <v>0</v>
      </c>
      <c r="O549" s="1">
        <v>1000000</v>
      </c>
      <c r="P549" s="1">
        <v>3286257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1848000</v>
      </c>
      <c r="W549" s="1">
        <v>0</v>
      </c>
      <c r="X549" s="1">
        <v>16274910</v>
      </c>
      <c r="Y549" s="1">
        <v>4000000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2582059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7704825</v>
      </c>
      <c r="AO549" s="1">
        <v>0</v>
      </c>
      <c r="AP549" s="1">
        <v>0</v>
      </c>
      <c r="AQ549" s="1">
        <v>0</v>
      </c>
      <c r="AR549" s="1">
        <v>74479113</v>
      </c>
      <c r="AS549" s="1">
        <v>27152102</v>
      </c>
      <c r="AT549" s="1">
        <v>47327011</v>
      </c>
      <c r="AU549" s="1">
        <v>14895823</v>
      </c>
      <c r="AV549" s="1">
        <v>2234373</v>
      </c>
      <c r="AW549" s="1">
        <f t="shared" si="56"/>
        <v>91609309</v>
      </c>
    </row>
    <row r="550" spans="1:49" x14ac:dyDescent="0.2">
      <c r="A550" s="1" t="str">
        <f>"00640"</f>
        <v>00640</v>
      </c>
      <c r="B550" s="1" t="str">
        <f>"فرزاد"</f>
        <v>فرزاد</v>
      </c>
      <c r="C550" s="1" t="str">
        <f>"نجمي جعفرلو"</f>
        <v>نجمي جعفرلو</v>
      </c>
      <c r="D550" s="1" t="str">
        <f t="shared" si="54"/>
        <v>قراردادي بهره بردار</v>
      </c>
      <c r="E550" s="1" t="str">
        <f t="shared" si="58"/>
        <v>پروژه بهره برداري نيروگاه بوشهر</v>
      </c>
      <c r="F550" s="1">
        <v>16345002</v>
      </c>
      <c r="G550" s="1">
        <v>0</v>
      </c>
      <c r="H550" s="1">
        <v>0</v>
      </c>
      <c r="I550" s="1">
        <v>3737274</v>
      </c>
      <c r="J550" s="1">
        <v>0</v>
      </c>
      <c r="K550" s="1">
        <v>13185442</v>
      </c>
      <c r="L550" s="1">
        <v>0</v>
      </c>
      <c r="M550" s="1">
        <v>4620000</v>
      </c>
      <c r="N550" s="1">
        <v>0</v>
      </c>
      <c r="O550" s="1">
        <v>1000000</v>
      </c>
      <c r="P550" s="1">
        <v>3097564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19988033</v>
      </c>
      <c r="Y550" s="1">
        <v>4000000</v>
      </c>
      <c r="Z550" s="1">
        <v>2372662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2433801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11153298</v>
      </c>
      <c r="AO550" s="1">
        <v>0</v>
      </c>
      <c r="AP550" s="1">
        <v>0</v>
      </c>
      <c r="AQ550" s="1">
        <v>0</v>
      </c>
      <c r="AR550" s="1">
        <v>81933076</v>
      </c>
      <c r="AS550" s="1">
        <v>42643390</v>
      </c>
      <c r="AT550" s="1">
        <v>39289686</v>
      </c>
      <c r="AU550" s="1">
        <v>16386615</v>
      </c>
      <c r="AV550" s="1">
        <v>2457992</v>
      </c>
      <c r="AW550" s="1">
        <f t="shared" si="56"/>
        <v>100777683</v>
      </c>
    </row>
    <row r="551" spans="1:49" x14ac:dyDescent="0.2">
      <c r="A551" s="1" t="str">
        <f>"00641"</f>
        <v>00641</v>
      </c>
      <c r="B551" s="1" t="str">
        <f>"سيدمحمد"</f>
        <v>سيدمحمد</v>
      </c>
      <c r="C551" s="1" t="str">
        <f>"نصيري سلوشي"</f>
        <v>نصيري سلوشي</v>
      </c>
      <c r="D551" s="1" t="str">
        <f t="shared" si="54"/>
        <v>قراردادي بهره بردار</v>
      </c>
      <c r="E551" s="1" t="str">
        <f t="shared" si="58"/>
        <v>پروژه بهره برداري نيروگاه بوشهر</v>
      </c>
      <c r="F551" s="1">
        <v>21839523</v>
      </c>
      <c r="G551" s="1">
        <v>0</v>
      </c>
      <c r="H551" s="1">
        <v>0</v>
      </c>
      <c r="I551" s="1">
        <v>6900048</v>
      </c>
      <c r="J551" s="1">
        <v>0</v>
      </c>
      <c r="K551" s="1">
        <v>15634523</v>
      </c>
      <c r="L551" s="1">
        <v>0</v>
      </c>
      <c r="M551" s="1">
        <v>5500000</v>
      </c>
      <c r="N551" s="1">
        <v>0</v>
      </c>
      <c r="O551" s="1">
        <v>1000000</v>
      </c>
      <c r="P551" s="1">
        <v>3781797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1848000</v>
      </c>
      <c r="W551" s="1">
        <v>0</v>
      </c>
      <c r="X551" s="1">
        <v>11225151</v>
      </c>
      <c r="Y551" s="1">
        <v>4000000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2971412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5662304</v>
      </c>
      <c r="AO551" s="1">
        <v>0</v>
      </c>
      <c r="AP551" s="1">
        <v>0</v>
      </c>
      <c r="AQ551" s="1">
        <v>0</v>
      </c>
      <c r="AR551" s="1">
        <v>80362758</v>
      </c>
      <c r="AS551" s="1">
        <v>22778998</v>
      </c>
      <c r="AT551" s="1">
        <v>57583760</v>
      </c>
      <c r="AU551" s="1">
        <v>16072552</v>
      </c>
      <c r="AV551" s="1">
        <v>2410883</v>
      </c>
      <c r="AW551" s="1">
        <f t="shared" si="56"/>
        <v>98846193</v>
      </c>
    </row>
    <row r="552" spans="1:49" x14ac:dyDescent="0.2">
      <c r="A552" s="1" t="str">
        <f>"00642"</f>
        <v>00642</v>
      </c>
      <c r="B552" s="1" t="str">
        <f>"رضا"</f>
        <v>رضا</v>
      </c>
      <c r="C552" s="1" t="str">
        <f>"همتي"</f>
        <v>همتي</v>
      </c>
      <c r="D552" s="1" t="str">
        <f t="shared" si="54"/>
        <v>قراردادي بهره بردار</v>
      </c>
      <c r="E552" s="1" t="str">
        <f t="shared" si="58"/>
        <v>پروژه بهره برداري نيروگاه بوشهر</v>
      </c>
      <c r="F552" s="1">
        <v>17272092</v>
      </c>
      <c r="G552" s="1">
        <v>0</v>
      </c>
      <c r="H552" s="1">
        <v>0</v>
      </c>
      <c r="I552" s="1">
        <v>7364184</v>
      </c>
      <c r="J552" s="1">
        <v>0</v>
      </c>
      <c r="K552" s="1">
        <v>13193101</v>
      </c>
      <c r="L552" s="1">
        <v>0</v>
      </c>
      <c r="M552" s="1">
        <v>4620000</v>
      </c>
      <c r="N552" s="1">
        <v>0</v>
      </c>
      <c r="O552" s="1">
        <v>1000000</v>
      </c>
      <c r="P552" s="1">
        <v>3144297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1848000</v>
      </c>
      <c r="W552" s="1">
        <v>0</v>
      </c>
      <c r="X552" s="1">
        <v>21258723</v>
      </c>
      <c r="Y552" s="1">
        <v>4000000</v>
      </c>
      <c r="Z552" s="1">
        <v>2454728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2470519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12235272</v>
      </c>
      <c r="AO552" s="1">
        <v>0</v>
      </c>
      <c r="AP552" s="1">
        <v>0</v>
      </c>
      <c r="AQ552" s="1">
        <v>0</v>
      </c>
      <c r="AR552" s="1">
        <v>90860916</v>
      </c>
      <c r="AS552" s="1">
        <v>11408162</v>
      </c>
      <c r="AT552" s="1">
        <v>79452754</v>
      </c>
      <c r="AU552" s="1">
        <v>18172183</v>
      </c>
      <c r="AV552" s="1">
        <v>2725827</v>
      </c>
      <c r="AW552" s="1">
        <f t="shared" si="56"/>
        <v>111758926</v>
      </c>
    </row>
    <row r="553" spans="1:49" x14ac:dyDescent="0.2">
      <c r="A553" s="1" t="str">
        <f>"00643"</f>
        <v>00643</v>
      </c>
      <c r="B553" s="1" t="str">
        <f>"طيبه"</f>
        <v>طيبه</v>
      </c>
      <c r="C553" s="1" t="str">
        <f>"هنري فر"</f>
        <v>هنري فر</v>
      </c>
      <c r="D553" s="1" t="str">
        <f t="shared" si="54"/>
        <v>قراردادي بهره بردار</v>
      </c>
      <c r="E553" s="1" t="str">
        <f t="shared" si="58"/>
        <v>پروژه بهره برداري نيروگاه بوشهر</v>
      </c>
      <c r="F553" s="1">
        <v>17098263</v>
      </c>
      <c r="G553" s="1">
        <v>0</v>
      </c>
      <c r="H553" s="1">
        <v>0</v>
      </c>
      <c r="I553" s="1">
        <v>329206</v>
      </c>
      <c r="J553" s="1">
        <v>0</v>
      </c>
      <c r="K553" s="1">
        <v>13948662</v>
      </c>
      <c r="L553" s="1">
        <v>0</v>
      </c>
      <c r="M553" s="1">
        <v>3465000</v>
      </c>
      <c r="N553" s="1">
        <v>0</v>
      </c>
      <c r="O553" s="1">
        <v>1000000</v>
      </c>
      <c r="P553" s="1">
        <v>3083456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1848000</v>
      </c>
      <c r="W553" s="1">
        <v>0</v>
      </c>
      <c r="X553" s="1">
        <v>4241203</v>
      </c>
      <c r="Y553" s="1">
        <v>4000000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2422716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5858933</v>
      </c>
      <c r="AO553" s="1">
        <v>0</v>
      </c>
      <c r="AP553" s="1">
        <v>0</v>
      </c>
      <c r="AQ553" s="1">
        <v>0</v>
      </c>
      <c r="AR553" s="1">
        <v>57295439</v>
      </c>
      <c r="AS553" s="1">
        <v>30443593</v>
      </c>
      <c r="AT553" s="1">
        <v>26851846</v>
      </c>
      <c r="AU553" s="1">
        <v>11459088</v>
      </c>
      <c r="AV553" s="1">
        <v>1718863</v>
      </c>
      <c r="AW553" s="1">
        <f t="shared" si="56"/>
        <v>70473390</v>
      </c>
    </row>
    <row r="554" spans="1:49" x14ac:dyDescent="0.2">
      <c r="A554" s="1" t="str">
        <f>"00644"</f>
        <v>00644</v>
      </c>
      <c r="B554" s="1" t="str">
        <f>"امير"</f>
        <v>امير</v>
      </c>
      <c r="C554" s="1" t="str">
        <f>"ابراهيمي کلهرودي"</f>
        <v>ابراهيمي کلهرودي</v>
      </c>
      <c r="D554" s="1" t="str">
        <f t="shared" si="54"/>
        <v>قراردادي بهره بردار</v>
      </c>
      <c r="E554" s="1" t="str">
        <f t="shared" si="58"/>
        <v>پروژه بهره برداري نيروگاه بوشهر</v>
      </c>
      <c r="F554" s="1">
        <v>32853757</v>
      </c>
      <c r="G554" s="1">
        <v>0</v>
      </c>
      <c r="H554" s="1">
        <v>0</v>
      </c>
      <c r="I554" s="1">
        <v>3109401</v>
      </c>
      <c r="J554" s="1">
        <v>0</v>
      </c>
      <c r="K554" s="1">
        <v>28637076</v>
      </c>
      <c r="L554" s="1">
        <v>0</v>
      </c>
      <c r="M554" s="1">
        <v>0</v>
      </c>
      <c r="N554" s="1">
        <v>0</v>
      </c>
      <c r="O554" s="1">
        <v>1000000</v>
      </c>
      <c r="P554" s="1">
        <v>5316031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1848000</v>
      </c>
      <c r="W554" s="1">
        <v>0</v>
      </c>
      <c r="X554" s="1">
        <v>29457137</v>
      </c>
      <c r="Y554" s="1">
        <v>4000000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4176881</v>
      </c>
      <c r="AH554" s="1">
        <v>1835427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9720741</v>
      </c>
      <c r="AO554" s="1">
        <v>0</v>
      </c>
      <c r="AP554" s="1">
        <v>0</v>
      </c>
      <c r="AQ554" s="1">
        <v>0</v>
      </c>
      <c r="AR554" s="1">
        <v>121954451</v>
      </c>
      <c r="AS554" s="1">
        <v>51701738</v>
      </c>
      <c r="AT554" s="1">
        <v>70252713</v>
      </c>
      <c r="AU554" s="1">
        <v>24023805</v>
      </c>
      <c r="AV554" s="1">
        <v>3603571</v>
      </c>
      <c r="AW554" s="1">
        <f t="shared" si="56"/>
        <v>149581827</v>
      </c>
    </row>
    <row r="555" spans="1:49" x14ac:dyDescent="0.2">
      <c r="A555" s="1" t="str">
        <f>"00645"</f>
        <v>00645</v>
      </c>
      <c r="B555" s="1" t="str">
        <f>"جليل"</f>
        <v>جليل</v>
      </c>
      <c r="C555" s="1" t="str">
        <f>"محرزي"</f>
        <v>محرزي</v>
      </c>
      <c r="D555" s="1" t="str">
        <f t="shared" si="54"/>
        <v>قراردادي بهره بردار</v>
      </c>
      <c r="E555" s="1" t="str">
        <f t="shared" si="58"/>
        <v>پروژه بهره برداري نيروگاه بوشهر</v>
      </c>
      <c r="F555" s="1">
        <v>16979857</v>
      </c>
      <c r="G555" s="1">
        <v>0</v>
      </c>
      <c r="H555" s="1">
        <v>0</v>
      </c>
      <c r="I555" s="1">
        <v>6226953</v>
      </c>
      <c r="J555" s="1">
        <v>0</v>
      </c>
      <c r="K555" s="1">
        <v>13807596</v>
      </c>
      <c r="L555" s="1">
        <v>0</v>
      </c>
      <c r="M555" s="1">
        <v>4620000</v>
      </c>
      <c r="N555" s="1">
        <v>0</v>
      </c>
      <c r="O555" s="1">
        <v>1000000</v>
      </c>
      <c r="P555" s="1">
        <v>3350625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1848000</v>
      </c>
      <c r="W555" s="1">
        <v>0</v>
      </c>
      <c r="X555" s="1">
        <v>4222240</v>
      </c>
      <c r="Y555" s="1">
        <v>4000000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2632634</v>
      </c>
      <c r="AH555" s="1">
        <v>5506281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5451693</v>
      </c>
      <c r="AO555" s="1">
        <v>0</v>
      </c>
      <c r="AP555" s="1">
        <v>0</v>
      </c>
      <c r="AQ555" s="1">
        <v>0</v>
      </c>
      <c r="AR555" s="1">
        <v>69645879</v>
      </c>
      <c r="AS555" s="1">
        <v>13846644</v>
      </c>
      <c r="AT555" s="1">
        <v>55799235</v>
      </c>
      <c r="AU555" s="1">
        <v>12827920</v>
      </c>
      <c r="AV555" s="1">
        <v>1924188</v>
      </c>
      <c r="AW555" s="1">
        <f t="shared" si="56"/>
        <v>84397987</v>
      </c>
    </row>
    <row r="556" spans="1:49" x14ac:dyDescent="0.2">
      <c r="A556" s="1" t="str">
        <f>"00646"</f>
        <v>00646</v>
      </c>
      <c r="B556" s="1" t="str">
        <f>"نعيم"</f>
        <v>نعيم</v>
      </c>
      <c r="C556" s="1" t="str">
        <f>"غنچه"</f>
        <v>غنچه</v>
      </c>
      <c r="D556" s="1" t="str">
        <f t="shared" si="54"/>
        <v>قراردادي بهره بردار</v>
      </c>
      <c r="E556" s="1" t="str">
        <f t="shared" si="58"/>
        <v>پروژه بهره برداري نيروگاه بوشهر</v>
      </c>
      <c r="F556" s="1">
        <v>17788542</v>
      </c>
      <c r="G556" s="1">
        <v>0</v>
      </c>
      <c r="H556" s="1">
        <v>0</v>
      </c>
      <c r="I556" s="1">
        <v>5892714</v>
      </c>
      <c r="J556" s="1">
        <v>0</v>
      </c>
      <c r="K556" s="1">
        <v>15095242</v>
      </c>
      <c r="L556" s="1">
        <v>0</v>
      </c>
      <c r="M556" s="1">
        <v>0</v>
      </c>
      <c r="N556" s="1">
        <v>0</v>
      </c>
      <c r="O556" s="1">
        <v>1000000</v>
      </c>
      <c r="P556" s="1">
        <v>3325054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1848000</v>
      </c>
      <c r="W556" s="1">
        <v>0</v>
      </c>
      <c r="X556" s="1">
        <v>10410234</v>
      </c>
      <c r="Y556" s="1">
        <v>4000000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2612543</v>
      </c>
      <c r="AH556" s="1">
        <v>1835427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6440505</v>
      </c>
      <c r="AO556" s="1">
        <v>0</v>
      </c>
      <c r="AP556" s="1">
        <v>0</v>
      </c>
      <c r="AQ556" s="1">
        <v>0</v>
      </c>
      <c r="AR556" s="1">
        <v>70248261</v>
      </c>
      <c r="AS556" s="1">
        <v>25601692</v>
      </c>
      <c r="AT556" s="1">
        <v>44646569</v>
      </c>
      <c r="AU556" s="1">
        <v>13682567</v>
      </c>
      <c r="AV556" s="1">
        <v>2052385</v>
      </c>
      <c r="AW556" s="1">
        <f t="shared" si="56"/>
        <v>85983213</v>
      </c>
    </row>
    <row r="557" spans="1:49" x14ac:dyDescent="0.2">
      <c r="A557" s="1" t="str">
        <f>"00648"</f>
        <v>00648</v>
      </c>
      <c r="B557" s="1" t="str">
        <f>"مسعود"</f>
        <v>مسعود</v>
      </c>
      <c r="C557" s="1" t="str">
        <f>"سليماني"</f>
        <v>سليماني</v>
      </c>
      <c r="D557" s="1" t="str">
        <f>"قراردادي کارگري"</f>
        <v>قراردادي کارگري</v>
      </c>
      <c r="E557" s="1" t="str">
        <f>"پروژه تعميرات نيروگاه بوشهر"</f>
        <v>پروژه تعميرات نيروگاه بوشهر</v>
      </c>
      <c r="F557" s="1">
        <v>0</v>
      </c>
      <c r="G557" s="1">
        <v>9428830</v>
      </c>
      <c r="H557" s="1">
        <v>4714415</v>
      </c>
      <c r="I557" s="1">
        <v>7255125</v>
      </c>
      <c r="J557" s="1">
        <v>0</v>
      </c>
      <c r="K557" s="1">
        <v>13153217</v>
      </c>
      <c r="L557" s="1">
        <v>0</v>
      </c>
      <c r="M557" s="1">
        <v>0</v>
      </c>
      <c r="N557" s="1">
        <v>11331151</v>
      </c>
      <c r="O557" s="1">
        <v>2000000</v>
      </c>
      <c r="P557" s="1">
        <v>7543063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2640000</v>
      </c>
      <c r="W557" s="1">
        <v>0</v>
      </c>
      <c r="X557" s="1">
        <v>5237068</v>
      </c>
      <c r="Y557" s="1">
        <v>4000000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3670854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70973723</v>
      </c>
      <c r="AS557" s="1">
        <v>8343053</v>
      </c>
      <c r="AT557" s="1">
        <v>62630670</v>
      </c>
      <c r="AU557" s="1">
        <v>13460574</v>
      </c>
      <c r="AV557" s="1">
        <v>2019086</v>
      </c>
      <c r="AW557" s="1">
        <f t="shared" si="56"/>
        <v>86453383</v>
      </c>
    </row>
    <row r="558" spans="1:49" x14ac:dyDescent="0.2">
      <c r="A558" s="1" t="str">
        <f>"00649"</f>
        <v>00649</v>
      </c>
      <c r="B558" s="1" t="str">
        <f>"فريبا"</f>
        <v>فريبا</v>
      </c>
      <c r="C558" s="1" t="str">
        <f>"صيانت"</f>
        <v>صيانت</v>
      </c>
      <c r="D558" s="1" t="str">
        <f>"قراردادي بهره بردار"</f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22295510</v>
      </c>
      <c r="G558" s="1">
        <v>0</v>
      </c>
      <c r="H558" s="1">
        <v>0</v>
      </c>
      <c r="I558" s="1">
        <v>2207761</v>
      </c>
      <c r="J558" s="1">
        <v>0</v>
      </c>
      <c r="K558" s="1">
        <v>21566825</v>
      </c>
      <c r="L558" s="1">
        <v>0</v>
      </c>
      <c r="M558" s="1">
        <v>3465000</v>
      </c>
      <c r="N558" s="1">
        <v>0</v>
      </c>
      <c r="O558" s="1">
        <v>1000000</v>
      </c>
      <c r="P558" s="1">
        <v>4285273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1848000</v>
      </c>
      <c r="W558" s="1">
        <v>0</v>
      </c>
      <c r="X558" s="1">
        <v>5688568</v>
      </c>
      <c r="Y558" s="1">
        <v>4000000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3367000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5371077</v>
      </c>
      <c r="AO558" s="1">
        <v>0</v>
      </c>
      <c r="AP558" s="1">
        <v>0</v>
      </c>
      <c r="AQ558" s="1">
        <v>0</v>
      </c>
      <c r="AR558" s="1">
        <v>75095014</v>
      </c>
      <c r="AS558" s="1">
        <v>10362087</v>
      </c>
      <c r="AT558" s="1">
        <v>64732927</v>
      </c>
      <c r="AU558" s="1">
        <v>15019003</v>
      </c>
      <c r="AV558" s="1">
        <v>2252850</v>
      </c>
      <c r="AW558" s="1">
        <f t="shared" si="56"/>
        <v>92366867</v>
      </c>
    </row>
    <row r="559" spans="1:49" x14ac:dyDescent="0.2">
      <c r="A559" s="1" t="str">
        <f>"00650"</f>
        <v>00650</v>
      </c>
      <c r="B559" s="1" t="str">
        <f>"ليلا"</f>
        <v>ليلا</v>
      </c>
      <c r="C559" s="1" t="str">
        <f>"قاسمي فر"</f>
        <v>قاسمي فر</v>
      </c>
      <c r="D559" s="1" t="str">
        <f>"قراردادي بهره بردار"</f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17319958</v>
      </c>
      <c r="G559" s="1">
        <v>0</v>
      </c>
      <c r="H559" s="1">
        <v>0</v>
      </c>
      <c r="I559" s="1">
        <v>0</v>
      </c>
      <c r="J559" s="1">
        <v>0</v>
      </c>
      <c r="K559" s="1">
        <v>16884629</v>
      </c>
      <c r="L559" s="1">
        <v>0</v>
      </c>
      <c r="M559" s="1">
        <v>0</v>
      </c>
      <c r="N559" s="1">
        <v>0</v>
      </c>
      <c r="O559" s="1">
        <v>1000000</v>
      </c>
      <c r="P559" s="1">
        <v>3469661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1848000</v>
      </c>
      <c r="W559" s="1">
        <v>0</v>
      </c>
      <c r="X559" s="1">
        <v>4587383</v>
      </c>
      <c r="Y559" s="1">
        <v>4000000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2726162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5473422</v>
      </c>
      <c r="AO559" s="1">
        <v>0</v>
      </c>
      <c r="AP559" s="1">
        <v>0</v>
      </c>
      <c r="AQ559" s="1">
        <v>0</v>
      </c>
      <c r="AR559" s="1">
        <v>57309215</v>
      </c>
      <c r="AS559" s="1">
        <v>18794608</v>
      </c>
      <c r="AT559" s="1">
        <v>38514607</v>
      </c>
      <c r="AU559" s="1">
        <v>11461843</v>
      </c>
      <c r="AV559" s="1">
        <v>1719276</v>
      </c>
      <c r="AW559" s="1">
        <f t="shared" si="56"/>
        <v>70490334</v>
      </c>
    </row>
    <row r="560" spans="1:49" x14ac:dyDescent="0.2">
      <c r="A560" s="1" t="str">
        <f>"00651"</f>
        <v>00651</v>
      </c>
      <c r="B560" s="1" t="str">
        <f>"عبدالرسول"</f>
        <v>عبدالرسول</v>
      </c>
      <c r="C560" s="1" t="str">
        <f>"حاجياني"</f>
        <v>حاجياني</v>
      </c>
      <c r="D560" s="1" t="str">
        <f t="shared" ref="D560:D565" si="59">"قراردادي کارگري"</f>
        <v>قراردادي کارگري</v>
      </c>
      <c r="E560" s="1" t="str">
        <f t="shared" ref="E560:E565" si="60">"پروژه تعميرات نيروگاه بوشهر"</f>
        <v>پروژه تعميرات نيروگاه بوشهر</v>
      </c>
      <c r="F560" s="1">
        <v>0</v>
      </c>
      <c r="G560" s="1">
        <v>5420016</v>
      </c>
      <c r="H560" s="1">
        <v>2764208</v>
      </c>
      <c r="I560" s="1">
        <v>1486207</v>
      </c>
      <c r="J560" s="1">
        <v>0</v>
      </c>
      <c r="K560" s="1">
        <v>5892641</v>
      </c>
      <c r="L560" s="1">
        <v>0</v>
      </c>
      <c r="M560" s="1">
        <v>0</v>
      </c>
      <c r="N560" s="1">
        <v>11149515</v>
      </c>
      <c r="O560" s="1">
        <v>1935484</v>
      </c>
      <c r="P560" s="1">
        <v>4336013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2640000</v>
      </c>
      <c r="W560" s="1">
        <v>0</v>
      </c>
      <c r="X560" s="1">
        <v>11202154</v>
      </c>
      <c r="Y560" s="1">
        <v>3870968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1776220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52473426</v>
      </c>
      <c r="AS560" s="1">
        <v>14567934</v>
      </c>
      <c r="AT560" s="1">
        <v>37905492</v>
      </c>
      <c r="AU560" s="1">
        <v>10139441</v>
      </c>
      <c r="AV560" s="1">
        <v>1520916</v>
      </c>
      <c r="AW560" s="1">
        <f t="shared" si="56"/>
        <v>64133783</v>
      </c>
    </row>
    <row r="561" spans="1:49" x14ac:dyDescent="0.2">
      <c r="A561" s="1" t="str">
        <f>"00652"</f>
        <v>00652</v>
      </c>
      <c r="B561" s="1" t="str">
        <f>"حسين"</f>
        <v>حسين</v>
      </c>
      <c r="C561" s="1" t="str">
        <f>"انصاري"</f>
        <v>انصاري</v>
      </c>
      <c r="D561" s="1" t="str">
        <f t="shared" si="59"/>
        <v>قراردادي کارگري</v>
      </c>
      <c r="E561" s="1" t="str">
        <f t="shared" si="60"/>
        <v>پروژه تعميرات نيروگاه بوشهر</v>
      </c>
      <c r="F561" s="1">
        <v>0</v>
      </c>
      <c r="G561" s="1">
        <v>7556477</v>
      </c>
      <c r="H561" s="1">
        <v>3853803</v>
      </c>
      <c r="I561" s="1">
        <v>19940326</v>
      </c>
      <c r="J561" s="1">
        <v>0</v>
      </c>
      <c r="K561" s="1">
        <v>8443607</v>
      </c>
      <c r="L561" s="1">
        <v>0</v>
      </c>
      <c r="M561" s="1">
        <v>0</v>
      </c>
      <c r="N561" s="1">
        <v>11521166</v>
      </c>
      <c r="O561" s="1">
        <v>2000000</v>
      </c>
      <c r="P561" s="1">
        <v>6045182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2640000</v>
      </c>
      <c r="W561" s="1">
        <v>0</v>
      </c>
      <c r="X561" s="1">
        <v>13958475</v>
      </c>
      <c r="Y561" s="1">
        <v>4000000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3670854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83629890</v>
      </c>
      <c r="AS561" s="1">
        <v>17715295</v>
      </c>
      <c r="AT561" s="1">
        <v>65914595</v>
      </c>
      <c r="AU561" s="1">
        <v>15991807</v>
      </c>
      <c r="AV561" s="1">
        <v>2398771</v>
      </c>
      <c r="AW561" s="1">
        <f t="shared" si="56"/>
        <v>102020468</v>
      </c>
    </row>
    <row r="562" spans="1:49" x14ac:dyDescent="0.2">
      <c r="A562" s="1" t="str">
        <f>"00653"</f>
        <v>00653</v>
      </c>
      <c r="B562" s="1" t="str">
        <f>"حسين"</f>
        <v>حسين</v>
      </c>
      <c r="C562" s="1" t="str">
        <f>"حسن احمدي"</f>
        <v>حسن احمدي</v>
      </c>
      <c r="D562" s="1" t="str">
        <f t="shared" si="59"/>
        <v>قراردادي کارگري</v>
      </c>
      <c r="E562" s="1" t="str">
        <f t="shared" si="60"/>
        <v>پروژه تعميرات نيروگاه بوشهر</v>
      </c>
      <c r="F562" s="1">
        <v>0</v>
      </c>
      <c r="G562" s="1">
        <v>6878032</v>
      </c>
      <c r="H562" s="1">
        <v>3576576</v>
      </c>
      <c r="I562" s="1">
        <v>11936164</v>
      </c>
      <c r="J562" s="1">
        <v>0</v>
      </c>
      <c r="K562" s="1">
        <v>7631864</v>
      </c>
      <c r="L562" s="1">
        <v>0</v>
      </c>
      <c r="M562" s="1">
        <v>0</v>
      </c>
      <c r="N562" s="1">
        <v>11521166</v>
      </c>
      <c r="O562" s="1">
        <v>2000000</v>
      </c>
      <c r="P562" s="1">
        <v>5502426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2640000</v>
      </c>
      <c r="W562" s="1">
        <v>0</v>
      </c>
      <c r="X562" s="1">
        <v>13219220</v>
      </c>
      <c r="Y562" s="1">
        <v>4000000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5506281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74411729</v>
      </c>
      <c r="AS562" s="1">
        <v>12978216</v>
      </c>
      <c r="AT562" s="1">
        <v>61433513</v>
      </c>
      <c r="AU562" s="1">
        <v>13781090</v>
      </c>
      <c r="AV562" s="1">
        <v>2067163</v>
      </c>
      <c r="AW562" s="1">
        <f t="shared" si="56"/>
        <v>90259982</v>
      </c>
    </row>
    <row r="563" spans="1:49" x14ac:dyDescent="0.2">
      <c r="A563" s="1" t="str">
        <f>"00654"</f>
        <v>00654</v>
      </c>
      <c r="B563" s="1" t="str">
        <f>"محمدرضا"</f>
        <v>محمدرضا</v>
      </c>
      <c r="C563" s="1" t="str">
        <f>"تاجي اشکفتکي"</f>
        <v>تاجي اشکفتکي</v>
      </c>
      <c r="D563" s="1" t="str">
        <f t="shared" si="59"/>
        <v>قراردادي کارگري</v>
      </c>
      <c r="E563" s="1" t="str">
        <f t="shared" si="60"/>
        <v>پروژه تعميرات نيروگاه بوشهر</v>
      </c>
      <c r="F563" s="1">
        <v>0</v>
      </c>
      <c r="G563" s="1">
        <v>6045182</v>
      </c>
      <c r="H563" s="1">
        <v>3022591</v>
      </c>
      <c r="I563" s="1">
        <v>3779072</v>
      </c>
      <c r="J563" s="1">
        <v>0</v>
      </c>
      <c r="K563" s="1">
        <v>5440663</v>
      </c>
      <c r="L563" s="1">
        <v>0</v>
      </c>
      <c r="M563" s="1">
        <v>0</v>
      </c>
      <c r="N563" s="1">
        <v>9668221</v>
      </c>
      <c r="O563" s="1">
        <v>2000000</v>
      </c>
      <c r="P563" s="1">
        <v>4836146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2640000</v>
      </c>
      <c r="W563" s="1">
        <v>0</v>
      </c>
      <c r="X563" s="1">
        <v>6690432</v>
      </c>
      <c r="Y563" s="1">
        <v>4000000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5506281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53628588</v>
      </c>
      <c r="AS563" s="1">
        <v>8769764</v>
      </c>
      <c r="AT563" s="1">
        <v>44858824</v>
      </c>
      <c r="AU563" s="1">
        <v>9624461</v>
      </c>
      <c r="AV563" s="1">
        <v>1443669</v>
      </c>
      <c r="AW563" s="1">
        <f t="shared" si="56"/>
        <v>64696718</v>
      </c>
    </row>
    <row r="564" spans="1:49" x14ac:dyDescent="0.2">
      <c r="A564" s="1" t="str">
        <f>"00655"</f>
        <v>00655</v>
      </c>
      <c r="B564" s="1" t="str">
        <f>"عادل"</f>
        <v>عادل</v>
      </c>
      <c r="C564" s="1" t="str">
        <f>"رهامي"</f>
        <v>رهامي</v>
      </c>
      <c r="D564" s="1" t="str">
        <f t="shared" si="59"/>
        <v>قراردادي کارگري</v>
      </c>
      <c r="E564" s="1" t="str">
        <f t="shared" si="60"/>
        <v>پروژه تعميرات نيروگاه بوشهر</v>
      </c>
      <c r="F564" s="1">
        <v>0</v>
      </c>
      <c r="G564" s="1">
        <v>7359962</v>
      </c>
      <c r="H564" s="1">
        <v>3827180</v>
      </c>
      <c r="I564" s="1">
        <v>0</v>
      </c>
      <c r="J564" s="1">
        <v>0</v>
      </c>
      <c r="K564" s="1">
        <v>9061585</v>
      </c>
      <c r="L564" s="1">
        <v>0</v>
      </c>
      <c r="M564" s="1">
        <v>0</v>
      </c>
      <c r="N564" s="1">
        <v>11521166</v>
      </c>
      <c r="O564" s="1">
        <v>2000000</v>
      </c>
      <c r="P564" s="1">
        <v>5887970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2640000</v>
      </c>
      <c r="W564" s="1">
        <v>0</v>
      </c>
      <c r="X564" s="1">
        <v>14034516</v>
      </c>
      <c r="Y564" s="1">
        <v>4000000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1835427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62167806</v>
      </c>
      <c r="AS564" s="1">
        <v>9118521</v>
      </c>
      <c r="AT564" s="1">
        <v>53049285</v>
      </c>
      <c r="AU564" s="1">
        <v>12066476</v>
      </c>
      <c r="AV564" s="1">
        <v>1809971</v>
      </c>
      <c r="AW564" s="1">
        <f t="shared" si="56"/>
        <v>76044253</v>
      </c>
    </row>
    <row r="565" spans="1:49" x14ac:dyDescent="0.2">
      <c r="A565" s="1" t="str">
        <f>"00656"</f>
        <v>00656</v>
      </c>
      <c r="B565" s="1" t="str">
        <f>"صادق"</f>
        <v>صادق</v>
      </c>
      <c r="C565" s="1" t="str">
        <f>"زارعي"</f>
        <v>زارعي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0</v>
      </c>
      <c r="G565" s="1">
        <v>5591325</v>
      </c>
      <c r="H565" s="1">
        <v>2907489</v>
      </c>
      <c r="I565" s="1">
        <v>2975545</v>
      </c>
      <c r="J565" s="1">
        <v>0</v>
      </c>
      <c r="K565" s="1">
        <v>5949170</v>
      </c>
      <c r="L565" s="1">
        <v>0</v>
      </c>
      <c r="M565" s="1">
        <v>0</v>
      </c>
      <c r="N565" s="1">
        <v>11521166</v>
      </c>
      <c r="O565" s="1">
        <v>2000000</v>
      </c>
      <c r="P565" s="1">
        <v>4473060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11725507</v>
      </c>
      <c r="Y565" s="1">
        <v>4000000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4566331</v>
      </c>
      <c r="AG565" s="1">
        <v>0</v>
      </c>
      <c r="AH565" s="1">
        <v>1835427</v>
      </c>
      <c r="AI565" s="1">
        <v>0</v>
      </c>
      <c r="AJ565" s="1">
        <v>0</v>
      </c>
      <c r="AK565" s="1">
        <v>0</v>
      </c>
      <c r="AL565" s="1">
        <v>3808697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61353717</v>
      </c>
      <c r="AS565" s="1">
        <v>6525024</v>
      </c>
      <c r="AT565" s="1">
        <v>54828693</v>
      </c>
      <c r="AU565" s="1">
        <v>11903658</v>
      </c>
      <c r="AV565" s="1">
        <v>1785549</v>
      </c>
      <c r="AW565" s="1">
        <f t="shared" si="56"/>
        <v>75042924</v>
      </c>
    </row>
    <row r="566" spans="1:49" x14ac:dyDescent="0.2">
      <c r="A566" s="1" t="str">
        <f>"00657"</f>
        <v>00657</v>
      </c>
      <c r="B566" s="1" t="str">
        <f>"اسماعيل"</f>
        <v>اسماعيل</v>
      </c>
      <c r="C566" s="1" t="str">
        <f>"شهرياري"</f>
        <v>شهرياري</v>
      </c>
      <c r="D566" s="1" t="str">
        <f>"قراردادي بهره بردار"</f>
        <v>قراردادي بهره بردار</v>
      </c>
      <c r="E566" s="1" t="str">
        <f>"پروژه بهره برداري نيروگاه بوشهر"</f>
        <v>پروژه بهره برداري نيروگاه بوشهر</v>
      </c>
      <c r="F566" s="1">
        <v>21753868</v>
      </c>
      <c r="G566" s="1">
        <v>0</v>
      </c>
      <c r="H566" s="1">
        <v>0</v>
      </c>
      <c r="I566" s="1">
        <v>4912408</v>
      </c>
      <c r="J566" s="1">
        <v>0</v>
      </c>
      <c r="K566" s="1">
        <v>16971427</v>
      </c>
      <c r="L566" s="1">
        <v>0</v>
      </c>
      <c r="M566" s="1">
        <v>5500000</v>
      </c>
      <c r="N566" s="1">
        <v>0</v>
      </c>
      <c r="O566" s="1">
        <v>1000000</v>
      </c>
      <c r="P566" s="1">
        <v>3751818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1848000</v>
      </c>
      <c r="W566" s="1">
        <v>0</v>
      </c>
      <c r="X566" s="1">
        <v>11834178</v>
      </c>
      <c r="Y566" s="1">
        <v>4000000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2947857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6027976</v>
      </c>
      <c r="AO566" s="1">
        <v>0</v>
      </c>
      <c r="AP566" s="1">
        <v>0</v>
      </c>
      <c r="AQ566" s="1">
        <v>0</v>
      </c>
      <c r="AR566" s="1">
        <v>80547532</v>
      </c>
      <c r="AS566" s="1">
        <v>22083586</v>
      </c>
      <c r="AT566" s="1">
        <v>58463946</v>
      </c>
      <c r="AU566" s="1">
        <v>16109506</v>
      </c>
      <c r="AV566" s="1">
        <v>2416426</v>
      </c>
      <c r="AW566" s="1">
        <f t="shared" si="56"/>
        <v>99073464</v>
      </c>
    </row>
    <row r="567" spans="1:49" x14ac:dyDescent="0.2">
      <c r="A567" s="1" t="str">
        <f>"00658"</f>
        <v>00658</v>
      </c>
      <c r="B567" s="1" t="str">
        <f>"محمدرضا"</f>
        <v>محمدرضا</v>
      </c>
      <c r="C567" s="1" t="str">
        <f>"افشارنژاد"</f>
        <v>افشارنژاد</v>
      </c>
      <c r="D567" s="1" t="str">
        <f>"قراردادي کارگري"</f>
        <v>قراردادي کارگري</v>
      </c>
      <c r="E567" s="1" t="str">
        <f>"پروژه تعميرات نيروگاه بوشهر"</f>
        <v>پروژه تعميرات نيروگاه بوشهر</v>
      </c>
      <c r="F567" s="1">
        <v>0</v>
      </c>
      <c r="G567" s="1">
        <v>8852709</v>
      </c>
      <c r="H567" s="1">
        <v>4426355</v>
      </c>
      <c r="I567" s="1">
        <v>7082697</v>
      </c>
      <c r="J567" s="1">
        <v>0</v>
      </c>
      <c r="K567" s="1">
        <v>12482321</v>
      </c>
      <c r="L567" s="1">
        <v>0</v>
      </c>
      <c r="M567" s="1">
        <v>0</v>
      </c>
      <c r="N567" s="1">
        <v>11331151</v>
      </c>
      <c r="O567" s="1">
        <v>2000000</v>
      </c>
      <c r="P567" s="1">
        <v>7967437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2640000</v>
      </c>
      <c r="W567" s="1">
        <v>0</v>
      </c>
      <c r="X567" s="1">
        <v>5125998</v>
      </c>
      <c r="Y567" s="1">
        <v>4000000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3670854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69579522</v>
      </c>
      <c r="AS567" s="1">
        <v>11593399</v>
      </c>
      <c r="AT567" s="1">
        <v>57986123</v>
      </c>
      <c r="AU567" s="1">
        <v>13181734</v>
      </c>
      <c r="AV567" s="1">
        <v>1977260</v>
      </c>
      <c r="AW567" s="1">
        <f t="shared" si="56"/>
        <v>84738516</v>
      </c>
    </row>
    <row r="568" spans="1:49" x14ac:dyDescent="0.2">
      <c r="A568" s="1" t="str">
        <f>"00659"</f>
        <v>00659</v>
      </c>
      <c r="B568" s="1" t="str">
        <f>"فاضل"</f>
        <v>فاضل</v>
      </c>
      <c r="C568" s="1" t="str">
        <f>"فرخ زاد"</f>
        <v>فرخ زاد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0</v>
      </c>
      <c r="G568" s="1">
        <v>8333180</v>
      </c>
      <c r="H568" s="1">
        <v>4249922</v>
      </c>
      <c r="I568" s="1">
        <v>1819461</v>
      </c>
      <c r="J568" s="1">
        <v>0</v>
      </c>
      <c r="K568" s="1">
        <v>9059834</v>
      </c>
      <c r="L568" s="1">
        <v>0</v>
      </c>
      <c r="M568" s="1">
        <v>0</v>
      </c>
      <c r="N568" s="1">
        <v>11521166</v>
      </c>
      <c r="O568" s="1">
        <v>2000000</v>
      </c>
      <c r="P568" s="1">
        <v>6666544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2640000</v>
      </c>
      <c r="W568" s="1">
        <v>0</v>
      </c>
      <c r="X568" s="1">
        <v>10802280</v>
      </c>
      <c r="Y568" s="1">
        <v>4000000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935787</v>
      </c>
      <c r="AF568" s="1">
        <v>0</v>
      </c>
      <c r="AG568" s="1">
        <v>0</v>
      </c>
      <c r="AH568" s="1">
        <v>3670854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65699028</v>
      </c>
      <c r="AS568" s="1">
        <v>10160647</v>
      </c>
      <c r="AT568" s="1">
        <v>55538381</v>
      </c>
      <c r="AU568" s="1">
        <v>12405635</v>
      </c>
      <c r="AV568" s="1">
        <v>1860845</v>
      </c>
      <c r="AW568" s="1">
        <f t="shared" si="56"/>
        <v>79965508</v>
      </c>
    </row>
    <row r="569" spans="1:49" x14ac:dyDescent="0.2">
      <c r="A569" s="1" t="str">
        <f>"00660"</f>
        <v>00660</v>
      </c>
      <c r="B569" s="1" t="str">
        <f>"عبدالرسول"</f>
        <v>عبدالرسول</v>
      </c>
      <c r="C569" s="1" t="str">
        <f>"محمدي"</f>
        <v>محمدي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14667171</v>
      </c>
      <c r="G569" s="1">
        <v>0</v>
      </c>
      <c r="H569" s="1">
        <v>0</v>
      </c>
      <c r="I569" s="1">
        <v>880514</v>
      </c>
      <c r="J569" s="1">
        <v>0</v>
      </c>
      <c r="K569" s="1">
        <v>10555563</v>
      </c>
      <c r="L569" s="1">
        <v>0</v>
      </c>
      <c r="M569" s="1">
        <v>0</v>
      </c>
      <c r="N569" s="1">
        <v>0</v>
      </c>
      <c r="O569" s="1">
        <v>1000000</v>
      </c>
      <c r="P569" s="1">
        <v>2541185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1848000</v>
      </c>
      <c r="W569" s="1">
        <v>0</v>
      </c>
      <c r="X569" s="1">
        <v>6493546</v>
      </c>
      <c r="Y569" s="1">
        <v>4000000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1996645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5339687</v>
      </c>
      <c r="AO569" s="1">
        <v>0</v>
      </c>
      <c r="AP569" s="1">
        <v>0</v>
      </c>
      <c r="AQ569" s="1">
        <v>0</v>
      </c>
      <c r="AR569" s="1">
        <v>49322311</v>
      </c>
      <c r="AS569" s="1">
        <v>47143300</v>
      </c>
      <c r="AT569" s="1">
        <v>2179011</v>
      </c>
      <c r="AU569" s="1">
        <v>9864462</v>
      </c>
      <c r="AV569" s="1">
        <v>1479669</v>
      </c>
      <c r="AW569" s="1">
        <f t="shared" si="56"/>
        <v>60666442</v>
      </c>
    </row>
    <row r="570" spans="1:49" x14ac:dyDescent="0.2">
      <c r="A570" s="1" t="str">
        <f>"00661"</f>
        <v>00661</v>
      </c>
      <c r="B570" s="1" t="str">
        <f>"جواد"</f>
        <v>جواد</v>
      </c>
      <c r="C570" s="1" t="str">
        <f>"حسين زاده"</f>
        <v>حسين زاده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24172364</v>
      </c>
      <c r="G570" s="1">
        <v>0</v>
      </c>
      <c r="H570" s="1">
        <v>0</v>
      </c>
      <c r="I570" s="1">
        <v>0</v>
      </c>
      <c r="J570" s="1">
        <v>0</v>
      </c>
      <c r="K570" s="1">
        <v>19896123</v>
      </c>
      <c r="L570" s="1">
        <v>0</v>
      </c>
      <c r="M570" s="1">
        <v>5500000</v>
      </c>
      <c r="N570" s="1">
        <v>0</v>
      </c>
      <c r="O570" s="1">
        <v>1000000</v>
      </c>
      <c r="P570" s="1">
        <v>4161829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1848000</v>
      </c>
      <c r="W570" s="1">
        <v>0</v>
      </c>
      <c r="X570" s="1">
        <v>10549639</v>
      </c>
      <c r="Y570" s="1">
        <v>4000000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3270008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5524752</v>
      </c>
      <c r="AO570" s="1">
        <v>0</v>
      </c>
      <c r="AP570" s="1">
        <v>0</v>
      </c>
      <c r="AQ570" s="1">
        <v>0</v>
      </c>
      <c r="AR570" s="1">
        <v>79922715</v>
      </c>
      <c r="AS570" s="1">
        <v>38723840</v>
      </c>
      <c r="AT570" s="1">
        <v>41198875</v>
      </c>
      <c r="AU570" s="1">
        <v>15984543</v>
      </c>
      <c r="AV570" s="1">
        <v>2397681</v>
      </c>
      <c r="AW570" s="1">
        <f t="shared" si="56"/>
        <v>98304939</v>
      </c>
    </row>
    <row r="571" spans="1:49" x14ac:dyDescent="0.2">
      <c r="A571" s="1" t="str">
        <f>"00662"</f>
        <v>00662</v>
      </c>
      <c r="B571" s="1" t="str">
        <f>"نجف"</f>
        <v>نجف</v>
      </c>
      <c r="C571" s="1" t="str">
        <f>"ابراهيم زاده"</f>
        <v>ابراهيم زاده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0</v>
      </c>
      <c r="G571" s="1">
        <v>8518354</v>
      </c>
      <c r="H571" s="1">
        <v>4259177</v>
      </c>
      <c r="I571" s="1">
        <v>0</v>
      </c>
      <c r="J571" s="1">
        <v>0</v>
      </c>
      <c r="K571" s="1">
        <v>10349800</v>
      </c>
      <c r="L571" s="1">
        <v>0</v>
      </c>
      <c r="M571" s="1">
        <v>0</v>
      </c>
      <c r="N571" s="1">
        <v>11331151</v>
      </c>
      <c r="O571" s="1">
        <v>2000000</v>
      </c>
      <c r="P571" s="1">
        <v>6814682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2640000</v>
      </c>
      <c r="W571" s="1">
        <v>0</v>
      </c>
      <c r="X571" s="1">
        <v>10444096</v>
      </c>
      <c r="Y571" s="1">
        <v>4000000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3670854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64028114</v>
      </c>
      <c r="AS571" s="1">
        <v>28667939</v>
      </c>
      <c r="AT571" s="1">
        <v>35360175</v>
      </c>
      <c r="AU571" s="1">
        <v>12071452</v>
      </c>
      <c r="AV571" s="1">
        <v>1810718</v>
      </c>
      <c r="AW571" s="1">
        <f t="shared" si="56"/>
        <v>77910284</v>
      </c>
    </row>
    <row r="572" spans="1:49" x14ac:dyDescent="0.2">
      <c r="A572" s="1" t="str">
        <f>"00663"</f>
        <v>00663</v>
      </c>
      <c r="B572" s="1" t="str">
        <f>"بهرام"</f>
        <v>بهرام</v>
      </c>
      <c r="C572" s="1" t="str">
        <f>"زارعي"</f>
        <v>زارعي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14856116</v>
      </c>
      <c r="G572" s="1">
        <v>0</v>
      </c>
      <c r="H572" s="1">
        <v>0</v>
      </c>
      <c r="I572" s="1">
        <v>16344725</v>
      </c>
      <c r="J572" s="1">
        <v>0</v>
      </c>
      <c r="K572" s="1">
        <v>15818194</v>
      </c>
      <c r="L572" s="1">
        <v>0</v>
      </c>
      <c r="M572" s="1">
        <v>4620000</v>
      </c>
      <c r="N572" s="1">
        <v>0</v>
      </c>
      <c r="O572" s="1">
        <v>1000000</v>
      </c>
      <c r="P572" s="1">
        <v>2607315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1848000</v>
      </c>
      <c r="W572" s="1">
        <v>0</v>
      </c>
      <c r="X572" s="1">
        <v>10294582</v>
      </c>
      <c r="Y572" s="1">
        <v>4000000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2048605</v>
      </c>
      <c r="AH572" s="1">
        <v>5506281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5848099</v>
      </c>
      <c r="AO572" s="1">
        <v>0</v>
      </c>
      <c r="AP572" s="1">
        <v>0</v>
      </c>
      <c r="AQ572" s="1">
        <v>0</v>
      </c>
      <c r="AR572" s="1">
        <v>84791917</v>
      </c>
      <c r="AS572" s="1">
        <v>30178363</v>
      </c>
      <c r="AT572" s="1">
        <v>54613554</v>
      </c>
      <c r="AU572" s="1">
        <v>15857127</v>
      </c>
      <c r="AV572" s="1">
        <v>2378569</v>
      </c>
      <c r="AW572" s="1">
        <f t="shared" si="56"/>
        <v>103027613</v>
      </c>
    </row>
    <row r="573" spans="1:49" x14ac:dyDescent="0.2">
      <c r="A573" s="1" t="str">
        <f>"00664"</f>
        <v>00664</v>
      </c>
      <c r="B573" s="1" t="str">
        <f>"حميد رضا"</f>
        <v>حميد رضا</v>
      </c>
      <c r="C573" s="1" t="str">
        <f>"دهقاني"</f>
        <v>دهقاني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17592039</v>
      </c>
      <c r="G573" s="1">
        <v>0</v>
      </c>
      <c r="H573" s="1">
        <v>0</v>
      </c>
      <c r="I573" s="1">
        <v>3908557</v>
      </c>
      <c r="J573" s="1">
        <v>0</v>
      </c>
      <c r="K573" s="1">
        <v>14737686</v>
      </c>
      <c r="L573" s="1">
        <v>0</v>
      </c>
      <c r="M573" s="1">
        <v>4620000</v>
      </c>
      <c r="N573" s="1">
        <v>0</v>
      </c>
      <c r="O573" s="1">
        <v>1000000</v>
      </c>
      <c r="P573" s="1">
        <v>3256278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1848000</v>
      </c>
      <c r="W573" s="1">
        <v>0</v>
      </c>
      <c r="X573" s="1">
        <v>10357448</v>
      </c>
      <c r="Y573" s="1">
        <v>4000000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2558504</v>
      </c>
      <c r="AH573" s="1">
        <v>1835427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6887877</v>
      </c>
      <c r="AO573" s="1">
        <v>0</v>
      </c>
      <c r="AP573" s="1">
        <v>0</v>
      </c>
      <c r="AQ573" s="1">
        <v>0</v>
      </c>
      <c r="AR573" s="1">
        <v>72601816</v>
      </c>
      <c r="AS573" s="1">
        <v>15071025</v>
      </c>
      <c r="AT573" s="1">
        <v>57530791</v>
      </c>
      <c r="AU573" s="1">
        <v>14153278</v>
      </c>
      <c r="AV573" s="1">
        <v>2122992</v>
      </c>
      <c r="AW573" s="1">
        <f t="shared" si="56"/>
        <v>88878086</v>
      </c>
    </row>
    <row r="574" spans="1:49" x14ac:dyDescent="0.2">
      <c r="A574" s="1" t="str">
        <f>"00665"</f>
        <v>00665</v>
      </c>
      <c r="B574" s="1" t="str">
        <f>"مجيد"</f>
        <v>مجيد</v>
      </c>
      <c r="C574" s="1" t="str">
        <f>"سميعي قصرالدشتي"</f>
        <v>سميعي قصرالدشتي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16271943</v>
      </c>
      <c r="G574" s="1">
        <v>0</v>
      </c>
      <c r="H574" s="1">
        <v>0</v>
      </c>
      <c r="I574" s="1">
        <v>5468423</v>
      </c>
      <c r="J574" s="1">
        <v>0</v>
      </c>
      <c r="K574" s="1">
        <v>13917320</v>
      </c>
      <c r="L574" s="1">
        <v>0</v>
      </c>
      <c r="M574" s="1">
        <v>4620000</v>
      </c>
      <c r="N574" s="1">
        <v>0</v>
      </c>
      <c r="O574" s="1">
        <v>1000000</v>
      </c>
      <c r="P574" s="1">
        <v>3071994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1848000</v>
      </c>
      <c r="W574" s="1">
        <v>0</v>
      </c>
      <c r="X574" s="1">
        <v>8966406</v>
      </c>
      <c r="Y574" s="1">
        <v>4000000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2413710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7022204</v>
      </c>
      <c r="AO574" s="1">
        <v>0</v>
      </c>
      <c r="AP574" s="1">
        <v>0</v>
      </c>
      <c r="AQ574" s="1">
        <v>0</v>
      </c>
      <c r="AR574" s="1">
        <v>68600000</v>
      </c>
      <c r="AS574" s="1">
        <v>30889713</v>
      </c>
      <c r="AT574" s="1">
        <v>37710287</v>
      </c>
      <c r="AU574" s="1">
        <v>13720000</v>
      </c>
      <c r="AV574" s="1">
        <v>2058000</v>
      </c>
      <c r="AW574" s="1">
        <f t="shared" si="56"/>
        <v>84378000</v>
      </c>
    </row>
    <row r="575" spans="1:49" x14ac:dyDescent="0.2">
      <c r="A575" s="1" t="str">
        <f>"00666"</f>
        <v>00666</v>
      </c>
      <c r="B575" s="1" t="str">
        <f>"زهرا"</f>
        <v>زهرا</v>
      </c>
      <c r="C575" s="1" t="str">
        <f>"دانشور"</f>
        <v>دانشور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18771056</v>
      </c>
      <c r="G575" s="1">
        <v>0</v>
      </c>
      <c r="H575" s="1">
        <v>0</v>
      </c>
      <c r="I575" s="1">
        <v>324161</v>
      </c>
      <c r="J575" s="1">
        <v>0</v>
      </c>
      <c r="K575" s="1">
        <v>12736421</v>
      </c>
      <c r="L575" s="1">
        <v>2530000</v>
      </c>
      <c r="M575" s="1">
        <v>4125000</v>
      </c>
      <c r="N575" s="1">
        <v>0</v>
      </c>
      <c r="O575" s="1">
        <v>1000000</v>
      </c>
      <c r="P575" s="1">
        <v>2906226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1848000</v>
      </c>
      <c r="W575" s="1">
        <v>0</v>
      </c>
      <c r="X575" s="1">
        <v>4176210</v>
      </c>
      <c r="Y575" s="1">
        <v>4000000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2283463</v>
      </c>
      <c r="AH575" s="1">
        <v>1835427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5064935</v>
      </c>
      <c r="AO575" s="1">
        <v>0</v>
      </c>
      <c r="AP575" s="1">
        <v>0</v>
      </c>
      <c r="AQ575" s="1">
        <v>0</v>
      </c>
      <c r="AR575" s="1">
        <v>61600899</v>
      </c>
      <c r="AS575" s="1">
        <v>24633062</v>
      </c>
      <c r="AT575" s="1">
        <v>36967837</v>
      </c>
      <c r="AU575" s="1">
        <v>11447094</v>
      </c>
      <c r="AV575" s="1">
        <v>1717064</v>
      </c>
      <c r="AW575" s="1">
        <f t="shared" si="56"/>
        <v>74765057</v>
      </c>
    </row>
    <row r="576" spans="1:49" x14ac:dyDescent="0.2">
      <c r="A576" s="1" t="str">
        <f>"00667"</f>
        <v>00667</v>
      </c>
      <c r="B576" s="1" t="str">
        <f>"نصرالله"</f>
        <v>نصرالله</v>
      </c>
      <c r="C576" s="1" t="str">
        <f>"شکيبي نسب"</f>
        <v>شکيبي نسب</v>
      </c>
      <c r="D576" s="1" t="str">
        <f>"قراردادي کارگري"</f>
        <v>قراردادي کارگري</v>
      </c>
      <c r="E576" s="1" t="str">
        <f t="shared" ref="E576:E586" si="61">"پروژه تعميرات نيروگاه بوشهر"</f>
        <v>پروژه تعميرات نيروگاه بوشهر</v>
      </c>
      <c r="F576" s="1">
        <v>0</v>
      </c>
      <c r="G576" s="1">
        <v>8319143</v>
      </c>
      <c r="H576" s="1">
        <v>4242763</v>
      </c>
      <c r="I576" s="1">
        <v>2296926</v>
      </c>
      <c r="J576" s="1">
        <v>0</v>
      </c>
      <c r="K576" s="1">
        <v>9295811</v>
      </c>
      <c r="L576" s="1">
        <v>0</v>
      </c>
      <c r="M576" s="1">
        <v>0</v>
      </c>
      <c r="N576" s="1">
        <v>11521166</v>
      </c>
      <c r="O576" s="1">
        <v>2000000</v>
      </c>
      <c r="P576" s="1">
        <v>6655315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2640000</v>
      </c>
      <c r="W576" s="1">
        <v>0</v>
      </c>
      <c r="X576" s="1">
        <v>14217015</v>
      </c>
      <c r="Y576" s="1">
        <v>4000000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1835427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67023566</v>
      </c>
      <c r="AS576" s="1">
        <v>13188410</v>
      </c>
      <c r="AT576" s="1">
        <v>53835156</v>
      </c>
      <c r="AU576" s="1">
        <v>13037628</v>
      </c>
      <c r="AV576" s="1">
        <v>1955644</v>
      </c>
      <c r="AW576" s="1">
        <f t="shared" si="56"/>
        <v>82016838</v>
      </c>
    </row>
    <row r="577" spans="1:49" x14ac:dyDescent="0.2">
      <c r="A577" s="1" t="str">
        <f>"00668"</f>
        <v>00668</v>
      </c>
      <c r="B577" s="1" t="str">
        <f>"عبدالکريم"</f>
        <v>عبدالکريم</v>
      </c>
      <c r="C577" s="1" t="str">
        <f>"صادقي پور"</f>
        <v>صادقي پور</v>
      </c>
      <c r="D577" s="1" t="str">
        <f>"قراردادي کارگري"</f>
        <v>قراردادي کارگري</v>
      </c>
      <c r="E577" s="1" t="str">
        <f t="shared" si="61"/>
        <v>پروژه تعميرات نيروگاه بوشهر</v>
      </c>
      <c r="F577" s="1">
        <v>0</v>
      </c>
      <c r="G577" s="1">
        <v>7494711</v>
      </c>
      <c r="H577" s="1">
        <v>3747355</v>
      </c>
      <c r="I577" s="1">
        <v>2947177</v>
      </c>
      <c r="J577" s="1">
        <v>0</v>
      </c>
      <c r="K577" s="1">
        <v>8656391</v>
      </c>
      <c r="L577" s="1">
        <v>0</v>
      </c>
      <c r="M577" s="1">
        <v>0</v>
      </c>
      <c r="N577" s="1">
        <v>11331151</v>
      </c>
      <c r="O577" s="1">
        <v>2000000</v>
      </c>
      <c r="P577" s="1">
        <v>5995768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2640000</v>
      </c>
      <c r="W577" s="1">
        <v>0</v>
      </c>
      <c r="X577" s="1">
        <v>14981755</v>
      </c>
      <c r="Y577" s="1">
        <v>4000000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3670854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67465162</v>
      </c>
      <c r="AS577" s="1">
        <v>23168916</v>
      </c>
      <c r="AT577" s="1">
        <v>44296246</v>
      </c>
      <c r="AU577" s="1">
        <v>12758862</v>
      </c>
      <c r="AV577" s="1">
        <v>1913829</v>
      </c>
      <c r="AW577" s="1">
        <f t="shared" si="56"/>
        <v>82137853</v>
      </c>
    </row>
    <row r="578" spans="1:49" x14ac:dyDescent="0.2">
      <c r="A578" s="1" t="str">
        <f>"00669"</f>
        <v>00669</v>
      </c>
      <c r="B578" s="1" t="str">
        <f>"وحيد"</f>
        <v>وحيد</v>
      </c>
      <c r="C578" s="1" t="str">
        <f>"صالحي"</f>
        <v>صالحي</v>
      </c>
      <c r="D578" s="1" t="str">
        <f>"قراردادي کارگري"</f>
        <v>قراردادي کارگري</v>
      </c>
      <c r="E578" s="1" t="str">
        <f t="shared" si="61"/>
        <v>پروژه تعميرات نيروگاه بوشهر</v>
      </c>
      <c r="F578" s="1">
        <v>0</v>
      </c>
      <c r="G578" s="1">
        <v>5184258</v>
      </c>
      <c r="H578" s="1">
        <v>2695814</v>
      </c>
      <c r="I578" s="1">
        <v>0</v>
      </c>
      <c r="J578" s="1">
        <v>0</v>
      </c>
      <c r="K578" s="1">
        <v>5910054</v>
      </c>
      <c r="L578" s="1">
        <v>0</v>
      </c>
      <c r="M578" s="1">
        <v>0</v>
      </c>
      <c r="N578" s="1">
        <v>11521166</v>
      </c>
      <c r="O578" s="1">
        <v>2000000</v>
      </c>
      <c r="P578" s="1">
        <v>4147406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2640000</v>
      </c>
      <c r="W578" s="1">
        <v>0</v>
      </c>
      <c r="X578" s="1">
        <v>11410784</v>
      </c>
      <c r="Y578" s="1">
        <v>4000000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3670854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53180336</v>
      </c>
      <c r="AS578" s="1">
        <v>21293825</v>
      </c>
      <c r="AT578" s="1">
        <v>31886511</v>
      </c>
      <c r="AU578" s="1">
        <v>9901896</v>
      </c>
      <c r="AV578" s="1">
        <v>1485284</v>
      </c>
      <c r="AW578" s="1">
        <f t="shared" si="56"/>
        <v>64567516</v>
      </c>
    </row>
    <row r="579" spans="1:49" x14ac:dyDescent="0.2">
      <c r="A579" s="1" t="str">
        <f>"00670"</f>
        <v>00670</v>
      </c>
      <c r="B579" s="1" t="str">
        <f>"احمد"</f>
        <v>احمد</v>
      </c>
      <c r="C579" s="1" t="str">
        <f>"صفا"</f>
        <v>صفا</v>
      </c>
      <c r="D579" s="1" t="str">
        <f>"قراردادي بهره بردار"</f>
        <v>قراردادي بهره بردار</v>
      </c>
      <c r="E579" s="1" t="str">
        <f t="shared" si="61"/>
        <v>پروژه تعميرات نيروگاه بوشهر</v>
      </c>
      <c r="F579" s="1">
        <v>15070253</v>
      </c>
      <c r="G579" s="1">
        <v>0</v>
      </c>
      <c r="H579" s="1">
        <v>0</v>
      </c>
      <c r="I579" s="1">
        <v>0</v>
      </c>
      <c r="J579" s="1">
        <v>0</v>
      </c>
      <c r="K579" s="1">
        <v>11338559</v>
      </c>
      <c r="L579" s="1">
        <v>0</v>
      </c>
      <c r="M579" s="1">
        <v>4620000</v>
      </c>
      <c r="N579" s="1">
        <v>0</v>
      </c>
      <c r="O579" s="1">
        <v>1000000</v>
      </c>
      <c r="P579" s="1">
        <v>2651402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1848000</v>
      </c>
      <c r="W579" s="1">
        <v>0</v>
      </c>
      <c r="X579" s="1">
        <v>4035395</v>
      </c>
      <c r="Y579" s="1">
        <v>4000000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2083244</v>
      </c>
      <c r="AH579" s="1">
        <v>1835427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9210490</v>
      </c>
      <c r="AO579" s="1">
        <v>0</v>
      </c>
      <c r="AP579" s="1">
        <v>0</v>
      </c>
      <c r="AQ579" s="1">
        <v>0</v>
      </c>
      <c r="AR579" s="1">
        <v>57692770</v>
      </c>
      <c r="AS579" s="1">
        <v>16708293</v>
      </c>
      <c r="AT579" s="1">
        <v>40984477</v>
      </c>
      <c r="AU579" s="1">
        <v>11171469</v>
      </c>
      <c r="AV579" s="1">
        <v>1675720</v>
      </c>
      <c r="AW579" s="1">
        <f t="shared" ref="AW579:AW642" si="62">AR579+AU579+AV579</f>
        <v>70539959</v>
      </c>
    </row>
    <row r="580" spans="1:49" x14ac:dyDescent="0.2">
      <c r="A580" s="1" t="str">
        <f>"00671"</f>
        <v>00671</v>
      </c>
      <c r="B580" s="1" t="str">
        <f>"مهدي"</f>
        <v>مهدي</v>
      </c>
      <c r="C580" s="1" t="str">
        <f>"طاهري نيا"</f>
        <v>طاهري نيا</v>
      </c>
      <c r="D580" s="1" t="str">
        <f>"قراردادي کارگري"</f>
        <v>قراردادي کارگري</v>
      </c>
      <c r="E580" s="1" t="str">
        <f t="shared" si="61"/>
        <v>پروژه تعميرات نيروگاه بوشهر</v>
      </c>
      <c r="F580" s="1">
        <v>0</v>
      </c>
      <c r="G580" s="1">
        <v>6269771</v>
      </c>
      <c r="H580" s="1">
        <v>3134885</v>
      </c>
      <c r="I580" s="1">
        <v>1455610</v>
      </c>
      <c r="J580" s="1">
        <v>0</v>
      </c>
      <c r="K580" s="1">
        <v>6677306</v>
      </c>
      <c r="L580" s="1">
        <v>0</v>
      </c>
      <c r="M580" s="1">
        <v>0</v>
      </c>
      <c r="N580" s="1">
        <v>11521166</v>
      </c>
      <c r="O580" s="1">
        <v>2000000</v>
      </c>
      <c r="P580" s="1">
        <v>5015817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8637215</v>
      </c>
      <c r="Y580" s="1">
        <v>4000000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4892842</v>
      </c>
      <c r="AG580" s="1">
        <v>0</v>
      </c>
      <c r="AH580" s="1">
        <v>1835427</v>
      </c>
      <c r="AI580" s="1">
        <v>0</v>
      </c>
      <c r="AJ580" s="1">
        <v>0</v>
      </c>
      <c r="AK580" s="1">
        <v>0</v>
      </c>
      <c r="AL580" s="1">
        <v>3726363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59166402</v>
      </c>
      <c r="AS580" s="1">
        <v>8177292</v>
      </c>
      <c r="AT580" s="1">
        <v>50989110</v>
      </c>
      <c r="AU580" s="1">
        <v>11466195</v>
      </c>
      <c r="AV580" s="1">
        <v>1719929</v>
      </c>
      <c r="AW580" s="1">
        <f t="shared" si="62"/>
        <v>72352526</v>
      </c>
    </row>
    <row r="581" spans="1:49" x14ac:dyDescent="0.2">
      <c r="A581" s="1" t="str">
        <f>"00672"</f>
        <v>00672</v>
      </c>
      <c r="B581" s="1" t="str">
        <f>"محسن"</f>
        <v>محسن</v>
      </c>
      <c r="C581" s="1" t="str">
        <f>"عباس پور بحراني"</f>
        <v>عباس پور بحراني</v>
      </c>
      <c r="D581" s="1" t="str">
        <f>"قراردادي بهره بردار"</f>
        <v>قراردادي بهره بردار</v>
      </c>
      <c r="E581" s="1" t="str">
        <f t="shared" si="61"/>
        <v>پروژه تعميرات نيروگاه بوشهر</v>
      </c>
      <c r="F581" s="1">
        <v>17012608</v>
      </c>
      <c r="G581" s="1">
        <v>0</v>
      </c>
      <c r="H581" s="1">
        <v>0</v>
      </c>
      <c r="I581" s="1">
        <v>0</v>
      </c>
      <c r="J581" s="1">
        <v>0</v>
      </c>
      <c r="K581" s="1">
        <v>15265138</v>
      </c>
      <c r="L581" s="1">
        <v>0</v>
      </c>
      <c r="M581" s="1">
        <v>3465000</v>
      </c>
      <c r="N581" s="1">
        <v>0</v>
      </c>
      <c r="O581" s="1">
        <v>1000000</v>
      </c>
      <c r="P581" s="1">
        <v>3331226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1848000</v>
      </c>
      <c r="W581" s="1">
        <v>0</v>
      </c>
      <c r="X581" s="1">
        <v>14185528</v>
      </c>
      <c r="Y581" s="1">
        <v>4000000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2617392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10689248</v>
      </c>
      <c r="AO581" s="1">
        <v>0</v>
      </c>
      <c r="AP581" s="1">
        <v>0</v>
      </c>
      <c r="AQ581" s="1">
        <v>0</v>
      </c>
      <c r="AR581" s="1">
        <v>73414140</v>
      </c>
      <c r="AS581" s="1">
        <v>28555767</v>
      </c>
      <c r="AT581" s="1">
        <v>44858373</v>
      </c>
      <c r="AU581" s="1">
        <v>14682828</v>
      </c>
      <c r="AV581" s="1">
        <v>2202424</v>
      </c>
      <c r="AW581" s="1">
        <f t="shared" si="62"/>
        <v>90299392</v>
      </c>
    </row>
    <row r="582" spans="1:49" x14ac:dyDescent="0.2">
      <c r="A582" s="1" t="str">
        <f>"00674"</f>
        <v>00674</v>
      </c>
      <c r="B582" s="1" t="str">
        <f>"علي"</f>
        <v>علي</v>
      </c>
      <c r="C582" s="1" t="str">
        <f>"عدالت پور"</f>
        <v>عدالت پور</v>
      </c>
      <c r="D582" s="1" t="str">
        <f>"قراردادي کارگري"</f>
        <v>قراردادي کارگري</v>
      </c>
      <c r="E582" s="1" t="str">
        <f t="shared" si="61"/>
        <v>پروژه تعميرات نيروگاه بوشهر</v>
      </c>
      <c r="F582" s="1">
        <v>0</v>
      </c>
      <c r="G582" s="1">
        <v>5207653</v>
      </c>
      <c r="H582" s="1">
        <v>2707979</v>
      </c>
      <c r="I582" s="1">
        <v>3469770</v>
      </c>
      <c r="J582" s="1">
        <v>0</v>
      </c>
      <c r="K582" s="1">
        <v>5936724</v>
      </c>
      <c r="L582" s="1">
        <v>0</v>
      </c>
      <c r="M582" s="1">
        <v>0</v>
      </c>
      <c r="N582" s="1">
        <v>11521166</v>
      </c>
      <c r="O582" s="1">
        <v>2000000</v>
      </c>
      <c r="P582" s="1">
        <v>4166122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2640000</v>
      </c>
      <c r="W582" s="1">
        <v>0</v>
      </c>
      <c r="X582" s="1">
        <v>11436686</v>
      </c>
      <c r="Y582" s="1">
        <v>4000000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53086100</v>
      </c>
      <c r="AS582" s="1">
        <v>9971434</v>
      </c>
      <c r="AT582" s="1">
        <v>43114666</v>
      </c>
      <c r="AU582" s="1">
        <v>10617220</v>
      </c>
      <c r="AV582" s="1">
        <v>1592583</v>
      </c>
      <c r="AW582" s="1">
        <f t="shared" si="62"/>
        <v>65295903</v>
      </c>
    </row>
    <row r="583" spans="1:49" x14ac:dyDescent="0.2">
      <c r="A583" s="1" t="str">
        <f>"00675"</f>
        <v>00675</v>
      </c>
      <c r="B583" s="1" t="str">
        <f>"قاسم"</f>
        <v>قاسم</v>
      </c>
      <c r="C583" s="1" t="str">
        <f>"علوي"</f>
        <v>علوي</v>
      </c>
      <c r="D583" s="1" t="str">
        <f>"قراردادي کارگري"</f>
        <v>قراردادي کارگري</v>
      </c>
      <c r="E583" s="1" t="str">
        <f t="shared" si="61"/>
        <v>پروژه تعميرات نيروگاه بوشهر</v>
      </c>
      <c r="F583" s="1">
        <v>0</v>
      </c>
      <c r="G583" s="1">
        <v>5123432</v>
      </c>
      <c r="H583" s="1">
        <v>2664184</v>
      </c>
      <c r="I583" s="1">
        <v>1432166</v>
      </c>
      <c r="J583" s="1">
        <v>0</v>
      </c>
      <c r="K583" s="1">
        <v>5840712</v>
      </c>
      <c r="L583" s="1">
        <v>0</v>
      </c>
      <c r="M583" s="1">
        <v>0</v>
      </c>
      <c r="N583" s="1">
        <v>11521166</v>
      </c>
      <c r="O583" s="1">
        <v>2000000</v>
      </c>
      <c r="P583" s="1">
        <v>4098746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2640000</v>
      </c>
      <c r="W583" s="1">
        <v>0</v>
      </c>
      <c r="X583" s="1">
        <v>11343437</v>
      </c>
      <c r="Y583" s="1">
        <v>4000000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1835427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52499270</v>
      </c>
      <c r="AS583" s="1">
        <v>6786549</v>
      </c>
      <c r="AT583" s="1">
        <v>45712721</v>
      </c>
      <c r="AU583" s="1">
        <v>10132769</v>
      </c>
      <c r="AV583" s="1">
        <v>1519915</v>
      </c>
      <c r="AW583" s="1">
        <f t="shared" si="62"/>
        <v>64151954</v>
      </c>
    </row>
    <row r="584" spans="1:49" x14ac:dyDescent="0.2">
      <c r="A584" s="1" t="str">
        <f>"00676"</f>
        <v>00676</v>
      </c>
      <c r="B584" s="1" t="str">
        <f>"ياسين"</f>
        <v>ياسين</v>
      </c>
      <c r="C584" s="1" t="str">
        <f>"علوي راد"</f>
        <v>علوي راد</v>
      </c>
      <c r="D584" s="1" t="str">
        <f>"قراردادي کارگري"</f>
        <v>قراردادي کارگري</v>
      </c>
      <c r="E584" s="1" t="str">
        <f t="shared" si="61"/>
        <v>پروژه تعميرات نيروگاه بوشهر</v>
      </c>
      <c r="F584" s="1">
        <v>0</v>
      </c>
      <c r="G584" s="1">
        <v>5062606</v>
      </c>
      <c r="H584" s="1">
        <v>2632555</v>
      </c>
      <c r="I584" s="1">
        <v>3413675</v>
      </c>
      <c r="J584" s="1">
        <v>0</v>
      </c>
      <c r="K584" s="1">
        <v>5771370</v>
      </c>
      <c r="L584" s="1">
        <v>0</v>
      </c>
      <c r="M584" s="1">
        <v>0</v>
      </c>
      <c r="N584" s="1">
        <v>11521166</v>
      </c>
      <c r="O584" s="1">
        <v>2000000</v>
      </c>
      <c r="P584" s="1">
        <v>4050085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2640000</v>
      </c>
      <c r="W584" s="1">
        <v>0</v>
      </c>
      <c r="X584" s="1">
        <v>11276090</v>
      </c>
      <c r="Y584" s="1">
        <v>4000000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52367547</v>
      </c>
      <c r="AS584" s="1">
        <v>10964274</v>
      </c>
      <c r="AT584" s="1">
        <v>41403273</v>
      </c>
      <c r="AU584" s="1">
        <v>10473509</v>
      </c>
      <c r="AV584" s="1">
        <v>1571026</v>
      </c>
      <c r="AW584" s="1">
        <f t="shared" si="62"/>
        <v>64412082</v>
      </c>
    </row>
    <row r="585" spans="1:49" x14ac:dyDescent="0.2">
      <c r="A585" s="1" t="str">
        <f>"00677"</f>
        <v>00677</v>
      </c>
      <c r="B585" s="1" t="str">
        <f>"رضا"</f>
        <v>رضا</v>
      </c>
      <c r="C585" s="1" t="str">
        <f>"ابراهيمي"</f>
        <v>ابراهيمي</v>
      </c>
      <c r="D585" s="1" t="str">
        <f>"قراردادي کارگري"</f>
        <v>قراردادي کارگري</v>
      </c>
      <c r="E585" s="1" t="str">
        <f t="shared" si="61"/>
        <v>پروژه تعميرات نيروگاه بوشهر</v>
      </c>
      <c r="F585" s="1">
        <v>0</v>
      </c>
      <c r="G585" s="1">
        <v>7134636</v>
      </c>
      <c r="H585" s="1">
        <v>3638664</v>
      </c>
      <c r="I585" s="1">
        <v>3553422</v>
      </c>
      <c r="J585" s="1">
        <v>0</v>
      </c>
      <c r="K585" s="1">
        <v>8834106</v>
      </c>
      <c r="L585" s="1">
        <v>0</v>
      </c>
      <c r="M585" s="1">
        <v>0</v>
      </c>
      <c r="N585" s="1">
        <v>11331151</v>
      </c>
      <c r="O585" s="1">
        <v>2000000</v>
      </c>
      <c r="P585" s="1">
        <v>5707710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2640000</v>
      </c>
      <c r="W585" s="1">
        <v>0</v>
      </c>
      <c r="X585" s="1">
        <v>13710805</v>
      </c>
      <c r="Y585" s="1">
        <v>4000000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62550494</v>
      </c>
      <c r="AS585" s="1">
        <v>11726640</v>
      </c>
      <c r="AT585" s="1">
        <v>50823854</v>
      </c>
      <c r="AU585" s="1">
        <v>12510099</v>
      </c>
      <c r="AV585" s="1">
        <v>1876515</v>
      </c>
      <c r="AW585" s="1">
        <f t="shared" si="62"/>
        <v>76937108</v>
      </c>
    </row>
    <row r="586" spans="1:49" x14ac:dyDescent="0.2">
      <c r="A586" s="1" t="str">
        <f>"00680"</f>
        <v>00680</v>
      </c>
      <c r="B586" s="1" t="str">
        <f>"سجاد"</f>
        <v>سجاد</v>
      </c>
      <c r="C586" s="1" t="str">
        <f>"ارمي"</f>
        <v>ارمي</v>
      </c>
      <c r="D586" s="1" t="str">
        <f>"قراردادي کارگري"</f>
        <v>قراردادي کارگري</v>
      </c>
      <c r="E586" s="1" t="str">
        <f t="shared" si="61"/>
        <v>پروژه تعميرات نيروگاه بوشهر</v>
      </c>
      <c r="F586" s="1">
        <v>0</v>
      </c>
      <c r="G586" s="1">
        <v>5427563</v>
      </c>
      <c r="H586" s="1">
        <v>2822333</v>
      </c>
      <c r="I586" s="1">
        <v>1154202</v>
      </c>
      <c r="J586" s="1">
        <v>0</v>
      </c>
      <c r="K586" s="1">
        <v>5362432</v>
      </c>
      <c r="L586" s="1">
        <v>0</v>
      </c>
      <c r="M586" s="1">
        <v>0</v>
      </c>
      <c r="N586" s="1">
        <v>11521166</v>
      </c>
      <c r="O586" s="1">
        <v>2000000</v>
      </c>
      <c r="P586" s="1">
        <v>4342050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2640000</v>
      </c>
      <c r="W586" s="1">
        <v>0</v>
      </c>
      <c r="X586" s="1">
        <v>11416174</v>
      </c>
      <c r="Y586" s="1">
        <v>4000000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50685920</v>
      </c>
      <c r="AS586" s="1">
        <v>15285029</v>
      </c>
      <c r="AT586" s="1">
        <v>35400891</v>
      </c>
      <c r="AU586" s="1">
        <v>10137184</v>
      </c>
      <c r="AV586" s="1">
        <v>1520578</v>
      </c>
      <c r="AW586" s="1">
        <f t="shared" si="62"/>
        <v>62343682</v>
      </c>
    </row>
    <row r="587" spans="1:49" x14ac:dyDescent="0.2">
      <c r="A587" s="1" t="str">
        <f>"00681"</f>
        <v>00681</v>
      </c>
      <c r="B587" s="1" t="str">
        <f>"علي"</f>
        <v>علي</v>
      </c>
      <c r="C587" s="1" t="str">
        <f>"اسمعيلي"</f>
        <v>اسمعيلي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16140942</v>
      </c>
      <c r="G587" s="1">
        <v>0</v>
      </c>
      <c r="H587" s="1">
        <v>0</v>
      </c>
      <c r="I587" s="1">
        <v>5259967</v>
      </c>
      <c r="J587" s="1">
        <v>0</v>
      </c>
      <c r="K587" s="1">
        <v>12490408</v>
      </c>
      <c r="L587" s="1">
        <v>0</v>
      </c>
      <c r="M587" s="1">
        <v>4620000</v>
      </c>
      <c r="N587" s="1">
        <v>0</v>
      </c>
      <c r="O587" s="1">
        <v>1000000</v>
      </c>
      <c r="P587" s="1">
        <v>3026144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1848000</v>
      </c>
      <c r="W587" s="1">
        <v>0</v>
      </c>
      <c r="X587" s="1">
        <v>4840341</v>
      </c>
      <c r="Y587" s="1">
        <v>4000000</v>
      </c>
      <c r="Z587" s="1">
        <v>2343040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2377683</v>
      </c>
      <c r="AH587" s="1">
        <v>1835427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14368234</v>
      </c>
      <c r="AO587" s="1">
        <v>0</v>
      </c>
      <c r="AP587" s="1">
        <v>0</v>
      </c>
      <c r="AQ587" s="1">
        <v>0</v>
      </c>
      <c r="AR587" s="1">
        <v>74150186</v>
      </c>
      <c r="AS587" s="1">
        <v>27389634</v>
      </c>
      <c r="AT587" s="1">
        <v>46760552</v>
      </c>
      <c r="AU587" s="1">
        <v>14462952</v>
      </c>
      <c r="AV587" s="1">
        <v>2169443</v>
      </c>
      <c r="AW587" s="1">
        <f t="shared" si="62"/>
        <v>90782581</v>
      </c>
    </row>
    <row r="588" spans="1:49" x14ac:dyDescent="0.2">
      <c r="A588" s="1" t="str">
        <f>"00682"</f>
        <v>00682</v>
      </c>
      <c r="B588" s="1" t="str">
        <f>"محمد"</f>
        <v>محمد</v>
      </c>
      <c r="C588" s="1" t="str">
        <f>"افتخار"</f>
        <v>افتخار</v>
      </c>
      <c r="D588" s="1" t="str">
        <f>"قراردادي کارگري"</f>
        <v>قراردادي کارگري</v>
      </c>
      <c r="E588" s="1" t="str">
        <f t="shared" ref="E588:E601" si="63">"پروژه تعميرات نيروگاه بوشهر"</f>
        <v>پروژه تعميرات نيروگاه بوشهر</v>
      </c>
      <c r="F588" s="1">
        <v>0</v>
      </c>
      <c r="G588" s="1">
        <v>6171513</v>
      </c>
      <c r="H588" s="1">
        <v>3209187</v>
      </c>
      <c r="I588" s="1">
        <v>2198662</v>
      </c>
      <c r="J588" s="1">
        <v>0</v>
      </c>
      <c r="K588" s="1">
        <v>6378876</v>
      </c>
      <c r="L588" s="1">
        <v>0</v>
      </c>
      <c r="M588" s="1">
        <v>0</v>
      </c>
      <c r="N588" s="1">
        <v>11521166</v>
      </c>
      <c r="O588" s="1">
        <v>2000000</v>
      </c>
      <c r="P588" s="1">
        <v>4937211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2640000</v>
      </c>
      <c r="W588" s="1">
        <v>0</v>
      </c>
      <c r="X588" s="1">
        <v>12293744</v>
      </c>
      <c r="Y588" s="1">
        <v>4000000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3670854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59021213</v>
      </c>
      <c r="AS588" s="1">
        <v>11908440</v>
      </c>
      <c r="AT588" s="1">
        <v>47112773</v>
      </c>
      <c r="AU588" s="1">
        <v>11070072</v>
      </c>
      <c r="AV588" s="1">
        <v>1660511</v>
      </c>
      <c r="AW588" s="1">
        <f t="shared" si="62"/>
        <v>71751796</v>
      </c>
    </row>
    <row r="589" spans="1:49" x14ac:dyDescent="0.2">
      <c r="A589" s="1" t="str">
        <f>"00684"</f>
        <v>00684</v>
      </c>
      <c r="B589" s="1" t="str">
        <f>"مسعود"</f>
        <v>مسعود</v>
      </c>
      <c r="C589" s="1" t="str">
        <f>"اميني"</f>
        <v>اميني</v>
      </c>
      <c r="D589" s="1" t="str">
        <f>"قراردادي بهره بردار"</f>
        <v>قراردادي بهره بردار</v>
      </c>
      <c r="E589" s="1" t="str">
        <f t="shared" si="63"/>
        <v>پروژه تعميرات نيروگاه بوشهر</v>
      </c>
      <c r="F589" s="1">
        <v>13654425</v>
      </c>
      <c r="G589" s="1">
        <v>0</v>
      </c>
      <c r="H589" s="1">
        <v>0</v>
      </c>
      <c r="I589" s="1">
        <v>0</v>
      </c>
      <c r="J589" s="1">
        <v>0</v>
      </c>
      <c r="K589" s="1">
        <v>12442704</v>
      </c>
      <c r="L589" s="1">
        <v>0</v>
      </c>
      <c r="M589" s="1">
        <v>4620000</v>
      </c>
      <c r="N589" s="1">
        <v>0</v>
      </c>
      <c r="O589" s="1">
        <v>1000000</v>
      </c>
      <c r="P589" s="1">
        <v>2451246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1848000</v>
      </c>
      <c r="W589" s="1">
        <v>0</v>
      </c>
      <c r="X589" s="1">
        <v>3313570</v>
      </c>
      <c r="Y589" s="1">
        <v>4000000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1925979</v>
      </c>
      <c r="AH589" s="1">
        <v>1835427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2661353</v>
      </c>
      <c r="AO589" s="1">
        <v>0</v>
      </c>
      <c r="AP589" s="1">
        <v>0</v>
      </c>
      <c r="AQ589" s="1">
        <v>0</v>
      </c>
      <c r="AR589" s="1">
        <v>49752704</v>
      </c>
      <c r="AS589" s="1">
        <v>9389796</v>
      </c>
      <c r="AT589" s="1">
        <v>40362908</v>
      </c>
      <c r="AU589" s="1">
        <v>9583455</v>
      </c>
      <c r="AV589" s="1">
        <v>1437518</v>
      </c>
      <c r="AW589" s="1">
        <f t="shared" si="62"/>
        <v>60773677</v>
      </c>
    </row>
    <row r="590" spans="1:49" x14ac:dyDescent="0.2">
      <c r="A590" s="1" t="str">
        <f>"00685"</f>
        <v>00685</v>
      </c>
      <c r="B590" s="1" t="str">
        <f>"مهران"</f>
        <v>مهران</v>
      </c>
      <c r="C590" s="1" t="str">
        <f>"اميني"</f>
        <v>اميني</v>
      </c>
      <c r="D590" s="1" t="str">
        <f t="shared" ref="D590:D601" si="64">"قراردادي کارگري"</f>
        <v>قراردادي کارگري</v>
      </c>
      <c r="E590" s="1" t="str">
        <f t="shared" si="63"/>
        <v>پروژه تعميرات نيروگاه بوشهر</v>
      </c>
      <c r="F590" s="1">
        <v>0</v>
      </c>
      <c r="G590" s="1">
        <v>8245725</v>
      </c>
      <c r="H590" s="1">
        <v>4122863</v>
      </c>
      <c r="I590" s="1">
        <v>0</v>
      </c>
      <c r="J590" s="1">
        <v>0</v>
      </c>
      <c r="K590" s="1">
        <v>10265928</v>
      </c>
      <c r="L590" s="1">
        <v>0</v>
      </c>
      <c r="M590" s="1">
        <v>0</v>
      </c>
      <c r="N590" s="1">
        <v>11331151</v>
      </c>
      <c r="O590" s="1">
        <v>2000000</v>
      </c>
      <c r="P590" s="1">
        <v>6596581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2640000</v>
      </c>
      <c r="W590" s="1">
        <v>0</v>
      </c>
      <c r="X590" s="1">
        <v>16132976</v>
      </c>
      <c r="Y590" s="1">
        <v>4000000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1835427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67170651</v>
      </c>
      <c r="AS590" s="1">
        <v>13793971</v>
      </c>
      <c r="AT590" s="1">
        <v>53376680</v>
      </c>
      <c r="AU590" s="1">
        <v>13067045</v>
      </c>
      <c r="AV590" s="1">
        <v>1960057</v>
      </c>
      <c r="AW590" s="1">
        <f t="shared" si="62"/>
        <v>82197753</v>
      </c>
    </row>
    <row r="591" spans="1:49" x14ac:dyDescent="0.2">
      <c r="A591" s="1" t="str">
        <f>"00686"</f>
        <v>00686</v>
      </c>
      <c r="B591" s="1" t="str">
        <f>"مهدي"</f>
        <v>مهدي</v>
      </c>
      <c r="C591" s="1" t="str">
        <f>"باغباني"</f>
        <v>باغباني</v>
      </c>
      <c r="D591" s="1" t="str">
        <f t="shared" si="64"/>
        <v>قراردادي کارگري</v>
      </c>
      <c r="E591" s="1" t="str">
        <f t="shared" si="63"/>
        <v>پروژه تعميرات نيروگاه بوشهر</v>
      </c>
      <c r="F591" s="1">
        <v>0</v>
      </c>
      <c r="G591" s="1">
        <v>6747022</v>
      </c>
      <c r="H591" s="1">
        <v>3373511</v>
      </c>
      <c r="I591" s="1">
        <v>0</v>
      </c>
      <c r="J591" s="1">
        <v>0</v>
      </c>
      <c r="K591" s="1">
        <v>6983167</v>
      </c>
      <c r="L591" s="1">
        <v>0</v>
      </c>
      <c r="M591" s="1">
        <v>0</v>
      </c>
      <c r="N591" s="1">
        <v>11521166</v>
      </c>
      <c r="O591" s="1">
        <v>2000000</v>
      </c>
      <c r="P591" s="1">
        <v>5397618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2640000</v>
      </c>
      <c r="W591" s="1">
        <v>0</v>
      </c>
      <c r="X591" s="1">
        <v>13876757</v>
      </c>
      <c r="Y591" s="1">
        <v>4000000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3670854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60210095</v>
      </c>
      <c r="AS591" s="1">
        <v>10968141</v>
      </c>
      <c r="AT591" s="1">
        <v>49241954</v>
      </c>
      <c r="AU591" s="1">
        <v>11307848</v>
      </c>
      <c r="AV591" s="1">
        <v>1696177</v>
      </c>
      <c r="AW591" s="1">
        <f t="shared" si="62"/>
        <v>73214120</v>
      </c>
    </row>
    <row r="592" spans="1:49" x14ac:dyDescent="0.2">
      <c r="A592" s="1" t="str">
        <f>"00687"</f>
        <v>00687</v>
      </c>
      <c r="B592" s="1" t="str">
        <f>"احسان"</f>
        <v>احسان</v>
      </c>
      <c r="C592" s="1" t="str">
        <f>"بختياري فرد"</f>
        <v>بختياري فرد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0</v>
      </c>
      <c r="G592" s="1">
        <v>6901427</v>
      </c>
      <c r="H592" s="1">
        <v>3519728</v>
      </c>
      <c r="I592" s="1">
        <v>0</v>
      </c>
      <c r="J592" s="1">
        <v>0</v>
      </c>
      <c r="K592" s="1">
        <v>7503231</v>
      </c>
      <c r="L592" s="1">
        <v>0</v>
      </c>
      <c r="M592" s="1">
        <v>0</v>
      </c>
      <c r="N592" s="1">
        <v>11545706</v>
      </c>
      <c r="O592" s="1">
        <v>2000000</v>
      </c>
      <c r="P592" s="1">
        <v>5521141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2640000</v>
      </c>
      <c r="W592" s="1">
        <v>0</v>
      </c>
      <c r="X592" s="1">
        <v>9473983</v>
      </c>
      <c r="Y592" s="1">
        <v>4000000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3670854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56776070</v>
      </c>
      <c r="AS592" s="1">
        <v>6321903</v>
      </c>
      <c r="AT592" s="1">
        <v>50454167</v>
      </c>
      <c r="AU592" s="1">
        <v>10621043</v>
      </c>
      <c r="AV592" s="1">
        <v>1593156</v>
      </c>
      <c r="AW592" s="1">
        <f t="shared" si="62"/>
        <v>68990269</v>
      </c>
    </row>
    <row r="593" spans="1:49" x14ac:dyDescent="0.2">
      <c r="A593" s="1" t="str">
        <f>"00688"</f>
        <v>00688</v>
      </c>
      <c r="B593" s="1" t="str">
        <f>"محمد"</f>
        <v>محمد</v>
      </c>
      <c r="C593" s="1" t="str">
        <f>"برگهي"</f>
        <v>برگهي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0</v>
      </c>
      <c r="G593" s="1">
        <v>5043890</v>
      </c>
      <c r="H593" s="1">
        <v>2622823</v>
      </c>
      <c r="I593" s="1">
        <v>2874860</v>
      </c>
      <c r="J593" s="1">
        <v>0</v>
      </c>
      <c r="K593" s="1">
        <v>5443366</v>
      </c>
      <c r="L593" s="1">
        <v>0</v>
      </c>
      <c r="M593" s="1">
        <v>0</v>
      </c>
      <c r="N593" s="1">
        <v>11555082</v>
      </c>
      <c r="O593" s="1">
        <v>2000000</v>
      </c>
      <c r="P593" s="1">
        <v>4035112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12040594</v>
      </c>
      <c r="Y593" s="1">
        <v>4000000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4305041</v>
      </c>
      <c r="AG593" s="1">
        <v>0</v>
      </c>
      <c r="AH593" s="1">
        <v>3670854</v>
      </c>
      <c r="AI593" s="1">
        <v>0</v>
      </c>
      <c r="AJ593" s="1">
        <v>0</v>
      </c>
      <c r="AK593" s="1">
        <v>0</v>
      </c>
      <c r="AL593" s="1">
        <v>5519730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63111352</v>
      </c>
      <c r="AS593" s="1">
        <v>16986648</v>
      </c>
      <c r="AT593" s="1">
        <v>46124704</v>
      </c>
      <c r="AU593" s="1">
        <v>11888100</v>
      </c>
      <c r="AV593" s="1">
        <v>1783215</v>
      </c>
      <c r="AW593" s="1">
        <f t="shared" si="62"/>
        <v>76782667</v>
      </c>
    </row>
    <row r="594" spans="1:49" x14ac:dyDescent="0.2">
      <c r="A594" s="1" t="str">
        <f>"00689"</f>
        <v>00689</v>
      </c>
      <c r="B594" s="1" t="str">
        <f>"فرشيد"</f>
        <v>فرشيد</v>
      </c>
      <c r="C594" s="1" t="str">
        <f>"بوشهريان"</f>
        <v>بوشهريان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0</v>
      </c>
      <c r="G594" s="1">
        <v>5890777</v>
      </c>
      <c r="H594" s="1">
        <v>2945389</v>
      </c>
      <c r="I594" s="1">
        <v>2971004</v>
      </c>
      <c r="J594" s="1">
        <v>0</v>
      </c>
      <c r="K594" s="1">
        <v>5566785</v>
      </c>
      <c r="L594" s="1">
        <v>0</v>
      </c>
      <c r="M594" s="1">
        <v>0</v>
      </c>
      <c r="N594" s="1">
        <v>11572430</v>
      </c>
      <c r="O594" s="1">
        <v>2000000</v>
      </c>
      <c r="P594" s="1">
        <v>4418083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2640000</v>
      </c>
      <c r="W594" s="1">
        <v>0</v>
      </c>
      <c r="X594" s="1">
        <v>11709908</v>
      </c>
      <c r="Y594" s="1">
        <v>4000000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5506281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59220657</v>
      </c>
      <c r="AS594" s="1">
        <v>6311671</v>
      </c>
      <c r="AT594" s="1">
        <v>52908986</v>
      </c>
      <c r="AU594" s="1">
        <v>10742875</v>
      </c>
      <c r="AV594" s="1">
        <v>1611431</v>
      </c>
      <c r="AW594" s="1">
        <f t="shared" si="62"/>
        <v>71574963</v>
      </c>
    </row>
    <row r="595" spans="1:49" x14ac:dyDescent="0.2">
      <c r="A595" s="1" t="str">
        <f>"00690"</f>
        <v>00690</v>
      </c>
      <c r="B595" s="1" t="str">
        <f>"بهروز"</f>
        <v>بهروز</v>
      </c>
      <c r="C595" s="1" t="str">
        <f>"پرويز"</f>
        <v>پرويز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0</v>
      </c>
      <c r="G595" s="1">
        <v>5226369</v>
      </c>
      <c r="H595" s="1">
        <v>2717712</v>
      </c>
      <c r="I595" s="1">
        <v>1415455</v>
      </c>
      <c r="J595" s="1">
        <v>0</v>
      </c>
      <c r="K595" s="1">
        <v>5243093</v>
      </c>
      <c r="L595" s="1">
        <v>0</v>
      </c>
      <c r="M595" s="1">
        <v>0</v>
      </c>
      <c r="N595" s="1">
        <v>11521166</v>
      </c>
      <c r="O595" s="1">
        <v>2000000</v>
      </c>
      <c r="P595" s="1">
        <v>4181095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2640000</v>
      </c>
      <c r="W595" s="1">
        <v>0</v>
      </c>
      <c r="X595" s="1">
        <v>11228619</v>
      </c>
      <c r="Y595" s="1">
        <v>4000000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50173509</v>
      </c>
      <c r="AS595" s="1">
        <v>13226996</v>
      </c>
      <c r="AT595" s="1">
        <v>36946513</v>
      </c>
      <c r="AU595" s="1">
        <v>10034702</v>
      </c>
      <c r="AV595" s="1">
        <v>1505205</v>
      </c>
      <c r="AW595" s="1">
        <f t="shared" si="62"/>
        <v>61713416</v>
      </c>
    </row>
    <row r="596" spans="1:49" x14ac:dyDescent="0.2">
      <c r="A596" s="1" t="str">
        <f>"00691"</f>
        <v>00691</v>
      </c>
      <c r="B596" s="1" t="str">
        <f>"محمود"</f>
        <v>محمود</v>
      </c>
      <c r="C596" s="1" t="str">
        <f>"تمجيدي"</f>
        <v>تمجيدي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0</v>
      </c>
      <c r="G596" s="1">
        <v>6414818</v>
      </c>
      <c r="H596" s="1">
        <v>3335705</v>
      </c>
      <c r="I596" s="1">
        <v>0</v>
      </c>
      <c r="J596" s="1">
        <v>0</v>
      </c>
      <c r="K596" s="1">
        <v>6727861</v>
      </c>
      <c r="L596" s="1">
        <v>0</v>
      </c>
      <c r="M596" s="1">
        <v>0</v>
      </c>
      <c r="N596" s="1">
        <v>11521166</v>
      </c>
      <c r="O596" s="1">
        <v>2000000</v>
      </c>
      <c r="P596" s="1">
        <v>5131854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2640000</v>
      </c>
      <c r="W596" s="1">
        <v>0</v>
      </c>
      <c r="X596" s="1">
        <v>13569334</v>
      </c>
      <c r="Y596" s="1">
        <v>4000000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3670854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59011592</v>
      </c>
      <c r="AS596" s="1">
        <v>5723626</v>
      </c>
      <c r="AT596" s="1">
        <v>53287966</v>
      </c>
      <c r="AU596" s="1">
        <v>11068148</v>
      </c>
      <c r="AV596" s="1">
        <v>1660222</v>
      </c>
      <c r="AW596" s="1">
        <f t="shared" si="62"/>
        <v>71739962</v>
      </c>
    </row>
    <row r="597" spans="1:49" x14ac:dyDescent="0.2">
      <c r="A597" s="1" t="str">
        <f>"00692"</f>
        <v>00692</v>
      </c>
      <c r="B597" s="1" t="str">
        <f>"محمد"</f>
        <v>محمد</v>
      </c>
      <c r="C597" s="1" t="str">
        <f>"تيموري"</f>
        <v>تيموري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0</v>
      </c>
      <c r="G597" s="1">
        <v>7504999</v>
      </c>
      <c r="H597" s="1">
        <v>3752499</v>
      </c>
      <c r="I597" s="1">
        <v>0</v>
      </c>
      <c r="J597" s="1">
        <v>0</v>
      </c>
      <c r="K597" s="1">
        <v>9118574</v>
      </c>
      <c r="L597" s="1">
        <v>0</v>
      </c>
      <c r="M597" s="1">
        <v>0</v>
      </c>
      <c r="N597" s="1">
        <v>11331151</v>
      </c>
      <c r="O597" s="1">
        <v>2000000</v>
      </c>
      <c r="P597" s="1">
        <v>6003999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2640000</v>
      </c>
      <c r="W597" s="1">
        <v>0</v>
      </c>
      <c r="X597" s="1">
        <v>9880024</v>
      </c>
      <c r="Y597" s="1">
        <v>4000000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3670854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59902100</v>
      </c>
      <c r="AS597" s="1">
        <v>13633699</v>
      </c>
      <c r="AT597" s="1">
        <v>46268401</v>
      </c>
      <c r="AU597" s="1">
        <v>11246249</v>
      </c>
      <c r="AV597" s="1">
        <v>1686937</v>
      </c>
      <c r="AW597" s="1">
        <f t="shared" si="62"/>
        <v>72835286</v>
      </c>
    </row>
    <row r="598" spans="1:49" x14ac:dyDescent="0.2">
      <c r="A598" s="1" t="str">
        <f>"00693"</f>
        <v>00693</v>
      </c>
      <c r="B598" s="1" t="str">
        <f>"قاسم"</f>
        <v>قاسم</v>
      </c>
      <c r="C598" s="1" t="str">
        <f>"جالبوتي"</f>
        <v>جالبوتي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0</v>
      </c>
      <c r="G598" s="1">
        <v>5736372</v>
      </c>
      <c r="H598" s="1">
        <v>2982914</v>
      </c>
      <c r="I598" s="1">
        <v>0</v>
      </c>
      <c r="J598" s="1">
        <v>0</v>
      </c>
      <c r="K598" s="1">
        <v>6277885</v>
      </c>
      <c r="L598" s="1">
        <v>0</v>
      </c>
      <c r="M598" s="1">
        <v>0</v>
      </c>
      <c r="N598" s="1">
        <v>11521166</v>
      </c>
      <c r="O598" s="1">
        <v>2000000</v>
      </c>
      <c r="P598" s="1">
        <v>4589097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2640000</v>
      </c>
      <c r="W598" s="1">
        <v>0</v>
      </c>
      <c r="X598" s="1">
        <v>12871065</v>
      </c>
      <c r="Y598" s="1">
        <v>4000000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3670854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56289353</v>
      </c>
      <c r="AS598" s="1">
        <v>12204339</v>
      </c>
      <c r="AT598" s="1">
        <v>44085014</v>
      </c>
      <c r="AU598" s="1">
        <v>10523700</v>
      </c>
      <c r="AV598" s="1">
        <v>1578555</v>
      </c>
      <c r="AW598" s="1">
        <f t="shared" si="62"/>
        <v>68391608</v>
      </c>
    </row>
    <row r="599" spans="1:49" x14ac:dyDescent="0.2">
      <c r="A599" s="1" t="str">
        <f>"00695"</f>
        <v>00695</v>
      </c>
      <c r="B599" s="1" t="str">
        <f>"جليل"</f>
        <v>جليل</v>
      </c>
      <c r="C599" s="1" t="str">
        <f>"جمالي"</f>
        <v>جمالي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0</v>
      </c>
      <c r="G599" s="1">
        <v>7525574</v>
      </c>
      <c r="H599" s="1">
        <v>3762787</v>
      </c>
      <c r="I599" s="1">
        <v>0</v>
      </c>
      <c r="J599" s="1">
        <v>0</v>
      </c>
      <c r="K599" s="1">
        <v>9030690</v>
      </c>
      <c r="L599" s="1">
        <v>0</v>
      </c>
      <c r="M599" s="1">
        <v>0</v>
      </c>
      <c r="N599" s="1">
        <v>11331151</v>
      </c>
      <c r="O599" s="1">
        <v>2000000</v>
      </c>
      <c r="P599" s="1">
        <v>6020460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2640000</v>
      </c>
      <c r="W599" s="1">
        <v>0</v>
      </c>
      <c r="X599" s="1">
        <v>9651545</v>
      </c>
      <c r="Y599" s="1">
        <v>4000000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1835427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57797634</v>
      </c>
      <c r="AS599" s="1">
        <v>7650183</v>
      </c>
      <c r="AT599" s="1">
        <v>50147451</v>
      </c>
      <c r="AU599" s="1">
        <v>11192441</v>
      </c>
      <c r="AV599" s="1">
        <v>1678866</v>
      </c>
      <c r="AW599" s="1">
        <f t="shared" si="62"/>
        <v>70668941</v>
      </c>
    </row>
    <row r="600" spans="1:49" x14ac:dyDescent="0.2">
      <c r="A600" s="1" t="str">
        <f>"00697"</f>
        <v>00697</v>
      </c>
      <c r="B600" s="1" t="str">
        <f>"افضل"</f>
        <v>افضل</v>
      </c>
      <c r="C600" s="1" t="str">
        <f>"حسن پور"</f>
        <v>حسن پور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0</v>
      </c>
      <c r="G600" s="1">
        <v>7180931</v>
      </c>
      <c r="H600" s="1">
        <v>3590465</v>
      </c>
      <c r="I600" s="1">
        <v>390870</v>
      </c>
      <c r="J600" s="1">
        <v>0</v>
      </c>
      <c r="K600" s="1">
        <v>8724831</v>
      </c>
      <c r="L600" s="1">
        <v>0</v>
      </c>
      <c r="M600" s="1">
        <v>0</v>
      </c>
      <c r="N600" s="1">
        <v>11331151</v>
      </c>
      <c r="O600" s="1">
        <v>2000000</v>
      </c>
      <c r="P600" s="1">
        <v>5744744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18819734</v>
      </c>
      <c r="Y600" s="1">
        <v>4000000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5485818</v>
      </c>
      <c r="AG600" s="1">
        <v>0</v>
      </c>
      <c r="AH600" s="1">
        <v>3670854</v>
      </c>
      <c r="AI600" s="1">
        <v>0</v>
      </c>
      <c r="AJ600" s="1">
        <v>0</v>
      </c>
      <c r="AK600" s="1">
        <v>0</v>
      </c>
      <c r="AL600" s="1">
        <v>5003135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75942533</v>
      </c>
      <c r="AS600" s="1">
        <v>11552169</v>
      </c>
      <c r="AT600" s="1">
        <v>64390364</v>
      </c>
      <c r="AU600" s="1">
        <v>14454336</v>
      </c>
      <c r="AV600" s="1">
        <v>2168150</v>
      </c>
      <c r="AW600" s="1">
        <f t="shared" si="62"/>
        <v>92565019</v>
      </c>
    </row>
    <row r="601" spans="1:49" x14ac:dyDescent="0.2">
      <c r="A601" s="1" t="str">
        <f>"00698"</f>
        <v>00698</v>
      </c>
      <c r="B601" s="1" t="str">
        <f>"سيدعلي"</f>
        <v>سيدعلي</v>
      </c>
      <c r="C601" s="1" t="str">
        <f>"حسيني ملائي"</f>
        <v>حسيني ملائي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0</v>
      </c>
      <c r="G601" s="1">
        <v>7537762</v>
      </c>
      <c r="H601" s="1">
        <v>4221146</v>
      </c>
      <c r="I601" s="1">
        <v>3066436</v>
      </c>
      <c r="J601" s="1">
        <v>0</v>
      </c>
      <c r="K601" s="1">
        <v>8466414</v>
      </c>
      <c r="L601" s="1">
        <v>0</v>
      </c>
      <c r="M601" s="1">
        <v>0</v>
      </c>
      <c r="N601" s="1">
        <v>11521166</v>
      </c>
      <c r="O601" s="1">
        <v>2000000</v>
      </c>
      <c r="P601" s="1">
        <v>6030209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2640000</v>
      </c>
      <c r="W601" s="1">
        <v>0</v>
      </c>
      <c r="X601" s="1">
        <v>14671446</v>
      </c>
      <c r="Y601" s="1">
        <v>4000000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1871573</v>
      </c>
      <c r="AF601" s="1">
        <v>0</v>
      </c>
      <c r="AG601" s="1">
        <v>0</v>
      </c>
      <c r="AH601" s="1">
        <v>3670854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69697006</v>
      </c>
      <c r="AS601" s="1">
        <v>13683334</v>
      </c>
      <c r="AT601" s="1">
        <v>56013672</v>
      </c>
      <c r="AU601" s="1">
        <v>13205230</v>
      </c>
      <c r="AV601" s="1">
        <v>1980785</v>
      </c>
      <c r="AW601" s="1">
        <f t="shared" si="62"/>
        <v>84883021</v>
      </c>
    </row>
    <row r="602" spans="1:49" x14ac:dyDescent="0.2">
      <c r="A602" s="1" t="str">
        <f>"00699"</f>
        <v>00699</v>
      </c>
      <c r="B602" s="1" t="str">
        <f>"حسن"</f>
        <v>حسن</v>
      </c>
      <c r="C602" s="1" t="str">
        <f>"حيدريان"</f>
        <v>حيدريان</v>
      </c>
      <c r="D602" s="1" t="str">
        <f>"قراردادي بهره بردار"</f>
        <v>قراردادي بهره بردار</v>
      </c>
      <c r="E602" s="1" t="str">
        <f>"پروژه بهره برداري نيروگاه بوشهر"</f>
        <v>پروژه بهره برداري نيروگاه بوشهر</v>
      </c>
      <c r="F602" s="1">
        <v>14903982</v>
      </c>
      <c r="G602" s="1">
        <v>0</v>
      </c>
      <c r="H602" s="1">
        <v>0</v>
      </c>
      <c r="I602" s="1">
        <v>2929990</v>
      </c>
      <c r="J602" s="1">
        <v>0</v>
      </c>
      <c r="K602" s="1">
        <v>11175790</v>
      </c>
      <c r="L602" s="1">
        <v>0</v>
      </c>
      <c r="M602" s="1">
        <v>4620000</v>
      </c>
      <c r="N602" s="1">
        <v>0</v>
      </c>
      <c r="O602" s="1">
        <v>1000000</v>
      </c>
      <c r="P602" s="1">
        <v>2593207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9272141</v>
      </c>
      <c r="Y602" s="1">
        <v>4000000</v>
      </c>
      <c r="Z602" s="1">
        <v>2163481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2037519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11920036</v>
      </c>
      <c r="AO602" s="1">
        <v>0</v>
      </c>
      <c r="AP602" s="1">
        <v>0</v>
      </c>
      <c r="AQ602" s="1">
        <v>0</v>
      </c>
      <c r="AR602" s="1">
        <v>66616146</v>
      </c>
      <c r="AS602" s="1">
        <v>10838382</v>
      </c>
      <c r="AT602" s="1">
        <v>55777764</v>
      </c>
      <c r="AU602" s="1">
        <v>13323229</v>
      </c>
      <c r="AV602" s="1">
        <v>1998484</v>
      </c>
      <c r="AW602" s="1">
        <f t="shared" si="62"/>
        <v>81937859</v>
      </c>
    </row>
    <row r="603" spans="1:49" x14ac:dyDescent="0.2">
      <c r="A603" s="1" t="str">
        <f>"00700"</f>
        <v>00700</v>
      </c>
      <c r="B603" s="1" t="str">
        <f>"مصطفي"</f>
        <v>مصطفي</v>
      </c>
      <c r="C603" s="1" t="str">
        <f>"خاتومه"</f>
        <v>خاتومه</v>
      </c>
      <c r="D603" s="1" t="str">
        <f>"قراردادي کارگري"</f>
        <v>قراردادي کارگري</v>
      </c>
      <c r="E603" s="1" t="str">
        <f t="shared" ref="E603:E612" si="65">"پروژه تعميرات نيروگاه بوشهر"</f>
        <v>پروژه تعميرات نيروگاه بوشهر</v>
      </c>
      <c r="F603" s="1">
        <v>0</v>
      </c>
      <c r="G603" s="1">
        <v>5128111</v>
      </c>
      <c r="H603" s="1">
        <v>2666618</v>
      </c>
      <c r="I603" s="1">
        <v>552889</v>
      </c>
      <c r="J603" s="1">
        <v>0</v>
      </c>
      <c r="K603" s="1">
        <v>4754784</v>
      </c>
      <c r="L603" s="1">
        <v>0</v>
      </c>
      <c r="M603" s="1">
        <v>0</v>
      </c>
      <c r="N603" s="1">
        <v>11523851</v>
      </c>
      <c r="O603" s="1">
        <v>2000000</v>
      </c>
      <c r="P603" s="1">
        <v>4102488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11000273</v>
      </c>
      <c r="Y603" s="1">
        <v>4000000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4226378</v>
      </c>
      <c r="AG603" s="1">
        <v>0</v>
      </c>
      <c r="AH603" s="1">
        <v>1835427</v>
      </c>
      <c r="AI603" s="1">
        <v>0</v>
      </c>
      <c r="AJ603" s="1">
        <v>0</v>
      </c>
      <c r="AK603" s="1">
        <v>0</v>
      </c>
      <c r="AL603" s="1">
        <v>12384710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64175529</v>
      </c>
      <c r="AS603" s="1">
        <v>11494415</v>
      </c>
      <c r="AT603" s="1">
        <v>52681114</v>
      </c>
      <c r="AU603" s="1">
        <v>12468020</v>
      </c>
      <c r="AV603" s="1">
        <v>1870203</v>
      </c>
      <c r="AW603" s="1">
        <f t="shared" si="62"/>
        <v>78513752</v>
      </c>
    </row>
    <row r="604" spans="1:49" x14ac:dyDescent="0.2">
      <c r="A604" s="1" t="str">
        <f>"00701"</f>
        <v>00701</v>
      </c>
      <c r="B604" s="1" t="str">
        <f>"رضا"</f>
        <v>رضا</v>
      </c>
      <c r="C604" s="1" t="str">
        <f>"خدري"</f>
        <v>خدري</v>
      </c>
      <c r="D604" s="1" t="str">
        <f>"قراردادي کارگري"</f>
        <v>قراردادي کارگري</v>
      </c>
      <c r="E604" s="1" t="str">
        <f t="shared" si="65"/>
        <v>پروژه تعميرات نيروگاه بوشهر</v>
      </c>
      <c r="F604" s="1">
        <v>0</v>
      </c>
      <c r="G604" s="1">
        <v>7371256</v>
      </c>
      <c r="H604" s="1">
        <v>3685628</v>
      </c>
      <c r="I604" s="1">
        <v>3292771</v>
      </c>
      <c r="J604" s="1">
        <v>0</v>
      </c>
      <c r="K604" s="1">
        <v>8845508</v>
      </c>
      <c r="L604" s="1">
        <v>0</v>
      </c>
      <c r="M604" s="1">
        <v>0</v>
      </c>
      <c r="N604" s="1">
        <v>11331151</v>
      </c>
      <c r="O604" s="1">
        <v>2000000</v>
      </c>
      <c r="P604" s="1">
        <v>5897004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2640000</v>
      </c>
      <c r="W604" s="1">
        <v>0</v>
      </c>
      <c r="X604" s="1">
        <v>9532721</v>
      </c>
      <c r="Y604" s="1">
        <v>4000000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58596039</v>
      </c>
      <c r="AS604" s="1">
        <v>8827425</v>
      </c>
      <c r="AT604" s="1">
        <v>49768614</v>
      </c>
      <c r="AU604" s="1">
        <v>11719208</v>
      </c>
      <c r="AV604" s="1">
        <v>1757881</v>
      </c>
      <c r="AW604" s="1">
        <f t="shared" si="62"/>
        <v>72073128</v>
      </c>
    </row>
    <row r="605" spans="1:49" x14ac:dyDescent="0.2">
      <c r="A605" s="1" t="str">
        <f>"00702"</f>
        <v>00702</v>
      </c>
      <c r="B605" s="1" t="str">
        <f>"عبدالرسول"</f>
        <v>عبدالرسول</v>
      </c>
      <c r="C605" s="1" t="str">
        <f>"خدري"</f>
        <v>خدري</v>
      </c>
      <c r="D605" s="1" t="str">
        <f>"قراردادي کارگري"</f>
        <v>قراردادي کارگري</v>
      </c>
      <c r="E605" s="1" t="str">
        <f t="shared" si="65"/>
        <v>پروژه تعميرات نيروگاه بوشهر</v>
      </c>
      <c r="F605" s="1">
        <v>0</v>
      </c>
      <c r="G605" s="1">
        <v>4931596</v>
      </c>
      <c r="H605" s="1">
        <v>2465798</v>
      </c>
      <c r="I605" s="1">
        <v>0</v>
      </c>
      <c r="J605" s="1">
        <v>0</v>
      </c>
      <c r="K605" s="1">
        <v>4734332</v>
      </c>
      <c r="L605" s="1">
        <v>0</v>
      </c>
      <c r="M605" s="1">
        <v>0</v>
      </c>
      <c r="N605" s="1">
        <v>11572430</v>
      </c>
      <c r="O605" s="1">
        <v>2000000</v>
      </c>
      <c r="P605" s="1">
        <v>3945277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2640000</v>
      </c>
      <c r="W605" s="1">
        <v>0</v>
      </c>
      <c r="X605" s="1">
        <v>10408701</v>
      </c>
      <c r="Y605" s="1">
        <v>4000000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5506281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52204415</v>
      </c>
      <c r="AS605" s="1">
        <v>6699209</v>
      </c>
      <c r="AT605" s="1">
        <v>45505206</v>
      </c>
      <c r="AU605" s="1">
        <v>9339627</v>
      </c>
      <c r="AV605" s="1">
        <v>1400944</v>
      </c>
      <c r="AW605" s="1">
        <f t="shared" si="62"/>
        <v>62944986</v>
      </c>
    </row>
    <row r="606" spans="1:49" x14ac:dyDescent="0.2">
      <c r="A606" s="1" t="str">
        <f>"00703"</f>
        <v>00703</v>
      </c>
      <c r="B606" s="1" t="str">
        <f>"محمدحسين"</f>
        <v>محمدحسين</v>
      </c>
      <c r="C606" s="1" t="str">
        <f>"دريابگرد"</f>
        <v>دريابگرد</v>
      </c>
      <c r="D606" s="1" t="str">
        <f>"قراردادي بهره بردار"</f>
        <v>قراردادي بهره بردار</v>
      </c>
      <c r="E606" s="1" t="str">
        <f t="shared" si="65"/>
        <v>پروژه تعميرات نيروگاه بوشهر</v>
      </c>
      <c r="F606" s="1">
        <v>15916727</v>
      </c>
      <c r="G606" s="1">
        <v>0</v>
      </c>
      <c r="H606" s="1">
        <v>0</v>
      </c>
      <c r="I606" s="1">
        <v>0</v>
      </c>
      <c r="J606" s="1">
        <v>0</v>
      </c>
      <c r="K606" s="1">
        <v>11219330</v>
      </c>
      <c r="L606" s="1">
        <v>0</v>
      </c>
      <c r="M606" s="1">
        <v>3465000</v>
      </c>
      <c r="N606" s="1">
        <v>0</v>
      </c>
      <c r="O606" s="1">
        <v>1000000</v>
      </c>
      <c r="P606" s="1">
        <v>2947668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1848000</v>
      </c>
      <c r="W606" s="1">
        <v>0</v>
      </c>
      <c r="X606" s="1">
        <v>9174582</v>
      </c>
      <c r="Y606" s="1">
        <v>4000000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2316024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9302896</v>
      </c>
      <c r="AO606" s="1">
        <v>0</v>
      </c>
      <c r="AP606" s="1">
        <v>0</v>
      </c>
      <c r="AQ606" s="1">
        <v>0</v>
      </c>
      <c r="AR606" s="1">
        <v>61190227</v>
      </c>
      <c r="AS606" s="1">
        <v>14877497</v>
      </c>
      <c r="AT606" s="1">
        <v>46312730</v>
      </c>
      <c r="AU606" s="1">
        <v>12238045</v>
      </c>
      <c r="AV606" s="1">
        <v>1835707</v>
      </c>
      <c r="AW606" s="1">
        <f t="shared" si="62"/>
        <v>75263979</v>
      </c>
    </row>
    <row r="607" spans="1:49" x14ac:dyDescent="0.2">
      <c r="A607" s="1" t="str">
        <f>"00704"</f>
        <v>00704</v>
      </c>
      <c r="B607" s="1" t="str">
        <f>"وحيد"</f>
        <v>وحيد</v>
      </c>
      <c r="C607" s="1" t="str">
        <f>"زنده بودي"</f>
        <v>زنده بودي</v>
      </c>
      <c r="D607" s="1" t="str">
        <f t="shared" ref="D607:D612" si="66">"قراردادي کارگري"</f>
        <v>قراردادي کارگري</v>
      </c>
      <c r="E607" s="1" t="str">
        <f t="shared" si="65"/>
        <v>پروژه تعميرات نيروگاه بوشهر</v>
      </c>
      <c r="F607" s="1">
        <v>0</v>
      </c>
      <c r="G607" s="1">
        <v>5666188</v>
      </c>
      <c r="H607" s="1">
        <v>2946418</v>
      </c>
      <c r="I607" s="1">
        <v>2759252</v>
      </c>
      <c r="J607" s="1">
        <v>0</v>
      </c>
      <c r="K607" s="1">
        <v>6114950</v>
      </c>
      <c r="L607" s="1">
        <v>0</v>
      </c>
      <c r="M607" s="1">
        <v>0</v>
      </c>
      <c r="N607" s="1">
        <v>11521166</v>
      </c>
      <c r="O607" s="1">
        <v>2000000</v>
      </c>
      <c r="P607" s="1">
        <v>4532950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2640000</v>
      </c>
      <c r="W607" s="1">
        <v>0</v>
      </c>
      <c r="X607" s="1">
        <v>8320876</v>
      </c>
      <c r="Y607" s="1">
        <v>4000000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1835427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52337227</v>
      </c>
      <c r="AS607" s="1">
        <v>6090537</v>
      </c>
      <c r="AT607" s="1">
        <v>46246690</v>
      </c>
      <c r="AU607" s="1">
        <v>10100360</v>
      </c>
      <c r="AV607" s="1">
        <v>1515054</v>
      </c>
      <c r="AW607" s="1">
        <f t="shared" si="62"/>
        <v>63952641</v>
      </c>
    </row>
    <row r="608" spans="1:49" x14ac:dyDescent="0.2">
      <c r="A608" s="1" t="str">
        <f>"00705"</f>
        <v>00705</v>
      </c>
      <c r="B608" s="1" t="str">
        <f>"امين"</f>
        <v>امين</v>
      </c>
      <c r="C608" s="1" t="str">
        <f>"زيارتي"</f>
        <v>زيارتي</v>
      </c>
      <c r="D608" s="1" t="str">
        <f t="shared" si="66"/>
        <v>قراردادي کارگري</v>
      </c>
      <c r="E608" s="1" t="str">
        <f t="shared" si="65"/>
        <v>پروژه تعميرات نيروگاه بوشهر</v>
      </c>
      <c r="F608" s="1">
        <v>0</v>
      </c>
      <c r="G608" s="1">
        <v>5712978</v>
      </c>
      <c r="H608" s="1">
        <v>2970749</v>
      </c>
      <c r="I608" s="1">
        <v>0</v>
      </c>
      <c r="J608" s="1">
        <v>0</v>
      </c>
      <c r="K608" s="1">
        <v>5818097</v>
      </c>
      <c r="L608" s="1">
        <v>0</v>
      </c>
      <c r="M608" s="1">
        <v>0</v>
      </c>
      <c r="N608" s="1">
        <v>11521166</v>
      </c>
      <c r="O608" s="1">
        <v>2000000</v>
      </c>
      <c r="P608" s="1">
        <v>4570382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2640000</v>
      </c>
      <c r="W608" s="1">
        <v>0</v>
      </c>
      <c r="X608" s="1">
        <v>12693713</v>
      </c>
      <c r="Y608" s="1">
        <v>4000000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51927085</v>
      </c>
      <c r="AS608" s="1">
        <v>10264915</v>
      </c>
      <c r="AT608" s="1">
        <v>41662170</v>
      </c>
      <c r="AU608" s="1">
        <v>10385417</v>
      </c>
      <c r="AV608" s="1">
        <v>1557813</v>
      </c>
      <c r="AW608" s="1">
        <f t="shared" si="62"/>
        <v>63870315</v>
      </c>
    </row>
    <row r="609" spans="1:49" x14ac:dyDescent="0.2">
      <c r="A609" s="1" t="str">
        <f>"00706"</f>
        <v>00706</v>
      </c>
      <c r="B609" s="1" t="str">
        <f>"اميد"</f>
        <v>اميد</v>
      </c>
      <c r="C609" s="1" t="str">
        <f>"شکيبايي"</f>
        <v>شکيبايي</v>
      </c>
      <c r="D609" s="1" t="str">
        <f t="shared" si="66"/>
        <v>قراردادي کارگري</v>
      </c>
      <c r="E609" s="1" t="str">
        <f t="shared" si="65"/>
        <v>پروژه تعميرات نيروگاه بوشهر</v>
      </c>
      <c r="F609" s="1">
        <v>0</v>
      </c>
      <c r="G609" s="1">
        <v>5558573</v>
      </c>
      <c r="H609" s="1">
        <v>2890458</v>
      </c>
      <c r="I609" s="1">
        <v>2376547</v>
      </c>
      <c r="J609" s="1">
        <v>0</v>
      </c>
      <c r="K609" s="1">
        <v>6252283</v>
      </c>
      <c r="L609" s="1">
        <v>0</v>
      </c>
      <c r="M609" s="1">
        <v>0</v>
      </c>
      <c r="N609" s="1">
        <v>11521166</v>
      </c>
      <c r="O609" s="1">
        <v>2000000</v>
      </c>
      <c r="P609" s="1">
        <v>4446858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2640000</v>
      </c>
      <c r="W609" s="1">
        <v>0</v>
      </c>
      <c r="X609" s="1">
        <v>11429494</v>
      </c>
      <c r="Y609" s="1">
        <v>4000000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3670854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56786233</v>
      </c>
      <c r="AS609" s="1">
        <v>8039292</v>
      </c>
      <c r="AT609" s="1">
        <v>48746941</v>
      </c>
      <c r="AU609" s="1">
        <v>10623076</v>
      </c>
      <c r="AV609" s="1">
        <v>1593461</v>
      </c>
      <c r="AW609" s="1">
        <f t="shared" si="62"/>
        <v>69002770</v>
      </c>
    </row>
    <row r="610" spans="1:49" x14ac:dyDescent="0.2">
      <c r="A610" s="1" t="str">
        <f>"00707"</f>
        <v>00707</v>
      </c>
      <c r="B610" s="1" t="str">
        <f>"حسين"</f>
        <v>حسين</v>
      </c>
      <c r="C610" s="1" t="str">
        <f>"غلام پور"</f>
        <v>غلام پور</v>
      </c>
      <c r="D610" s="1" t="str">
        <f t="shared" si="66"/>
        <v>قراردادي کارگري</v>
      </c>
      <c r="E610" s="1" t="str">
        <f t="shared" si="65"/>
        <v>پروژه تعميرات نيروگاه بوشهر</v>
      </c>
      <c r="F610" s="1">
        <v>0</v>
      </c>
      <c r="G610" s="1">
        <v>6903159</v>
      </c>
      <c r="H610" s="1">
        <v>3589643</v>
      </c>
      <c r="I610" s="1">
        <v>7055433</v>
      </c>
      <c r="J610" s="1">
        <v>0</v>
      </c>
      <c r="K610" s="1">
        <v>9023809</v>
      </c>
      <c r="L610" s="1">
        <v>0</v>
      </c>
      <c r="M610" s="1">
        <v>0</v>
      </c>
      <c r="N610" s="1">
        <v>11331151</v>
      </c>
      <c r="O610" s="1">
        <v>2000000</v>
      </c>
      <c r="P610" s="1">
        <v>5522527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2640000</v>
      </c>
      <c r="W610" s="1">
        <v>0</v>
      </c>
      <c r="X610" s="1">
        <v>13622492</v>
      </c>
      <c r="Y610" s="1">
        <v>4000000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1835427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67523641</v>
      </c>
      <c r="AS610" s="1">
        <v>7955722</v>
      </c>
      <c r="AT610" s="1">
        <v>59567919</v>
      </c>
      <c r="AU610" s="1">
        <v>13137643</v>
      </c>
      <c r="AV610" s="1">
        <v>1970646</v>
      </c>
      <c r="AW610" s="1">
        <f t="shared" si="62"/>
        <v>82631930</v>
      </c>
    </row>
    <row r="611" spans="1:49" x14ac:dyDescent="0.2">
      <c r="A611" s="1" t="str">
        <f>"00708"</f>
        <v>00708</v>
      </c>
      <c r="B611" s="1" t="str">
        <f>"محمود"</f>
        <v>محمود</v>
      </c>
      <c r="C611" s="1" t="str">
        <f>"محمدي"</f>
        <v>محمدي</v>
      </c>
      <c r="D611" s="1" t="str">
        <f t="shared" si="66"/>
        <v>قراردادي کارگري</v>
      </c>
      <c r="E611" s="1" t="str">
        <f t="shared" si="65"/>
        <v>پروژه تعميرات نيروگاه بوشهر</v>
      </c>
      <c r="F611" s="1">
        <v>0</v>
      </c>
      <c r="G611" s="1">
        <v>6849958</v>
      </c>
      <c r="H611" s="1">
        <v>3493479</v>
      </c>
      <c r="I611" s="1">
        <v>0</v>
      </c>
      <c r="J611" s="1">
        <v>0</v>
      </c>
      <c r="K611" s="1">
        <v>7240407</v>
      </c>
      <c r="L611" s="1">
        <v>0</v>
      </c>
      <c r="M611" s="1">
        <v>0</v>
      </c>
      <c r="N611" s="1">
        <v>11521166</v>
      </c>
      <c r="O611" s="1">
        <v>2000000</v>
      </c>
      <c r="P611" s="1">
        <v>5479967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2640000</v>
      </c>
      <c r="W611" s="1">
        <v>0</v>
      </c>
      <c r="X611" s="1">
        <v>14070816</v>
      </c>
      <c r="Y611" s="1">
        <v>4000000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3670854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60966647</v>
      </c>
      <c r="AS611" s="1">
        <v>13084756</v>
      </c>
      <c r="AT611" s="1">
        <v>47881891</v>
      </c>
      <c r="AU611" s="1">
        <v>11459159</v>
      </c>
      <c r="AV611" s="1">
        <v>1718874</v>
      </c>
      <c r="AW611" s="1">
        <f t="shared" si="62"/>
        <v>74144680</v>
      </c>
    </row>
    <row r="612" spans="1:49" x14ac:dyDescent="0.2">
      <c r="A612" s="1" t="str">
        <f>"00709"</f>
        <v>00709</v>
      </c>
      <c r="B612" s="1" t="str">
        <f>"سالار"</f>
        <v>سالار</v>
      </c>
      <c r="C612" s="1" t="str">
        <f>"نيکنام"</f>
        <v>نيکنام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0</v>
      </c>
      <c r="G612" s="1">
        <v>5198295</v>
      </c>
      <c r="H612" s="1">
        <v>2703113</v>
      </c>
      <c r="I612" s="1">
        <v>2321197</v>
      </c>
      <c r="J612" s="1">
        <v>0</v>
      </c>
      <c r="K612" s="1">
        <v>5530986</v>
      </c>
      <c r="L612" s="1">
        <v>0</v>
      </c>
      <c r="M612" s="1">
        <v>0</v>
      </c>
      <c r="N612" s="1">
        <v>11521166</v>
      </c>
      <c r="O612" s="1">
        <v>2000000</v>
      </c>
      <c r="P612" s="1">
        <v>4158636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2640000</v>
      </c>
      <c r="W612" s="1">
        <v>0</v>
      </c>
      <c r="X612" s="1">
        <v>12006146</v>
      </c>
      <c r="Y612" s="1">
        <v>4000000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52079539</v>
      </c>
      <c r="AS612" s="1">
        <v>7127434</v>
      </c>
      <c r="AT612" s="1">
        <v>44952105</v>
      </c>
      <c r="AU612" s="1">
        <v>10415908</v>
      </c>
      <c r="AV612" s="1">
        <v>1562386</v>
      </c>
      <c r="AW612" s="1">
        <f t="shared" si="62"/>
        <v>64057833</v>
      </c>
    </row>
    <row r="613" spans="1:49" x14ac:dyDescent="0.2">
      <c r="A613" s="1" t="str">
        <f>"00712"</f>
        <v>00712</v>
      </c>
      <c r="B613" s="1" t="str">
        <f>"محسن"</f>
        <v>محسن</v>
      </c>
      <c r="C613" s="1" t="str">
        <f>"خورشيدي"</f>
        <v>خورشيدي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22544917</v>
      </c>
      <c r="G613" s="1">
        <v>0</v>
      </c>
      <c r="H613" s="1">
        <v>0</v>
      </c>
      <c r="I613" s="1">
        <v>6288412</v>
      </c>
      <c r="J613" s="1">
        <v>0</v>
      </c>
      <c r="K613" s="1">
        <v>16031773</v>
      </c>
      <c r="L613" s="1">
        <v>0</v>
      </c>
      <c r="M613" s="1">
        <v>5500000</v>
      </c>
      <c r="N613" s="1">
        <v>0</v>
      </c>
      <c r="O613" s="1">
        <v>1000000</v>
      </c>
      <c r="P613" s="1">
        <v>3592222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1848000</v>
      </c>
      <c r="W613" s="1">
        <v>0</v>
      </c>
      <c r="X613" s="1">
        <v>9275061</v>
      </c>
      <c r="Y613" s="1">
        <v>4000000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2822460</v>
      </c>
      <c r="AH613" s="1">
        <v>1835427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5144090</v>
      </c>
      <c r="AO613" s="1">
        <v>0</v>
      </c>
      <c r="AP613" s="1">
        <v>0</v>
      </c>
      <c r="AQ613" s="1">
        <v>0</v>
      </c>
      <c r="AR613" s="1">
        <v>79882362</v>
      </c>
      <c r="AS613" s="1">
        <v>37211265</v>
      </c>
      <c r="AT613" s="1">
        <v>42671097</v>
      </c>
      <c r="AU613" s="1">
        <v>15609387</v>
      </c>
      <c r="AV613" s="1">
        <v>2341408</v>
      </c>
      <c r="AW613" s="1">
        <f t="shared" si="62"/>
        <v>97833157</v>
      </c>
    </row>
    <row r="614" spans="1:49" x14ac:dyDescent="0.2">
      <c r="A614" s="1" t="str">
        <f>"00713"</f>
        <v>00713</v>
      </c>
      <c r="B614" s="1" t="str">
        <f>"جعفر"</f>
        <v>جعفر</v>
      </c>
      <c r="C614" s="1" t="str">
        <f>"حيدري"</f>
        <v>حيدري</v>
      </c>
      <c r="D614" s="1" t="str">
        <f>"قراردادي کارگري"</f>
        <v>قراردادي کارگري</v>
      </c>
      <c r="E614" s="1" t="str">
        <f>"پروژه تعميرات نيروگاه بوشهر"</f>
        <v>پروژه تعميرات نيروگاه بوشهر</v>
      </c>
      <c r="F614" s="1">
        <v>0</v>
      </c>
      <c r="G614" s="1">
        <v>5834630</v>
      </c>
      <c r="H614" s="1">
        <v>3034007</v>
      </c>
      <c r="I614" s="1">
        <v>0</v>
      </c>
      <c r="J614" s="1">
        <v>0</v>
      </c>
      <c r="K614" s="1">
        <v>6562792</v>
      </c>
      <c r="L614" s="1">
        <v>0</v>
      </c>
      <c r="M614" s="1">
        <v>0</v>
      </c>
      <c r="N614" s="1">
        <v>11521166</v>
      </c>
      <c r="O614" s="1">
        <v>2000000</v>
      </c>
      <c r="P614" s="1">
        <v>4667704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2640000</v>
      </c>
      <c r="W614" s="1">
        <v>0</v>
      </c>
      <c r="X614" s="1">
        <v>16640931</v>
      </c>
      <c r="Y614" s="1">
        <v>4000000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7341708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64242938</v>
      </c>
      <c r="AS614" s="1">
        <v>10362671</v>
      </c>
      <c r="AT614" s="1">
        <v>53880267</v>
      </c>
      <c r="AU614" s="1">
        <v>11380246</v>
      </c>
      <c r="AV614" s="1">
        <v>1707037</v>
      </c>
      <c r="AW614" s="1">
        <f t="shared" si="62"/>
        <v>77330221</v>
      </c>
    </row>
    <row r="615" spans="1:49" x14ac:dyDescent="0.2">
      <c r="A615" s="1" t="str">
        <f>"00714"</f>
        <v>00714</v>
      </c>
      <c r="B615" s="1" t="str">
        <f>"محمد"</f>
        <v>محمد</v>
      </c>
      <c r="C615" s="1" t="str">
        <f>"حيدري"</f>
        <v>حيدري</v>
      </c>
      <c r="D615" s="1" t="str">
        <f>"قراردادي کارگري"</f>
        <v>قراردادي کارگري</v>
      </c>
      <c r="E615" s="1" t="str">
        <f>"پروژه تعميرات نيروگاه بوشهر"</f>
        <v>پروژه تعميرات نيروگاه بوشهر</v>
      </c>
      <c r="F615" s="1">
        <v>0</v>
      </c>
      <c r="G615" s="1">
        <v>6077934</v>
      </c>
      <c r="H615" s="1">
        <v>3099747</v>
      </c>
      <c r="I615" s="1">
        <v>0</v>
      </c>
      <c r="J615" s="1">
        <v>0</v>
      </c>
      <c r="K615" s="1">
        <v>6607930</v>
      </c>
      <c r="L615" s="1">
        <v>0</v>
      </c>
      <c r="M615" s="1">
        <v>0</v>
      </c>
      <c r="N615" s="1">
        <v>11521166</v>
      </c>
      <c r="O615" s="1">
        <v>2000000</v>
      </c>
      <c r="P615" s="1">
        <v>4862348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2640000</v>
      </c>
      <c r="W615" s="1">
        <v>0</v>
      </c>
      <c r="X615" s="1">
        <v>16690569</v>
      </c>
      <c r="Y615" s="1">
        <v>4000000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3670854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61170548</v>
      </c>
      <c r="AS615" s="1">
        <v>8084336</v>
      </c>
      <c r="AT615" s="1">
        <v>53086212</v>
      </c>
      <c r="AU615" s="1">
        <v>11499939</v>
      </c>
      <c r="AV615" s="1">
        <v>1724991</v>
      </c>
      <c r="AW615" s="1">
        <f t="shared" si="62"/>
        <v>74395478</v>
      </c>
    </row>
    <row r="616" spans="1:49" x14ac:dyDescent="0.2">
      <c r="A616" s="1" t="str">
        <f>"00715"</f>
        <v>00715</v>
      </c>
      <c r="B616" s="1" t="str">
        <f>"احمد"</f>
        <v>احمد</v>
      </c>
      <c r="C616" s="1" t="str">
        <f>"حيدري"</f>
        <v>حيدري</v>
      </c>
      <c r="D616" s="1" t="str">
        <f>"قراردادي کارگري"</f>
        <v>قراردادي کارگري</v>
      </c>
      <c r="E616" s="1" t="str">
        <f>"پروژه تعميرات نيروگاه بوشهر"</f>
        <v>پروژه تعميرات نيروگاه بوشهر</v>
      </c>
      <c r="F616" s="1">
        <v>0</v>
      </c>
      <c r="G616" s="1">
        <v>7369320</v>
      </c>
      <c r="H616" s="1">
        <v>3758353</v>
      </c>
      <c r="I616" s="1">
        <v>1964849</v>
      </c>
      <c r="J616" s="1">
        <v>0</v>
      </c>
      <c r="K616" s="1">
        <v>8234478</v>
      </c>
      <c r="L616" s="1">
        <v>0</v>
      </c>
      <c r="M616" s="1">
        <v>0</v>
      </c>
      <c r="N616" s="1">
        <v>11521166</v>
      </c>
      <c r="O616" s="1">
        <v>2000000</v>
      </c>
      <c r="P616" s="1">
        <v>5895456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2640000</v>
      </c>
      <c r="W616" s="1">
        <v>0</v>
      </c>
      <c r="X616" s="1">
        <v>18910660</v>
      </c>
      <c r="Y616" s="1">
        <v>4000000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1835427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68129709</v>
      </c>
      <c r="AS616" s="1">
        <v>13882311</v>
      </c>
      <c r="AT616" s="1">
        <v>54247398</v>
      </c>
      <c r="AU616" s="1">
        <v>13258856</v>
      </c>
      <c r="AV616" s="1">
        <v>1988828</v>
      </c>
      <c r="AW616" s="1">
        <f t="shared" si="62"/>
        <v>83377393</v>
      </c>
    </row>
    <row r="617" spans="1:49" x14ac:dyDescent="0.2">
      <c r="A617" s="1" t="str">
        <f>"00716"</f>
        <v>00716</v>
      </c>
      <c r="B617" s="1" t="str">
        <f>"شهربانو"</f>
        <v>شهربانو</v>
      </c>
      <c r="C617" s="1" t="str">
        <f>"قايدزاده مخبلندي"</f>
        <v>قايدزاده مخبلندي</v>
      </c>
      <c r="D617" s="1" t="str">
        <f>"قراردادي بهره بردار"</f>
        <v>قراردادي بهره بردار</v>
      </c>
      <c r="E617" s="1" t="str">
        <f>"پروژه بهره برداري نيروگاه بوشهر"</f>
        <v>پروژه بهره برداري نيروگاه بوشهر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7592003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7592003</v>
      </c>
      <c r="AS617" s="1">
        <v>7592003</v>
      </c>
      <c r="AT617" s="1">
        <v>0</v>
      </c>
      <c r="AU617" s="1">
        <v>0</v>
      </c>
      <c r="AV617" s="1">
        <v>0</v>
      </c>
      <c r="AW617" s="1">
        <f t="shared" si="62"/>
        <v>7592003</v>
      </c>
    </row>
    <row r="618" spans="1:49" x14ac:dyDescent="0.2">
      <c r="A618" s="1" t="str">
        <f>"00717"</f>
        <v>00717</v>
      </c>
      <c r="B618" s="1" t="str">
        <f>"شاپور"</f>
        <v>شاپور</v>
      </c>
      <c r="C618" s="1" t="str">
        <f>"دشتيان"</f>
        <v>دشتيان</v>
      </c>
      <c r="D618" s="1" t="str">
        <f t="shared" ref="D618:D632" si="67">"قراردادي کارگري"</f>
        <v>قراردادي کارگري</v>
      </c>
      <c r="E618" s="1" t="str">
        <f t="shared" ref="E618:E642" si="68">"پروژه تعميرات نيروگاه بوشهر"</f>
        <v>پروژه تعميرات نيروگاه بوشهر</v>
      </c>
      <c r="F618" s="1">
        <v>0</v>
      </c>
      <c r="G618" s="1">
        <v>10118117</v>
      </c>
      <c r="H618" s="1">
        <v>5059058</v>
      </c>
      <c r="I618" s="1">
        <v>2467515</v>
      </c>
      <c r="J618" s="1">
        <v>0</v>
      </c>
      <c r="K618" s="1">
        <v>12597056</v>
      </c>
      <c r="L618" s="1">
        <v>0</v>
      </c>
      <c r="M618" s="1">
        <v>0</v>
      </c>
      <c r="N618" s="1">
        <v>11331151</v>
      </c>
      <c r="O618" s="1">
        <v>2000000</v>
      </c>
      <c r="P618" s="1">
        <v>8094495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2640000</v>
      </c>
      <c r="W618" s="1">
        <v>0</v>
      </c>
      <c r="X618" s="1">
        <v>11080474</v>
      </c>
      <c r="Y618" s="1">
        <v>4000000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1835427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71223293</v>
      </c>
      <c r="AS618" s="1">
        <v>12988296</v>
      </c>
      <c r="AT618" s="1">
        <v>58234997</v>
      </c>
      <c r="AU618" s="1">
        <v>13877573</v>
      </c>
      <c r="AV618" s="1">
        <v>2081636</v>
      </c>
      <c r="AW618" s="1">
        <f t="shared" si="62"/>
        <v>87182502</v>
      </c>
    </row>
    <row r="619" spans="1:49" x14ac:dyDescent="0.2">
      <c r="A619" s="1" t="str">
        <f>"00718"</f>
        <v>00718</v>
      </c>
      <c r="B619" s="1" t="str">
        <f>"احسان"</f>
        <v>احسان</v>
      </c>
      <c r="C619" s="1" t="str">
        <f>"صالحي"</f>
        <v>صالحي</v>
      </c>
      <c r="D619" s="1" t="str">
        <f t="shared" si="67"/>
        <v>قراردادي کارگري</v>
      </c>
      <c r="E619" s="1" t="str">
        <f t="shared" si="68"/>
        <v>پروژه تعميرات نيروگاه بوشهر</v>
      </c>
      <c r="F619" s="1">
        <v>0</v>
      </c>
      <c r="G619" s="1">
        <v>6513075</v>
      </c>
      <c r="H619" s="1">
        <v>3386800</v>
      </c>
      <c r="I619" s="1">
        <v>2536024</v>
      </c>
      <c r="J619" s="1">
        <v>0</v>
      </c>
      <c r="K619" s="1">
        <v>7127910</v>
      </c>
      <c r="L619" s="1">
        <v>0</v>
      </c>
      <c r="M619" s="1">
        <v>0</v>
      </c>
      <c r="N619" s="1">
        <v>11521166</v>
      </c>
      <c r="O619" s="1">
        <v>2000000</v>
      </c>
      <c r="P619" s="1">
        <v>5210460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17582140</v>
      </c>
      <c r="Y619" s="1">
        <v>4000000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5063912</v>
      </c>
      <c r="AG619" s="1">
        <v>0</v>
      </c>
      <c r="AH619" s="1">
        <v>3670854</v>
      </c>
      <c r="AI619" s="1">
        <v>0</v>
      </c>
      <c r="AJ619" s="1">
        <v>0</v>
      </c>
      <c r="AK619" s="1">
        <v>0</v>
      </c>
      <c r="AL619" s="1">
        <v>4637301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73249642</v>
      </c>
      <c r="AS619" s="1">
        <v>15297251</v>
      </c>
      <c r="AT619" s="1">
        <v>57952391</v>
      </c>
      <c r="AU619" s="1">
        <v>13915758</v>
      </c>
      <c r="AV619" s="1">
        <v>2087364</v>
      </c>
      <c r="AW619" s="1">
        <f t="shared" si="62"/>
        <v>89252764</v>
      </c>
    </row>
    <row r="620" spans="1:49" x14ac:dyDescent="0.2">
      <c r="A620" s="1" t="str">
        <f>"00719"</f>
        <v>00719</v>
      </c>
      <c r="B620" s="1" t="str">
        <f>"روح اله"</f>
        <v>روح اله</v>
      </c>
      <c r="C620" s="1" t="str">
        <f>"احمدي"</f>
        <v>احمدي</v>
      </c>
      <c r="D620" s="1" t="str">
        <f t="shared" si="67"/>
        <v>قراردادي کارگري</v>
      </c>
      <c r="E620" s="1" t="str">
        <f t="shared" si="68"/>
        <v>پروژه تعميرات نيروگاه بوشهر</v>
      </c>
      <c r="F620" s="1">
        <v>0</v>
      </c>
      <c r="G620" s="1">
        <v>5057927</v>
      </c>
      <c r="H620" s="1">
        <v>2528963</v>
      </c>
      <c r="I620" s="1">
        <v>2096543</v>
      </c>
      <c r="J620" s="1">
        <v>0</v>
      </c>
      <c r="K620" s="1">
        <v>4628003</v>
      </c>
      <c r="L620" s="1">
        <v>0</v>
      </c>
      <c r="M620" s="1">
        <v>0</v>
      </c>
      <c r="N620" s="1">
        <v>11572430</v>
      </c>
      <c r="O620" s="1">
        <v>2000000</v>
      </c>
      <c r="P620" s="1">
        <v>3793445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14863538</v>
      </c>
      <c r="Y620" s="1">
        <v>4000000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4137115</v>
      </c>
      <c r="AG620" s="1">
        <v>0</v>
      </c>
      <c r="AH620" s="1">
        <v>3670854</v>
      </c>
      <c r="AI620" s="1">
        <v>0</v>
      </c>
      <c r="AJ620" s="1">
        <v>0</v>
      </c>
      <c r="AK620" s="1">
        <v>0</v>
      </c>
      <c r="AL620" s="1">
        <v>3833679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62182497</v>
      </c>
      <c r="AS620" s="1">
        <v>9460483</v>
      </c>
      <c r="AT620" s="1">
        <v>52722014</v>
      </c>
      <c r="AU620" s="1">
        <v>11702329</v>
      </c>
      <c r="AV620" s="1">
        <v>1755349</v>
      </c>
      <c r="AW620" s="1">
        <f t="shared" si="62"/>
        <v>75640175</v>
      </c>
    </row>
    <row r="621" spans="1:49" x14ac:dyDescent="0.2">
      <c r="A621" s="1" t="str">
        <f>"00720"</f>
        <v>00720</v>
      </c>
      <c r="B621" s="1" t="str">
        <f>"علي کرم"</f>
        <v>علي کرم</v>
      </c>
      <c r="C621" s="1" t="str">
        <f>"جعفري"</f>
        <v>جعفري</v>
      </c>
      <c r="D621" s="1" t="str">
        <f t="shared" si="67"/>
        <v>قراردادي کارگري</v>
      </c>
      <c r="E621" s="1" t="str">
        <f t="shared" si="68"/>
        <v>پروژه تعميرات نيروگاه بوشهر</v>
      </c>
      <c r="F621" s="1">
        <v>0</v>
      </c>
      <c r="G621" s="1">
        <v>5479031</v>
      </c>
      <c r="H621" s="1">
        <v>2849096</v>
      </c>
      <c r="I621" s="1">
        <v>2622244</v>
      </c>
      <c r="J621" s="1">
        <v>0</v>
      </c>
      <c r="K621" s="1">
        <v>6079533</v>
      </c>
      <c r="L621" s="1">
        <v>0</v>
      </c>
      <c r="M621" s="1">
        <v>0</v>
      </c>
      <c r="N621" s="1">
        <v>11572430</v>
      </c>
      <c r="O621" s="1">
        <v>2000000</v>
      </c>
      <c r="P621" s="1">
        <v>4383224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16087858</v>
      </c>
      <c r="Y621" s="1">
        <v>4000000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4554497</v>
      </c>
      <c r="AG621" s="1">
        <v>0</v>
      </c>
      <c r="AH621" s="1">
        <v>5506281</v>
      </c>
      <c r="AI621" s="1">
        <v>0</v>
      </c>
      <c r="AJ621" s="1">
        <v>0</v>
      </c>
      <c r="AK621" s="1">
        <v>0</v>
      </c>
      <c r="AL621" s="1">
        <v>6293385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71427579</v>
      </c>
      <c r="AS621" s="1">
        <v>15165219</v>
      </c>
      <c r="AT621" s="1">
        <v>56262360</v>
      </c>
      <c r="AU621" s="1">
        <v>13184260</v>
      </c>
      <c r="AV621" s="1">
        <v>1977639</v>
      </c>
      <c r="AW621" s="1">
        <f t="shared" si="62"/>
        <v>86589478</v>
      </c>
    </row>
    <row r="622" spans="1:49" x14ac:dyDescent="0.2">
      <c r="A622" s="1" t="str">
        <f>"00721"</f>
        <v>00721</v>
      </c>
      <c r="B622" s="1" t="str">
        <f>"بهنام"</f>
        <v>بهنام</v>
      </c>
      <c r="C622" s="1" t="str">
        <f>"حسين آبادي چاه عربي"</f>
        <v>حسين آبادي چاه عربي</v>
      </c>
      <c r="D622" s="1" t="str">
        <f t="shared" si="67"/>
        <v>قراردادي کارگري</v>
      </c>
      <c r="E622" s="1" t="str">
        <f t="shared" si="68"/>
        <v>پروژه تعميرات نيروگاه بوشهر</v>
      </c>
      <c r="F622" s="1">
        <v>0</v>
      </c>
      <c r="G622" s="1">
        <v>7200878</v>
      </c>
      <c r="H622" s="1">
        <v>3672448</v>
      </c>
      <c r="I622" s="1">
        <v>3070311</v>
      </c>
      <c r="J622" s="1">
        <v>0</v>
      </c>
      <c r="K622" s="1">
        <v>7720061</v>
      </c>
      <c r="L622" s="1">
        <v>0</v>
      </c>
      <c r="M622" s="1">
        <v>0</v>
      </c>
      <c r="N622" s="1">
        <v>11521166</v>
      </c>
      <c r="O622" s="1">
        <v>2000000</v>
      </c>
      <c r="P622" s="1">
        <v>5760703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2640000</v>
      </c>
      <c r="W622" s="1">
        <v>0</v>
      </c>
      <c r="X622" s="1">
        <v>18513113</v>
      </c>
      <c r="Y622" s="1">
        <v>4000000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5381288</v>
      </c>
      <c r="AG622" s="1">
        <v>0</v>
      </c>
      <c r="AH622" s="1">
        <v>3670854</v>
      </c>
      <c r="AI622" s="1">
        <v>0</v>
      </c>
      <c r="AJ622" s="1">
        <v>0</v>
      </c>
      <c r="AK622" s="1">
        <v>0</v>
      </c>
      <c r="AL622" s="1">
        <v>4912498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80063320</v>
      </c>
      <c r="AS622" s="1">
        <v>11833457</v>
      </c>
      <c r="AT622" s="1">
        <v>68229863</v>
      </c>
      <c r="AU622" s="1">
        <v>15278493</v>
      </c>
      <c r="AV622" s="1">
        <v>2291774</v>
      </c>
      <c r="AW622" s="1">
        <f t="shared" si="62"/>
        <v>97633587</v>
      </c>
    </row>
    <row r="623" spans="1:49" x14ac:dyDescent="0.2">
      <c r="A623" s="1" t="str">
        <f>"00722"</f>
        <v>00722</v>
      </c>
      <c r="B623" s="1" t="str">
        <f>"امير"</f>
        <v>امير</v>
      </c>
      <c r="C623" s="1" t="str">
        <f>"داس زرين"</f>
        <v>داس زرين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0</v>
      </c>
      <c r="G623" s="1">
        <v>5202974</v>
      </c>
      <c r="H623" s="1">
        <v>2601487</v>
      </c>
      <c r="I623" s="1">
        <v>2206456</v>
      </c>
      <c r="J623" s="1">
        <v>0</v>
      </c>
      <c r="K623" s="1">
        <v>5619212</v>
      </c>
      <c r="L623" s="1">
        <v>0</v>
      </c>
      <c r="M623" s="1">
        <v>0</v>
      </c>
      <c r="N623" s="1">
        <v>11539967</v>
      </c>
      <c r="O623" s="1">
        <v>2000000</v>
      </c>
      <c r="P623" s="1">
        <v>4162379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15543449</v>
      </c>
      <c r="Y623" s="1">
        <v>4000000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4368903</v>
      </c>
      <c r="AG623" s="1">
        <v>0</v>
      </c>
      <c r="AH623" s="1">
        <v>1835427</v>
      </c>
      <c r="AI623" s="1">
        <v>0</v>
      </c>
      <c r="AJ623" s="1">
        <v>0</v>
      </c>
      <c r="AK623" s="1">
        <v>0</v>
      </c>
      <c r="AL623" s="1">
        <v>2017331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61097585</v>
      </c>
      <c r="AS623" s="1">
        <v>14862557</v>
      </c>
      <c r="AT623" s="1">
        <v>46235028</v>
      </c>
      <c r="AU623" s="1">
        <v>11852432</v>
      </c>
      <c r="AV623" s="1">
        <v>1777865</v>
      </c>
      <c r="AW623" s="1">
        <f t="shared" si="62"/>
        <v>74727882</v>
      </c>
    </row>
    <row r="624" spans="1:49" x14ac:dyDescent="0.2">
      <c r="A624" s="1" t="str">
        <f>"00723"</f>
        <v>00723</v>
      </c>
      <c r="B624" s="1" t="str">
        <f>"غلامرضا"</f>
        <v>غلامرضا</v>
      </c>
      <c r="C624" s="1" t="str">
        <f>"شاکري"</f>
        <v>شاکري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0</v>
      </c>
      <c r="G624" s="1">
        <v>8206849</v>
      </c>
      <c r="H624" s="1">
        <v>4185493</v>
      </c>
      <c r="I624" s="1">
        <v>3336811</v>
      </c>
      <c r="J624" s="1">
        <v>0</v>
      </c>
      <c r="K624" s="1">
        <v>8674639</v>
      </c>
      <c r="L624" s="1">
        <v>0</v>
      </c>
      <c r="M624" s="1">
        <v>0</v>
      </c>
      <c r="N624" s="1">
        <v>11521166</v>
      </c>
      <c r="O624" s="1">
        <v>2000000</v>
      </c>
      <c r="P624" s="1">
        <v>6565480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2640000</v>
      </c>
      <c r="W624" s="1">
        <v>0</v>
      </c>
      <c r="X624" s="1">
        <v>19955596</v>
      </c>
      <c r="Y624" s="1">
        <v>4000000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5873044</v>
      </c>
      <c r="AG624" s="1">
        <v>0</v>
      </c>
      <c r="AH624" s="1">
        <v>1835427</v>
      </c>
      <c r="AI624" s="1">
        <v>0</v>
      </c>
      <c r="AJ624" s="1">
        <v>0</v>
      </c>
      <c r="AK624" s="1">
        <v>0</v>
      </c>
      <c r="AL624" s="1">
        <v>8008346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86802851</v>
      </c>
      <c r="AS624" s="1">
        <v>16061535</v>
      </c>
      <c r="AT624" s="1">
        <v>70741316</v>
      </c>
      <c r="AU624" s="1">
        <v>16993485</v>
      </c>
      <c r="AV624" s="1">
        <v>2549023</v>
      </c>
      <c r="AW624" s="1">
        <f t="shared" si="62"/>
        <v>106345359</v>
      </c>
    </row>
    <row r="625" spans="1:49" x14ac:dyDescent="0.2">
      <c r="A625" s="1" t="str">
        <f>"00724"</f>
        <v>00724</v>
      </c>
      <c r="B625" s="1" t="str">
        <f>"محسن"</f>
        <v>محسن</v>
      </c>
      <c r="C625" s="1" t="str">
        <f>"شيخياني"</f>
        <v>شيخياني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0</v>
      </c>
      <c r="G625" s="1">
        <v>6358670</v>
      </c>
      <c r="H625" s="1">
        <v>3242922</v>
      </c>
      <c r="I625" s="1">
        <v>2846566</v>
      </c>
      <c r="J625" s="1">
        <v>0</v>
      </c>
      <c r="K625" s="1">
        <v>6913147</v>
      </c>
      <c r="L625" s="1">
        <v>0</v>
      </c>
      <c r="M625" s="1">
        <v>0</v>
      </c>
      <c r="N625" s="1">
        <v>11521166</v>
      </c>
      <c r="O625" s="1">
        <v>2000000</v>
      </c>
      <c r="P625" s="1">
        <v>5086937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17302050</v>
      </c>
      <c r="Y625" s="1">
        <v>4000000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4968426</v>
      </c>
      <c r="AG625" s="1">
        <v>0</v>
      </c>
      <c r="AH625" s="1">
        <v>5506281</v>
      </c>
      <c r="AI625" s="1">
        <v>0</v>
      </c>
      <c r="AJ625" s="1">
        <v>0</v>
      </c>
      <c r="AK625" s="1">
        <v>0</v>
      </c>
      <c r="AL625" s="1">
        <v>4554506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74300671</v>
      </c>
      <c r="AS625" s="1">
        <v>12232514</v>
      </c>
      <c r="AT625" s="1">
        <v>62068157</v>
      </c>
      <c r="AU625" s="1">
        <v>13758878</v>
      </c>
      <c r="AV625" s="1">
        <v>2063832</v>
      </c>
      <c r="AW625" s="1">
        <f t="shared" si="62"/>
        <v>90123381</v>
      </c>
    </row>
    <row r="626" spans="1:49" x14ac:dyDescent="0.2">
      <c r="A626" s="1" t="str">
        <f>"00725"</f>
        <v>00725</v>
      </c>
      <c r="B626" s="1" t="str">
        <f>"سيد مهدي"</f>
        <v>سيد مهدي</v>
      </c>
      <c r="C626" s="1" t="str">
        <f>"عسکري"</f>
        <v>عسکري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0</v>
      </c>
      <c r="G626" s="1">
        <v>6756380</v>
      </c>
      <c r="H626" s="1">
        <v>3513318</v>
      </c>
      <c r="I626" s="1">
        <v>11808597</v>
      </c>
      <c r="J626" s="1">
        <v>0</v>
      </c>
      <c r="K626" s="1">
        <v>7394182</v>
      </c>
      <c r="L626" s="1">
        <v>0</v>
      </c>
      <c r="M626" s="1">
        <v>0</v>
      </c>
      <c r="N626" s="1">
        <v>11572430</v>
      </c>
      <c r="O626" s="1">
        <v>2000000</v>
      </c>
      <c r="P626" s="1">
        <v>5405104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2640000</v>
      </c>
      <c r="W626" s="1">
        <v>0</v>
      </c>
      <c r="X626" s="1">
        <v>13171355</v>
      </c>
      <c r="Y626" s="1">
        <v>4000000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68261366</v>
      </c>
      <c r="AS626" s="1">
        <v>7948604</v>
      </c>
      <c r="AT626" s="1">
        <v>60312762</v>
      </c>
      <c r="AU626" s="1">
        <v>13652273</v>
      </c>
      <c r="AV626" s="1">
        <v>2047841</v>
      </c>
      <c r="AW626" s="1">
        <f t="shared" si="62"/>
        <v>83961480</v>
      </c>
    </row>
    <row r="627" spans="1:49" x14ac:dyDescent="0.2">
      <c r="A627" s="1" t="str">
        <f>"00726"</f>
        <v>00726</v>
      </c>
      <c r="B627" s="1" t="str">
        <f>"مهدي"</f>
        <v>مهدي</v>
      </c>
      <c r="C627" s="1" t="str">
        <f>"زارعي ونوول"</f>
        <v>زارعي ونوول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0</v>
      </c>
      <c r="G627" s="1">
        <v>7102621</v>
      </c>
      <c r="H627" s="1">
        <v>3622337</v>
      </c>
      <c r="I627" s="1">
        <v>0</v>
      </c>
      <c r="J627" s="1">
        <v>0</v>
      </c>
      <c r="K627" s="1">
        <v>7507470</v>
      </c>
      <c r="L627" s="1">
        <v>0</v>
      </c>
      <c r="M627" s="1">
        <v>0</v>
      </c>
      <c r="N627" s="1">
        <v>11521166</v>
      </c>
      <c r="O627" s="1">
        <v>2000000</v>
      </c>
      <c r="P627" s="1">
        <v>5682096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2640000</v>
      </c>
      <c r="W627" s="1">
        <v>0</v>
      </c>
      <c r="X627" s="1">
        <v>9368031</v>
      </c>
      <c r="Y627" s="1">
        <v>4000000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3670854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57114575</v>
      </c>
      <c r="AS627" s="1">
        <v>18120431</v>
      </c>
      <c r="AT627" s="1">
        <v>38994144</v>
      </c>
      <c r="AU627" s="1">
        <v>10688744</v>
      </c>
      <c r="AV627" s="1">
        <v>1603312</v>
      </c>
      <c r="AW627" s="1">
        <f t="shared" si="62"/>
        <v>69406631</v>
      </c>
    </row>
    <row r="628" spans="1:49" x14ac:dyDescent="0.2">
      <c r="A628" s="1" t="str">
        <f>"00727"</f>
        <v>00727</v>
      </c>
      <c r="B628" s="1" t="str">
        <f>"عبدالناصر"</f>
        <v>عبدالناصر</v>
      </c>
      <c r="C628" s="1" t="str">
        <f>"بچاچري نژاد"</f>
        <v>بچاچري نژاد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0</v>
      </c>
      <c r="G628" s="1">
        <v>5441599</v>
      </c>
      <c r="H628" s="1">
        <v>2829631</v>
      </c>
      <c r="I628" s="1">
        <v>3044064</v>
      </c>
      <c r="J628" s="1">
        <v>0</v>
      </c>
      <c r="K628" s="1">
        <v>6286136</v>
      </c>
      <c r="L628" s="1">
        <v>0</v>
      </c>
      <c r="M628" s="1">
        <v>0</v>
      </c>
      <c r="N628" s="1">
        <v>11572430</v>
      </c>
      <c r="O628" s="1">
        <v>2000000</v>
      </c>
      <c r="P628" s="1">
        <v>4353279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12655661</v>
      </c>
      <c r="Y628" s="1">
        <v>4000000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4572461</v>
      </c>
      <c r="AG628" s="1">
        <v>0</v>
      </c>
      <c r="AH628" s="1">
        <v>7341708</v>
      </c>
      <c r="AI628" s="1">
        <v>0</v>
      </c>
      <c r="AJ628" s="1">
        <v>0</v>
      </c>
      <c r="AK628" s="1">
        <v>0</v>
      </c>
      <c r="AL628" s="1">
        <v>3896402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67993371</v>
      </c>
      <c r="AS628" s="1">
        <v>10443122</v>
      </c>
      <c r="AT628" s="1">
        <v>57550249</v>
      </c>
      <c r="AU628" s="1">
        <v>12130333</v>
      </c>
      <c r="AV628" s="1">
        <v>1819550</v>
      </c>
      <c r="AW628" s="1">
        <f t="shared" si="62"/>
        <v>81943254</v>
      </c>
    </row>
    <row r="629" spans="1:49" x14ac:dyDescent="0.2">
      <c r="A629" s="1" t="str">
        <f>"00728"</f>
        <v>00728</v>
      </c>
      <c r="B629" s="1" t="str">
        <f>"مهدي"</f>
        <v>مهدي</v>
      </c>
      <c r="C629" s="1" t="str">
        <f>"آبسته"</f>
        <v>آبسته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0</v>
      </c>
      <c r="G629" s="1">
        <v>5118753</v>
      </c>
      <c r="H629" s="1">
        <v>2661752</v>
      </c>
      <c r="I629" s="1">
        <v>0</v>
      </c>
      <c r="J629" s="1">
        <v>0</v>
      </c>
      <c r="K629" s="1">
        <v>5524159</v>
      </c>
      <c r="L629" s="1">
        <v>0</v>
      </c>
      <c r="M629" s="1">
        <v>0</v>
      </c>
      <c r="N629" s="1">
        <v>11521166</v>
      </c>
      <c r="O629" s="1">
        <v>2000000</v>
      </c>
      <c r="P629" s="1">
        <v>4095003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2640000</v>
      </c>
      <c r="W629" s="1">
        <v>0</v>
      </c>
      <c r="X629" s="1">
        <v>12116687</v>
      </c>
      <c r="Y629" s="1">
        <v>4000000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49677520</v>
      </c>
      <c r="AS629" s="1">
        <v>7035402</v>
      </c>
      <c r="AT629" s="1">
        <v>42642118</v>
      </c>
      <c r="AU629" s="1">
        <v>9935504</v>
      </c>
      <c r="AV629" s="1">
        <v>1490326</v>
      </c>
      <c r="AW629" s="1">
        <f t="shared" si="62"/>
        <v>61103350</v>
      </c>
    </row>
    <row r="630" spans="1:49" x14ac:dyDescent="0.2">
      <c r="A630" s="1" t="str">
        <f>"00729"</f>
        <v>00729</v>
      </c>
      <c r="B630" s="1" t="str">
        <f>"مصطفي"</f>
        <v>مصطفي</v>
      </c>
      <c r="C630" s="1" t="str">
        <f>"ايرج زاده"</f>
        <v>ايرج زاده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0</v>
      </c>
      <c r="G630" s="1">
        <v>5497747</v>
      </c>
      <c r="H630" s="1">
        <v>2858828</v>
      </c>
      <c r="I630" s="1">
        <v>0</v>
      </c>
      <c r="J630" s="1">
        <v>0</v>
      </c>
      <c r="K630" s="1">
        <v>5849603</v>
      </c>
      <c r="L630" s="1">
        <v>0</v>
      </c>
      <c r="M630" s="1">
        <v>0</v>
      </c>
      <c r="N630" s="1">
        <v>11521166</v>
      </c>
      <c r="O630" s="1">
        <v>2000000</v>
      </c>
      <c r="P630" s="1">
        <v>4398197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2640000</v>
      </c>
      <c r="W630" s="1">
        <v>0</v>
      </c>
      <c r="X630" s="1">
        <v>12532311</v>
      </c>
      <c r="Y630" s="1">
        <v>4000000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51297852</v>
      </c>
      <c r="AS630" s="1">
        <v>5367151</v>
      </c>
      <c r="AT630" s="1">
        <v>45930701</v>
      </c>
      <c r="AU630" s="1">
        <v>10259570</v>
      </c>
      <c r="AV630" s="1">
        <v>1538936</v>
      </c>
      <c r="AW630" s="1">
        <f t="shared" si="62"/>
        <v>63096358</v>
      </c>
    </row>
    <row r="631" spans="1:49" x14ac:dyDescent="0.2">
      <c r="A631" s="1" t="str">
        <f>"00731"</f>
        <v>00731</v>
      </c>
      <c r="B631" s="1" t="str">
        <f>"امير"</f>
        <v>امير</v>
      </c>
      <c r="C631" s="1" t="str">
        <f>"جمالي نژاد"</f>
        <v>جمالي نژاد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0</v>
      </c>
      <c r="G631" s="1">
        <v>7013721</v>
      </c>
      <c r="H631" s="1">
        <v>3576998</v>
      </c>
      <c r="I631" s="1">
        <v>3495756</v>
      </c>
      <c r="J631" s="1">
        <v>0</v>
      </c>
      <c r="K631" s="1">
        <v>7519411</v>
      </c>
      <c r="L631" s="1">
        <v>0</v>
      </c>
      <c r="M631" s="1">
        <v>0</v>
      </c>
      <c r="N631" s="1">
        <v>11521166</v>
      </c>
      <c r="O631" s="1">
        <v>2000000</v>
      </c>
      <c r="P631" s="1">
        <v>5610977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14297583</v>
      </c>
      <c r="Y631" s="1">
        <v>4000000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5286341</v>
      </c>
      <c r="AG631" s="1">
        <v>0</v>
      </c>
      <c r="AH631" s="1">
        <v>3670854</v>
      </c>
      <c r="AI631" s="1">
        <v>0</v>
      </c>
      <c r="AJ631" s="1">
        <v>0</v>
      </c>
      <c r="AK631" s="1">
        <v>0</v>
      </c>
      <c r="AL631" s="1">
        <v>6711851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74704658</v>
      </c>
      <c r="AS631" s="1">
        <v>9958211</v>
      </c>
      <c r="AT631" s="1">
        <v>64746447</v>
      </c>
      <c r="AU631" s="1">
        <v>14206761</v>
      </c>
      <c r="AV631" s="1">
        <v>2131014</v>
      </c>
      <c r="AW631" s="1">
        <f t="shared" si="62"/>
        <v>91042433</v>
      </c>
    </row>
    <row r="632" spans="1:49" x14ac:dyDescent="0.2">
      <c r="A632" s="1" t="str">
        <f>"00732"</f>
        <v>00732</v>
      </c>
      <c r="B632" s="1" t="str">
        <f>"محمد امين"</f>
        <v>محمد امين</v>
      </c>
      <c r="C632" s="1" t="str">
        <f>"جوي"</f>
        <v>جوي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0</v>
      </c>
      <c r="G632" s="1">
        <v>5797198</v>
      </c>
      <c r="H632" s="1">
        <v>3014543</v>
      </c>
      <c r="I632" s="1">
        <v>0</v>
      </c>
      <c r="J632" s="1">
        <v>0</v>
      </c>
      <c r="K632" s="1">
        <v>6168219</v>
      </c>
      <c r="L632" s="1">
        <v>0</v>
      </c>
      <c r="M632" s="1">
        <v>0</v>
      </c>
      <c r="N632" s="1">
        <v>11521166</v>
      </c>
      <c r="O632" s="1">
        <v>2000000</v>
      </c>
      <c r="P632" s="1">
        <v>4637759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2640000</v>
      </c>
      <c r="W632" s="1">
        <v>0</v>
      </c>
      <c r="X632" s="1">
        <v>12881916</v>
      </c>
      <c r="Y632" s="1">
        <v>4000000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7952145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60612946</v>
      </c>
      <c r="AS632" s="1">
        <v>11155111</v>
      </c>
      <c r="AT632" s="1">
        <v>49457835</v>
      </c>
      <c r="AU632" s="1">
        <v>12122589</v>
      </c>
      <c r="AV632" s="1">
        <v>1818388</v>
      </c>
      <c r="AW632" s="1">
        <f t="shared" si="62"/>
        <v>74553923</v>
      </c>
    </row>
    <row r="633" spans="1:49" x14ac:dyDescent="0.2">
      <c r="A633" s="1" t="str">
        <f>"00733"</f>
        <v>00733</v>
      </c>
      <c r="B633" s="1" t="str">
        <f>"محمد"</f>
        <v>محمد</v>
      </c>
      <c r="C633" s="1" t="str">
        <f>"چم کوري"</f>
        <v>چم کوري</v>
      </c>
      <c r="D633" s="1" t="str">
        <f>"قراردادي بهره بردار"</f>
        <v>قراردادي بهره بردار</v>
      </c>
      <c r="E633" s="1" t="str">
        <f t="shared" si="68"/>
        <v>پروژه تعميرات نيروگاه بوشهر</v>
      </c>
      <c r="F633" s="1">
        <v>16846336</v>
      </c>
      <c r="G633" s="1">
        <v>0</v>
      </c>
      <c r="H633" s="1">
        <v>0</v>
      </c>
      <c r="I633" s="1">
        <v>40889212</v>
      </c>
      <c r="J633" s="1">
        <v>0</v>
      </c>
      <c r="K633" s="1">
        <v>13742924</v>
      </c>
      <c r="L633" s="1">
        <v>0</v>
      </c>
      <c r="M633" s="1">
        <v>4620000</v>
      </c>
      <c r="N633" s="1">
        <v>0</v>
      </c>
      <c r="O633" s="1">
        <v>1000000</v>
      </c>
      <c r="P633" s="1">
        <v>3273032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1848000</v>
      </c>
      <c r="W633" s="1">
        <v>0</v>
      </c>
      <c r="X633" s="1">
        <v>15977717</v>
      </c>
      <c r="Y633" s="1">
        <v>4000000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2571667</v>
      </c>
      <c r="AH633" s="1">
        <v>3670854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7948589</v>
      </c>
      <c r="AO633" s="1">
        <v>0</v>
      </c>
      <c r="AP633" s="1">
        <v>0</v>
      </c>
      <c r="AQ633" s="1">
        <v>0</v>
      </c>
      <c r="AR633" s="1">
        <v>116388331</v>
      </c>
      <c r="AS633" s="1">
        <v>33310006</v>
      </c>
      <c r="AT633" s="1">
        <v>83078325</v>
      </c>
      <c r="AU633" s="1">
        <v>22543495</v>
      </c>
      <c r="AV633" s="1">
        <v>3381524</v>
      </c>
      <c r="AW633" s="1">
        <f t="shared" si="62"/>
        <v>142313350</v>
      </c>
    </row>
    <row r="634" spans="1:49" x14ac:dyDescent="0.2">
      <c r="A634" s="1" t="str">
        <f>"00734"</f>
        <v>00734</v>
      </c>
      <c r="B634" s="1" t="str">
        <f>"حسين"</f>
        <v>حسين</v>
      </c>
      <c r="C634" s="1" t="str">
        <f>"حيدريان"</f>
        <v>حيدريان</v>
      </c>
      <c r="D634" s="1" t="str">
        <f t="shared" ref="D634:D642" si="69">"قراردادي کارگري"</f>
        <v>قراردادي کارگري</v>
      </c>
      <c r="E634" s="1" t="str">
        <f t="shared" si="68"/>
        <v>پروژه تعميرات نيروگاه بوشهر</v>
      </c>
      <c r="F634" s="1">
        <v>0</v>
      </c>
      <c r="G634" s="1">
        <v>5404168</v>
      </c>
      <c r="H634" s="1">
        <v>2810168</v>
      </c>
      <c r="I634" s="1">
        <v>894023</v>
      </c>
      <c r="J634" s="1">
        <v>0</v>
      </c>
      <c r="K634" s="1">
        <v>5750035</v>
      </c>
      <c r="L634" s="1">
        <v>0</v>
      </c>
      <c r="M634" s="1">
        <v>0</v>
      </c>
      <c r="N634" s="1">
        <v>11521166</v>
      </c>
      <c r="O634" s="1">
        <v>2000000</v>
      </c>
      <c r="P634" s="1">
        <v>4323334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12423060</v>
      </c>
      <c r="Y634" s="1">
        <v>4000000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4471331</v>
      </c>
      <c r="AG634" s="1">
        <v>0</v>
      </c>
      <c r="AH634" s="1">
        <v>1835427</v>
      </c>
      <c r="AI634" s="1">
        <v>0</v>
      </c>
      <c r="AJ634" s="1">
        <v>0</v>
      </c>
      <c r="AK634" s="1">
        <v>0</v>
      </c>
      <c r="AL634" s="1">
        <v>19072485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74505197</v>
      </c>
      <c r="AS634" s="1">
        <v>22465962</v>
      </c>
      <c r="AT634" s="1">
        <v>52039235</v>
      </c>
      <c r="AU634" s="1">
        <v>14533954</v>
      </c>
      <c r="AV634" s="1">
        <v>2180093</v>
      </c>
      <c r="AW634" s="1">
        <f t="shared" si="62"/>
        <v>91219244</v>
      </c>
    </row>
    <row r="635" spans="1:49" x14ac:dyDescent="0.2">
      <c r="A635" s="1" t="str">
        <f>"00735"</f>
        <v>00735</v>
      </c>
      <c r="B635" s="1" t="str">
        <f>"هادي"</f>
        <v>هادي</v>
      </c>
      <c r="C635" s="1" t="str">
        <f>"خبازي"</f>
        <v>خبازي</v>
      </c>
      <c r="D635" s="1" t="str">
        <f t="shared" si="69"/>
        <v>قراردادي کارگري</v>
      </c>
      <c r="E635" s="1" t="str">
        <f t="shared" si="68"/>
        <v>پروژه تعميرات نيروگاه بوشهر</v>
      </c>
      <c r="F635" s="1">
        <v>0</v>
      </c>
      <c r="G635" s="1">
        <v>5689583</v>
      </c>
      <c r="H635" s="1">
        <v>2958583</v>
      </c>
      <c r="I635" s="1">
        <v>0</v>
      </c>
      <c r="J635" s="1">
        <v>0</v>
      </c>
      <c r="K635" s="1">
        <v>6053716</v>
      </c>
      <c r="L635" s="1">
        <v>0</v>
      </c>
      <c r="M635" s="1">
        <v>0</v>
      </c>
      <c r="N635" s="1">
        <v>11521166</v>
      </c>
      <c r="O635" s="1">
        <v>2000000</v>
      </c>
      <c r="P635" s="1">
        <v>4551666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2640000</v>
      </c>
      <c r="W635" s="1">
        <v>0</v>
      </c>
      <c r="X635" s="1">
        <v>12756277</v>
      </c>
      <c r="Y635" s="1">
        <v>4000000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52170991</v>
      </c>
      <c r="AS635" s="1">
        <v>6222271</v>
      </c>
      <c r="AT635" s="1">
        <v>45948720</v>
      </c>
      <c r="AU635" s="1">
        <v>10434198</v>
      </c>
      <c r="AV635" s="1">
        <v>1565130</v>
      </c>
      <c r="AW635" s="1">
        <f t="shared" si="62"/>
        <v>64170319</v>
      </c>
    </row>
    <row r="636" spans="1:49" x14ac:dyDescent="0.2">
      <c r="A636" s="1" t="str">
        <f>"00736"</f>
        <v>00736</v>
      </c>
      <c r="B636" s="1" t="str">
        <f>"امير"</f>
        <v>امير</v>
      </c>
      <c r="C636" s="1" t="str">
        <f>"روزرخ"</f>
        <v>روزرخ</v>
      </c>
      <c r="D636" s="1" t="str">
        <f t="shared" si="69"/>
        <v>قراردادي کارگري</v>
      </c>
      <c r="E636" s="1" t="str">
        <f t="shared" si="68"/>
        <v>پروژه تعميرات نيروگاه بوشهر</v>
      </c>
      <c r="F636" s="1">
        <v>0</v>
      </c>
      <c r="G636" s="1">
        <v>8127415</v>
      </c>
      <c r="H636" s="1">
        <v>4063707</v>
      </c>
      <c r="I636" s="1">
        <v>0</v>
      </c>
      <c r="J636" s="1">
        <v>0</v>
      </c>
      <c r="K636" s="1">
        <v>9752898</v>
      </c>
      <c r="L636" s="1">
        <v>0</v>
      </c>
      <c r="M636" s="1">
        <v>0</v>
      </c>
      <c r="N636" s="1">
        <v>11331151</v>
      </c>
      <c r="O636" s="1">
        <v>2000000</v>
      </c>
      <c r="P636" s="1">
        <v>6501932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2640000</v>
      </c>
      <c r="W636" s="1">
        <v>0</v>
      </c>
      <c r="X636" s="1">
        <v>15862101</v>
      </c>
      <c r="Y636" s="1">
        <v>4000000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3670854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67950058</v>
      </c>
      <c r="AS636" s="1">
        <v>11843522</v>
      </c>
      <c r="AT636" s="1">
        <v>56106536</v>
      </c>
      <c r="AU636" s="1">
        <v>12855841</v>
      </c>
      <c r="AV636" s="1">
        <v>1928376</v>
      </c>
      <c r="AW636" s="1">
        <f t="shared" si="62"/>
        <v>82734275</v>
      </c>
    </row>
    <row r="637" spans="1:49" x14ac:dyDescent="0.2">
      <c r="A637" s="1" t="str">
        <f>"00737"</f>
        <v>00737</v>
      </c>
      <c r="B637" s="1" t="str">
        <f>"ماشاءاله"</f>
        <v>ماشاءاله</v>
      </c>
      <c r="C637" s="1" t="str">
        <f>"رفيعي"</f>
        <v>رفيعي</v>
      </c>
      <c r="D637" s="1" t="str">
        <f t="shared" si="69"/>
        <v>قراردادي کارگري</v>
      </c>
      <c r="E637" s="1" t="str">
        <f t="shared" si="68"/>
        <v>پروژه تعميرات نيروگاه بوشهر</v>
      </c>
      <c r="F637" s="1">
        <v>0</v>
      </c>
      <c r="G637" s="1">
        <v>8150702</v>
      </c>
      <c r="H637" s="1">
        <v>4156858</v>
      </c>
      <c r="I637" s="1">
        <v>12834815</v>
      </c>
      <c r="J637" s="1">
        <v>0</v>
      </c>
      <c r="K637" s="1">
        <v>9107594</v>
      </c>
      <c r="L637" s="1">
        <v>0</v>
      </c>
      <c r="M637" s="1">
        <v>0</v>
      </c>
      <c r="N637" s="1">
        <v>11521166</v>
      </c>
      <c r="O637" s="1">
        <v>2000000</v>
      </c>
      <c r="P637" s="1">
        <v>6520562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2640000</v>
      </c>
      <c r="W637" s="1">
        <v>0</v>
      </c>
      <c r="X637" s="1">
        <v>14039491</v>
      </c>
      <c r="Y637" s="1">
        <v>4000000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5506281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80477469</v>
      </c>
      <c r="AS637" s="1">
        <v>24378096</v>
      </c>
      <c r="AT637" s="1">
        <v>56099373</v>
      </c>
      <c r="AU637" s="1">
        <v>14994238</v>
      </c>
      <c r="AV637" s="1">
        <v>2249136</v>
      </c>
      <c r="AW637" s="1">
        <f t="shared" si="62"/>
        <v>97720843</v>
      </c>
    </row>
    <row r="638" spans="1:49" x14ac:dyDescent="0.2">
      <c r="A638" s="1" t="str">
        <f>"00738"</f>
        <v>00738</v>
      </c>
      <c r="B638" s="1" t="str">
        <f>"احمد"</f>
        <v>احمد</v>
      </c>
      <c r="C638" s="1" t="str">
        <f>"غلامي"</f>
        <v>غلامي</v>
      </c>
      <c r="D638" s="1" t="str">
        <f t="shared" si="69"/>
        <v>قراردادي کارگري</v>
      </c>
      <c r="E638" s="1" t="str">
        <f t="shared" si="68"/>
        <v>پروژه تعميرات نيروگاه بوشهر</v>
      </c>
      <c r="F638" s="1">
        <v>0</v>
      </c>
      <c r="G638" s="1">
        <v>5436921</v>
      </c>
      <c r="H638" s="1">
        <v>2772829</v>
      </c>
      <c r="I638" s="1">
        <v>2277500</v>
      </c>
      <c r="J638" s="1">
        <v>0</v>
      </c>
      <c r="K638" s="1">
        <v>5993117</v>
      </c>
      <c r="L638" s="1">
        <v>0</v>
      </c>
      <c r="M638" s="1">
        <v>0</v>
      </c>
      <c r="N638" s="1">
        <v>11572430</v>
      </c>
      <c r="O638" s="1">
        <v>2000000</v>
      </c>
      <c r="P638" s="1">
        <v>4349537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15982927</v>
      </c>
      <c r="Y638" s="1">
        <v>4000000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4518725</v>
      </c>
      <c r="AG638" s="1">
        <v>0</v>
      </c>
      <c r="AH638" s="1">
        <v>1835427</v>
      </c>
      <c r="AI638" s="1">
        <v>0</v>
      </c>
      <c r="AJ638" s="1">
        <v>0</v>
      </c>
      <c r="AK638" s="1">
        <v>0</v>
      </c>
      <c r="AL638" s="1">
        <v>2082286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62821699</v>
      </c>
      <c r="AS638" s="1">
        <v>19310364</v>
      </c>
      <c r="AT638" s="1">
        <v>43511335</v>
      </c>
      <c r="AU638" s="1">
        <v>12197254</v>
      </c>
      <c r="AV638" s="1">
        <v>1829588</v>
      </c>
      <c r="AW638" s="1">
        <f t="shared" si="62"/>
        <v>76848541</v>
      </c>
    </row>
    <row r="639" spans="1:49" x14ac:dyDescent="0.2">
      <c r="A639" s="1" t="str">
        <f>"00739"</f>
        <v>00739</v>
      </c>
      <c r="B639" s="1" t="str">
        <f>"سعيد"</f>
        <v>سعيد</v>
      </c>
      <c r="C639" s="1" t="str">
        <f>"آقايي کردشامي"</f>
        <v>آقايي کردشامي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0</v>
      </c>
      <c r="G639" s="1">
        <v>5666188</v>
      </c>
      <c r="H639" s="1">
        <v>2946418</v>
      </c>
      <c r="I639" s="1">
        <v>0</v>
      </c>
      <c r="J639" s="1">
        <v>0</v>
      </c>
      <c r="K639" s="1">
        <v>6201077</v>
      </c>
      <c r="L639" s="1">
        <v>0</v>
      </c>
      <c r="M639" s="1">
        <v>0</v>
      </c>
      <c r="N639" s="1">
        <v>11521166</v>
      </c>
      <c r="O639" s="1">
        <v>2000000</v>
      </c>
      <c r="P639" s="1">
        <v>4532950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2640000</v>
      </c>
      <c r="W639" s="1">
        <v>0</v>
      </c>
      <c r="X639" s="1">
        <v>11398348</v>
      </c>
      <c r="Y639" s="1">
        <v>4000000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3670854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54577001</v>
      </c>
      <c r="AS639" s="1">
        <v>15771832</v>
      </c>
      <c r="AT639" s="1">
        <v>38805169</v>
      </c>
      <c r="AU639" s="1">
        <v>10181229</v>
      </c>
      <c r="AV639" s="1">
        <v>1527184</v>
      </c>
      <c r="AW639" s="1">
        <f t="shared" si="62"/>
        <v>66285414</v>
      </c>
    </row>
    <row r="640" spans="1:49" x14ac:dyDescent="0.2">
      <c r="A640" s="1" t="str">
        <f>"00740"</f>
        <v>00740</v>
      </c>
      <c r="B640" s="1" t="str">
        <f>"محمد"</f>
        <v>محمد</v>
      </c>
      <c r="C640" s="1" t="str">
        <f>"ماهيني"</f>
        <v>ماهيني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0</v>
      </c>
      <c r="G640" s="1">
        <v>5670867</v>
      </c>
      <c r="H640" s="1">
        <v>2948851</v>
      </c>
      <c r="I640" s="1">
        <v>7383152</v>
      </c>
      <c r="J640" s="1">
        <v>0</v>
      </c>
      <c r="K640" s="1">
        <v>6464789</v>
      </c>
      <c r="L640" s="1">
        <v>0</v>
      </c>
      <c r="M640" s="1">
        <v>0</v>
      </c>
      <c r="N640" s="1">
        <v>11521166</v>
      </c>
      <c r="O640" s="1">
        <v>2000000</v>
      </c>
      <c r="P640" s="1">
        <v>4536694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2640000</v>
      </c>
      <c r="W640" s="1">
        <v>0</v>
      </c>
      <c r="X640" s="1">
        <v>3734236</v>
      </c>
      <c r="Y640" s="1">
        <v>4000000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50899755</v>
      </c>
      <c r="AS640" s="1">
        <v>6256432</v>
      </c>
      <c r="AT640" s="1">
        <v>44643323</v>
      </c>
      <c r="AU640" s="1">
        <v>10179951</v>
      </c>
      <c r="AV640" s="1">
        <v>1526993</v>
      </c>
      <c r="AW640" s="1">
        <f t="shared" si="62"/>
        <v>62606699</v>
      </c>
    </row>
    <row r="641" spans="1:49" x14ac:dyDescent="0.2">
      <c r="A641" s="1" t="str">
        <f>"00742"</f>
        <v>00742</v>
      </c>
      <c r="B641" s="1" t="str">
        <f>"امير"</f>
        <v>امير</v>
      </c>
      <c r="C641" s="1" t="str">
        <f>"رستمي پور"</f>
        <v>رستمي پور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0</v>
      </c>
      <c r="G641" s="1">
        <v>5118753</v>
      </c>
      <c r="H641" s="1">
        <v>2661752</v>
      </c>
      <c r="I641" s="1">
        <v>0</v>
      </c>
      <c r="J641" s="1">
        <v>0</v>
      </c>
      <c r="K641" s="1">
        <v>5913184</v>
      </c>
      <c r="L641" s="1">
        <v>0</v>
      </c>
      <c r="M641" s="1">
        <v>0</v>
      </c>
      <c r="N641" s="1">
        <v>11521166</v>
      </c>
      <c r="O641" s="1">
        <v>2000000</v>
      </c>
      <c r="P641" s="1">
        <v>4095003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2640000</v>
      </c>
      <c r="W641" s="1">
        <v>0</v>
      </c>
      <c r="X641" s="1">
        <v>3550986</v>
      </c>
      <c r="Y641" s="1">
        <v>4000000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41500844</v>
      </c>
      <c r="AS641" s="1">
        <v>4898936</v>
      </c>
      <c r="AT641" s="1">
        <v>36601908</v>
      </c>
      <c r="AU641" s="1">
        <v>8300169</v>
      </c>
      <c r="AV641" s="1">
        <v>1245025</v>
      </c>
      <c r="AW641" s="1">
        <f t="shared" si="62"/>
        <v>51046038</v>
      </c>
    </row>
    <row r="642" spans="1:49" x14ac:dyDescent="0.2">
      <c r="A642" s="1" t="str">
        <f>"00743"</f>
        <v>00743</v>
      </c>
      <c r="B642" s="1" t="str">
        <f>"حسين"</f>
        <v>حسين</v>
      </c>
      <c r="C642" s="1" t="str">
        <f>"جباري فرد"</f>
        <v>جباري فرد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0</v>
      </c>
      <c r="G642" s="1">
        <v>5712978</v>
      </c>
      <c r="H642" s="1">
        <v>2970749</v>
      </c>
      <c r="I642" s="1">
        <v>8181409</v>
      </c>
      <c r="J642" s="1">
        <v>0</v>
      </c>
      <c r="K642" s="1">
        <v>6165445</v>
      </c>
      <c r="L642" s="1">
        <v>0</v>
      </c>
      <c r="M642" s="1">
        <v>0</v>
      </c>
      <c r="N642" s="1">
        <v>11521166</v>
      </c>
      <c r="O642" s="1">
        <v>2000000</v>
      </c>
      <c r="P642" s="1">
        <v>4570382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2640000</v>
      </c>
      <c r="W642" s="1">
        <v>0</v>
      </c>
      <c r="X642" s="1">
        <v>7706699</v>
      </c>
      <c r="Y642" s="1">
        <v>4000000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1835427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57304255</v>
      </c>
      <c r="AS642" s="1">
        <v>11936436</v>
      </c>
      <c r="AT642" s="1">
        <v>45367819</v>
      </c>
      <c r="AU642" s="1">
        <v>11093766</v>
      </c>
      <c r="AV642" s="1">
        <v>1664065</v>
      </c>
      <c r="AW642" s="1">
        <f t="shared" si="62"/>
        <v>70062086</v>
      </c>
    </row>
    <row r="643" spans="1:49" x14ac:dyDescent="0.2">
      <c r="A643" s="1" t="str">
        <f>"00744"</f>
        <v>00744</v>
      </c>
      <c r="B643" s="1" t="str">
        <f>"منصور"</f>
        <v>منصور</v>
      </c>
      <c r="C643" s="1" t="str">
        <f>"صفايان آزاد"</f>
        <v>صفايان آزاد</v>
      </c>
      <c r="D643" s="1" t="str">
        <f>"قراردادي بهره بردار"</f>
        <v>قراردادي بهره بردار</v>
      </c>
      <c r="E643" s="1" t="str">
        <f>"پروژه بهره برداري نيروگاه بوشهر"</f>
        <v>پروژه بهره برداري نيروگاه بوشهر</v>
      </c>
      <c r="F643" s="1">
        <v>16161096</v>
      </c>
      <c r="G643" s="1">
        <v>0</v>
      </c>
      <c r="H643" s="1">
        <v>0</v>
      </c>
      <c r="I643" s="1">
        <v>7311483</v>
      </c>
      <c r="J643" s="1">
        <v>0</v>
      </c>
      <c r="K643" s="1">
        <v>11978947</v>
      </c>
      <c r="L643" s="1">
        <v>0</v>
      </c>
      <c r="M643" s="1">
        <v>4620000</v>
      </c>
      <c r="N643" s="1">
        <v>0</v>
      </c>
      <c r="O643" s="1">
        <v>1000000</v>
      </c>
      <c r="P643" s="1">
        <v>2755448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1848000</v>
      </c>
      <c r="W643" s="1">
        <v>0</v>
      </c>
      <c r="X643" s="1">
        <v>14765338</v>
      </c>
      <c r="Y643" s="1">
        <v>4000000</v>
      </c>
      <c r="Z643" s="1">
        <v>2345966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2164995</v>
      </c>
      <c r="AH643" s="1">
        <v>3670854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9737596</v>
      </c>
      <c r="AO643" s="1">
        <v>0</v>
      </c>
      <c r="AP643" s="1">
        <v>0</v>
      </c>
      <c r="AQ643" s="1">
        <v>0</v>
      </c>
      <c r="AR643" s="1">
        <v>82359723</v>
      </c>
      <c r="AS643" s="1">
        <v>28333017</v>
      </c>
      <c r="AT643" s="1">
        <v>54026706</v>
      </c>
      <c r="AU643" s="1">
        <v>15737774</v>
      </c>
      <c r="AV643" s="1">
        <v>2360666</v>
      </c>
      <c r="AW643" s="1">
        <f t="shared" ref="AW643:AW706" si="70">AR643+AU643+AV643</f>
        <v>100458163</v>
      </c>
    </row>
    <row r="644" spans="1:49" x14ac:dyDescent="0.2">
      <c r="A644" s="1" t="str">
        <f>"00745"</f>
        <v>00745</v>
      </c>
      <c r="B644" s="1" t="str">
        <f>"بهروز"</f>
        <v>بهروز</v>
      </c>
      <c r="C644" s="1" t="str">
        <f>"بحراني"</f>
        <v>بحراني</v>
      </c>
      <c r="D644" s="1" t="str">
        <f>"قراردادي بهره بردار"</f>
        <v>قراردادي بهره بردار</v>
      </c>
      <c r="E644" s="1" t="str">
        <f>"پروژه تعميرات نيروگاه بوشهر"</f>
        <v>پروژه تعميرات نيروگاه بوشهر</v>
      </c>
      <c r="F644" s="1">
        <v>22028468</v>
      </c>
      <c r="G644" s="1">
        <v>0</v>
      </c>
      <c r="H644" s="1">
        <v>0</v>
      </c>
      <c r="I644" s="1">
        <v>4960179</v>
      </c>
      <c r="J644" s="1">
        <v>0</v>
      </c>
      <c r="K644" s="1">
        <v>17990931</v>
      </c>
      <c r="L644" s="1">
        <v>0</v>
      </c>
      <c r="M644" s="1">
        <v>5500000</v>
      </c>
      <c r="N644" s="1">
        <v>0</v>
      </c>
      <c r="O644" s="1">
        <v>1000000</v>
      </c>
      <c r="P644" s="1">
        <v>3847928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1848000</v>
      </c>
      <c r="W644" s="1">
        <v>0</v>
      </c>
      <c r="X644" s="1">
        <v>16325206</v>
      </c>
      <c r="Y644" s="1">
        <v>4000000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3023372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7076923</v>
      </c>
      <c r="AO644" s="1">
        <v>0</v>
      </c>
      <c r="AP644" s="1">
        <v>0</v>
      </c>
      <c r="AQ644" s="1">
        <v>0</v>
      </c>
      <c r="AR644" s="1">
        <v>87601007</v>
      </c>
      <c r="AS644" s="1">
        <v>22358953</v>
      </c>
      <c r="AT644" s="1">
        <v>65242054</v>
      </c>
      <c r="AU644" s="1">
        <v>17520201</v>
      </c>
      <c r="AV644" s="1">
        <v>2628030</v>
      </c>
      <c r="AW644" s="1">
        <f t="shared" si="70"/>
        <v>107749238</v>
      </c>
    </row>
    <row r="645" spans="1:49" x14ac:dyDescent="0.2">
      <c r="A645" s="1" t="str">
        <f>"00746"</f>
        <v>00746</v>
      </c>
      <c r="B645" s="1" t="str">
        <f>"عبدالکريم"</f>
        <v>عبدالکريم</v>
      </c>
      <c r="C645" s="1" t="str">
        <f>"اسفندياري"</f>
        <v>اسفندياري</v>
      </c>
      <c r="D645" s="1" t="str">
        <f>"قراردادي کارگري"</f>
        <v>قراردادي کارگري</v>
      </c>
      <c r="E645" s="1" t="str">
        <f>"پروژه تعميرات نيروگاه بوشهر"</f>
        <v>پروژه تعميرات نيروگاه بوشهر</v>
      </c>
      <c r="F645" s="1">
        <v>0</v>
      </c>
      <c r="G645" s="1">
        <v>7130694</v>
      </c>
      <c r="H645" s="1">
        <v>3636654</v>
      </c>
      <c r="I645" s="1">
        <v>4207181</v>
      </c>
      <c r="J645" s="1">
        <v>0</v>
      </c>
      <c r="K645" s="1">
        <v>7752491</v>
      </c>
      <c r="L645" s="1">
        <v>0</v>
      </c>
      <c r="M645" s="1">
        <v>0</v>
      </c>
      <c r="N645" s="1">
        <v>11521166</v>
      </c>
      <c r="O645" s="1">
        <v>2000000</v>
      </c>
      <c r="P645" s="1">
        <v>5704556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2640000</v>
      </c>
      <c r="W645" s="1">
        <v>0</v>
      </c>
      <c r="X645" s="1">
        <v>18456046</v>
      </c>
      <c r="Y645" s="1">
        <v>4000000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5361834</v>
      </c>
      <c r="AG645" s="1">
        <v>0</v>
      </c>
      <c r="AH645" s="1">
        <v>5506281</v>
      </c>
      <c r="AI645" s="1">
        <v>0</v>
      </c>
      <c r="AJ645" s="1">
        <v>0</v>
      </c>
      <c r="AK645" s="1">
        <v>0</v>
      </c>
      <c r="AL645" s="1">
        <v>4895629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82812532</v>
      </c>
      <c r="AS645" s="1">
        <v>13634748</v>
      </c>
      <c r="AT645" s="1">
        <v>69177784</v>
      </c>
      <c r="AU645" s="1">
        <v>15461250</v>
      </c>
      <c r="AV645" s="1">
        <v>2319188</v>
      </c>
      <c r="AW645" s="1">
        <f t="shared" si="70"/>
        <v>100592970</v>
      </c>
    </row>
    <row r="646" spans="1:49" x14ac:dyDescent="0.2">
      <c r="A646" s="1" t="str">
        <f>"00747"</f>
        <v>00747</v>
      </c>
      <c r="B646" s="1" t="str">
        <f>"محراب"</f>
        <v>محراب</v>
      </c>
      <c r="C646" s="1" t="str">
        <f>"احمدي زاده"</f>
        <v>احمدي زاده</v>
      </c>
      <c r="D646" s="1" t="str">
        <f>"قراردادي کارگري"</f>
        <v>قراردادي کارگري</v>
      </c>
      <c r="E646" s="1" t="str">
        <f>"پروژه تعميرات نيروگاه بوشهر"</f>
        <v>پروژه تعميرات نيروگاه بوشهر</v>
      </c>
      <c r="F646" s="1">
        <v>0</v>
      </c>
      <c r="G646" s="1">
        <v>6810568</v>
      </c>
      <c r="H646" s="1">
        <v>3405284</v>
      </c>
      <c r="I646" s="1">
        <v>0</v>
      </c>
      <c r="J646" s="1">
        <v>0</v>
      </c>
      <c r="K646" s="1">
        <v>8070522</v>
      </c>
      <c r="L646" s="1">
        <v>0</v>
      </c>
      <c r="M646" s="1">
        <v>0</v>
      </c>
      <c r="N646" s="1">
        <v>11331151</v>
      </c>
      <c r="O646" s="1">
        <v>2000000</v>
      </c>
      <c r="P646" s="1">
        <v>5448455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2640000</v>
      </c>
      <c r="W646" s="1">
        <v>0</v>
      </c>
      <c r="X646" s="1">
        <v>10832320</v>
      </c>
      <c r="Y646" s="1">
        <v>4000000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1835427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56373727</v>
      </c>
      <c r="AS646" s="1">
        <v>13559220</v>
      </c>
      <c r="AT646" s="1">
        <v>42814507</v>
      </c>
      <c r="AU646" s="1">
        <v>10907660</v>
      </c>
      <c r="AV646" s="1">
        <v>1636149</v>
      </c>
      <c r="AW646" s="1">
        <f t="shared" si="70"/>
        <v>68917536</v>
      </c>
    </row>
    <row r="647" spans="1:49" x14ac:dyDescent="0.2">
      <c r="A647" s="1" t="str">
        <f>"00748"</f>
        <v>00748</v>
      </c>
      <c r="B647" s="1" t="str">
        <f>"يعقوب"</f>
        <v>يعقوب</v>
      </c>
      <c r="C647" s="1" t="str">
        <f>"افراز"</f>
        <v>افراز</v>
      </c>
      <c r="D647" s="1" t="str">
        <f>"قراردادي بهره بردار"</f>
        <v>قراردادي بهره بردار</v>
      </c>
      <c r="E647" s="1" t="str">
        <f>"پروژه بهره برداري نيروگاه بوشهر"</f>
        <v>پروژه بهره برداري نيروگاه بوشهر</v>
      </c>
      <c r="F647" s="1">
        <v>14669690</v>
      </c>
      <c r="G647" s="1">
        <v>0</v>
      </c>
      <c r="H647" s="1">
        <v>0</v>
      </c>
      <c r="I647" s="1">
        <v>1446618</v>
      </c>
      <c r="J647" s="1">
        <v>0</v>
      </c>
      <c r="K647" s="1">
        <v>10477669</v>
      </c>
      <c r="L647" s="1">
        <v>0</v>
      </c>
      <c r="M647" s="1">
        <v>4620000</v>
      </c>
      <c r="N647" s="1">
        <v>0</v>
      </c>
      <c r="O647" s="1">
        <v>1000000</v>
      </c>
      <c r="P647" s="1">
        <v>2511205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1848000</v>
      </c>
      <c r="W647" s="1">
        <v>0</v>
      </c>
      <c r="X647" s="1">
        <v>3727390</v>
      </c>
      <c r="Y647" s="1">
        <v>4000000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1973090</v>
      </c>
      <c r="AH647" s="1">
        <v>3670854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7642246</v>
      </c>
      <c r="AO647" s="1">
        <v>0</v>
      </c>
      <c r="AP647" s="1">
        <v>0</v>
      </c>
      <c r="AQ647" s="1">
        <v>0</v>
      </c>
      <c r="AR647" s="1">
        <v>57586762</v>
      </c>
      <c r="AS647" s="1">
        <v>31459873</v>
      </c>
      <c r="AT647" s="1">
        <v>26126889</v>
      </c>
      <c r="AU647" s="1">
        <v>10783182</v>
      </c>
      <c r="AV647" s="1">
        <v>1617477</v>
      </c>
      <c r="AW647" s="1">
        <f t="shared" si="70"/>
        <v>69987421</v>
      </c>
    </row>
    <row r="648" spans="1:49" x14ac:dyDescent="0.2">
      <c r="A648" s="1" t="str">
        <f>"00749"</f>
        <v>00749</v>
      </c>
      <c r="B648" s="1" t="str">
        <f>"عليرضا"</f>
        <v>عليرضا</v>
      </c>
      <c r="C648" s="1" t="str">
        <f>"بدره"</f>
        <v>بدره</v>
      </c>
      <c r="D648" s="1" t="str">
        <f t="shared" ref="D648:D657" si="71">"قراردادي کارگري"</f>
        <v>قراردادي کارگري</v>
      </c>
      <c r="E648" s="1" t="str">
        <f t="shared" ref="E648:E657" si="72">"پروژه تعميرات نيروگاه بوشهر"</f>
        <v>پروژه تعميرات نيروگاه بوشهر</v>
      </c>
      <c r="F648" s="1">
        <v>0</v>
      </c>
      <c r="G648" s="1">
        <v>5048569</v>
      </c>
      <c r="H648" s="1">
        <v>2625256</v>
      </c>
      <c r="I648" s="1">
        <v>0</v>
      </c>
      <c r="J648" s="1">
        <v>0</v>
      </c>
      <c r="K648" s="1">
        <v>5678631</v>
      </c>
      <c r="L648" s="1">
        <v>0</v>
      </c>
      <c r="M648" s="1">
        <v>0</v>
      </c>
      <c r="N648" s="1">
        <v>11521166</v>
      </c>
      <c r="O648" s="1">
        <v>2000000</v>
      </c>
      <c r="P648" s="1">
        <v>4038856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2640000</v>
      </c>
      <c r="W648" s="1">
        <v>0</v>
      </c>
      <c r="X648" s="1">
        <v>8865900</v>
      </c>
      <c r="Y648" s="1">
        <v>4000000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1835427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48253805</v>
      </c>
      <c r="AS648" s="1">
        <v>8794538</v>
      </c>
      <c r="AT648" s="1">
        <v>39459267</v>
      </c>
      <c r="AU648" s="1">
        <v>9283676</v>
      </c>
      <c r="AV648" s="1">
        <v>1392551</v>
      </c>
      <c r="AW648" s="1">
        <f t="shared" si="70"/>
        <v>58930032</v>
      </c>
    </row>
    <row r="649" spans="1:49" x14ac:dyDescent="0.2">
      <c r="A649" s="1" t="str">
        <f>"00750"</f>
        <v>00750</v>
      </c>
      <c r="B649" s="1" t="str">
        <f>"ابوالفضل"</f>
        <v>ابوالفضل</v>
      </c>
      <c r="C649" s="1" t="str">
        <f>"جمالي"</f>
        <v>جمالي</v>
      </c>
      <c r="D649" s="1" t="str">
        <f t="shared" si="71"/>
        <v>قراردادي کارگري</v>
      </c>
      <c r="E649" s="1" t="str">
        <f t="shared" si="72"/>
        <v>پروژه تعميرات نيروگاه بوشهر</v>
      </c>
      <c r="F649" s="1">
        <v>0</v>
      </c>
      <c r="G649" s="1">
        <v>8055400</v>
      </c>
      <c r="H649" s="1">
        <v>4027700</v>
      </c>
      <c r="I649" s="1">
        <v>1065861</v>
      </c>
      <c r="J649" s="1">
        <v>0</v>
      </c>
      <c r="K649" s="1">
        <v>9545648</v>
      </c>
      <c r="L649" s="1">
        <v>0</v>
      </c>
      <c r="M649" s="1">
        <v>0</v>
      </c>
      <c r="N649" s="1">
        <v>11331151</v>
      </c>
      <c r="O649" s="1">
        <v>2000000</v>
      </c>
      <c r="P649" s="1">
        <v>6444319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2640000</v>
      </c>
      <c r="W649" s="1">
        <v>0</v>
      </c>
      <c r="X649" s="1">
        <v>10945013</v>
      </c>
      <c r="Y649" s="1">
        <v>4000000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60055092</v>
      </c>
      <c r="AS649" s="1">
        <v>19299184</v>
      </c>
      <c r="AT649" s="1">
        <v>40755908</v>
      </c>
      <c r="AU649" s="1">
        <v>12011018</v>
      </c>
      <c r="AV649" s="1">
        <v>1801653</v>
      </c>
      <c r="AW649" s="1">
        <f t="shared" si="70"/>
        <v>73867763</v>
      </c>
    </row>
    <row r="650" spans="1:49" x14ac:dyDescent="0.2">
      <c r="A650" s="1" t="str">
        <f>"00751"</f>
        <v>00751</v>
      </c>
      <c r="B650" s="1" t="str">
        <f>"علي اصغر"</f>
        <v>علي اصغر</v>
      </c>
      <c r="C650" s="1" t="str">
        <f>"رستمي پور"</f>
        <v>رستمي پور</v>
      </c>
      <c r="D650" s="1" t="str">
        <f t="shared" si="71"/>
        <v>قراردادي کارگري</v>
      </c>
      <c r="E650" s="1" t="str">
        <f t="shared" si="72"/>
        <v>پروژه تعميرات نيروگاه بوشهر</v>
      </c>
      <c r="F650" s="1">
        <v>0</v>
      </c>
      <c r="G650" s="1">
        <v>8075975</v>
      </c>
      <c r="H650" s="1">
        <v>4037988</v>
      </c>
      <c r="I650" s="1">
        <v>1088684</v>
      </c>
      <c r="J650" s="1">
        <v>0</v>
      </c>
      <c r="K650" s="1">
        <v>9812310</v>
      </c>
      <c r="L650" s="1">
        <v>0</v>
      </c>
      <c r="M650" s="1">
        <v>0</v>
      </c>
      <c r="N650" s="1">
        <v>11331151</v>
      </c>
      <c r="O650" s="1">
        <v>2000000</v>
      </c>
      <c r="P650" s="1">
        <v>6460780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2640000</v>
      </c>
      <c r="W650" s="1">
        <v>0</v>
      </c>
      <c r="X650" s="1">
        <v>11709142</v>
      </c>
      <c r="Y650" s="1">
        <v>4000000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3670854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64826884</v>
      </c>
      <c r="AS650" s="1">
        <v>10559518</v>
      </c>
      <c r="AT650" s="1">
        <v>54267366</v>
      </c>
      <c r="AU650" s="1">
        <v>12231206</v>
      </c>
      <c r="AV650" s="1">
        <v>1834681</v>
      </c>
      <c r="AW650" s="1">
        <f t="shared" si="70"/>
        <v>78892771</v>
      </c>
    </row>
    <row r="651" spans="1:49" x14ac:dyDescent="0.2">
      <c r="A651" s="1" t="str">
        <f>"00752"</f>
        <v>00752</v>
      </c>
      <c r="B651" s="1" t="str">
        <f>"سجاد"</f>
        <v>سجاد</v>
      </c>
      <c r="C651" s="1" t="str">
        <f>"رضائيان"</f>
        <v>رضائيان</v>
      </c>
      <c r="D651" s="1" t="str">
        <f t="shared" si="71"/>
        <v>قراردادي کارگري</v>
      </c>
      <c r="E651" s="1" t="str">
        <f t="shared" si="72"/>
        <v>پروژه تعميرات نيروگاه بوشهر</v>
      </c>
      <c r="F651" s="1">
        <v>0</v>
      </c>
      <c r="G651" s="1">
        <v>7484423</v>
      </c>
      <c r="H651" s="1">
        <v>3742212</v>
      </c>
      <c r="I651" s="1">
        <v>2906462</v>
      </c>
      <c r="J651" s="1">
        <v>0</v>
      </c>
      <c r="K651" s="1">
        <v>9205841</v>
      </c>
      <c r="L651" s="1">
        <v>0</v>
      </c>
      <c r="M651" s="1">
        <v>0</v>
      </c>
      <c r="N651" s="1">
        <v>11331151</v>
      </c>
      <c r="O651" s="1">
        <v>2000000</v>
      </c>
      <c r="P651" s="1">
        <v>5987539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2640000</v>
      </c>
      <c r="W651" s="1">
        <v>0</v>
      </c>
      <c r="X651" s="1">
        <v>13734739</v>
      </c>
      <c r="Y651" s="1">
        <v>4000000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3670854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66703221</v>
      </c>
      <c r="AS651" s="1">
        <v>11260480</v>
      </c>
      <c r="AT651" s="1">
        <v>55442741</v>
      </c>
      <c r="AU651" s="1">
        <v>12606473</v>
      </c>
      <c r="AV651" s="1">
        <v>1890971</v>
      </c>
      <c r="AW651" s="1">
        <f t="shared" si="70"/>
        <v>81200665</v>
      </c>
    </row>
    <row r="652" spans="1:49" x14ac:dyDescent="0.2">
      <c r="A652" s="1" t="str">
        <f>"00753"</f>
        <v>00753</v>
      </c>
      <c r="B652" s="1" t="str">
        <f>"احمد"</f>
        <v>احمد</v>
      </c>
      <c r="C652" s="1" t="str">
        <f>"كرمي"</f>
        <v>كرمي</v>
      </c>
      <c r="D652" s="1" t="str">
        <f t="shared" si="71"/>
        <v>قراردادي کارگري</v>
      </c>
      <c r="E652" s="1" t="str">
        <f t="shared" si="72"/>
        <v>پروژه تعميرات نيروگاه بوشهر</v>
      </c>
      <c r="F652" s="1">
        <v>0</v>
      </c>
      <c r="G652" s="1">
        <v>6831143</v>
      </c>
      <c r="H652" s="1">
        <v>3415572</v>
      </c>
      <c r="I652" s="1">
        <v>8035569</v>
      </c>
      <c r="J652" s="1">
        <v>0</v>
      </c>
      <c r="K652" s="1">
        <v>7992438</v>
      </c>
      <c r="L652" s="1">
        <v>0</v>
      </c>
      <c r="M652" s="1">
        <v>0</v>
      </c>
      <c r="N652" s="1">
        <v>11331151</v>
      </c>
      <c r="O652" s="1">
        <v>2000000</v>
      </c>
      <c r="P652" s="1">
        <v>5464915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2640000</v>
      </c>
      <c r="W652" s="1">
        <v>0</v>
      </c>
      <c r="X652" s="1">
        <v>10514981</v>
      </c>
      <c r="Y652" s="1">
        <v>4000000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1835427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64061196</v>
      </c>
      <c r="AS652" s="1">
        <v>8671143</v>
      </c>
      <c r="AT652" s="1">
        <v>55390053</v>
      </c>
      <c r="AU652" s="1">
        <v>12445154</v>
      </c>
      <c r="AV652" s="1">
        <v>1866773</v>
      </c>
      <c r="AW652" s="1">
        <f t="shared" si="70"/>
        <v>78373123</v>
      </c>
    </row>
    <row r="653" spans="1:49" x14ac:dyDescent="0.2">
      <c r="A653" s="1" t="str">
        <f>"00754"</f>
        <v>00754</v>
      </c>
      <c r="B653" s="1" t="str">
        <f>"احمد"</f>
        <v>احمد</v>
      </c>
      <c r="C653" s="1" t="str">
        <f>"كره بندي"</f>
        <v>كره بندي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0</v>
      </c>
      <c r="G653" s="1">
        <v>7417552</v>
      </c>
      <c r="H653" s="1">
        <v>3708776</v>
      </c>
      <c r="I653" s="1">
        <v>1703232</v>
      </c>
      <c r="J653" s="1">
        <v>0</v>
      </c>
      <c r="K653" s="1">
        <v>8901062</v>
      </c>
      <c r="L653" s="1">
        <v>0</v>
      </c>
      <c r="M653" s="1">
        <v>0</v>
      </c>
      <c r="N653" s="1">
        <v>11331151</v>
      </c>
      <c r="O653" s="1">
        <v>2000000</v>
      </c>
      <c r="P653" s="1">
        <v>5934042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2640000</v>
      </c>
      <c r="W653" s="1">
        <v>0</v>
      </c>
      <c r="X653" s="1">
        <v>10981877</v>
      </c>
      <c r="Y653" s="1">
        <v>4000000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58617692</v>
      </c>
      <c r="AS653" s="1">
        <v>7273084</v>
      </c>
      <c r="AT653" s="1">
        <v>51344608</v>
      </c>
      <c r="AU653" s="1">
        <v>11723538</v>
      </c>
      <c r="AV653" s="1">
        <v>1758531</v>
      </c>
      <c r="AW653" s="1">
        <f t="shared" si="70"/>
        <v>72099761</v>
      </c>
    </row>
    <row r="654" spans="1:49" x14ac:dyDescent="0.2">
      <c r="A654" s="1" t="str">
        <f>"00755"</f>
        <v>00755</v>
      </c>
      <c r="B654" s="1" t="str">
        <f>"مجتبي"</f>
        <v>مجتبي</v>
      </c>
      <c r="C654" s="1" t="str">
        <f>"محمدي"</f>
        <v>محمدي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0</v>
      </c>
      <c r="G654" s="1">
        <v>6255734</v>
      </c>
      <c r="H654" s="1">
        <v>3127867</v>
      </c>
      <c r="I654" s="1">
        <v>1733990</v>
      </c>
      <c r="J654" s="1">
        <v>0</v>
      </c>
      <c r="K654" s="1">
        <v>5630160</v>
      </c>
      <c r="L654" s="1">
        <v>0</v>
      </c>
      <c r="M654" s="1">
        <v>0</v>
      </c>
      <c r="N654" s="1">
        <v>11331151</v>
      </c>
      <c r="O654" s="1">
        <v>2000000</v>
      </c>
      <c r="P654" s="1">
        <v>5004587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2640000</v>
      </c>
      <c r="W654" s="1">
        <v>0</v>
      </c>
      <c r="X654" s="1">
        <v>3754950</v>
      </c>
      <c r="Y654" s="1">
        <v>4000000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3670854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49149293</v>
      </c>
      <c r="AS654" s="1">
        <v>10133049</v>
      </c>
      <c r="AT654" s="1">
        <v>39016244</v>
      </c>
      <c r="AU654" s="1">
        <v>9095688</v>
      </c>
      <c r="AV654" s="1">
        <v>1364353</v>
      </c>
      <c r="AW654" s="1">
        <f t="shared" si="70"/>
        <v>59609334</v>
      </c>
    </row>
    <row r="655" spans="1:49" x14ac:dyDescent="0.2">
      <c r="A655" s="1" t="str">
        <f>"00756"</f>
        <v>00756</v>
      </c>
      <c r="B655" s="1" t="str">
        <f>"محمد مهدي"</f>
        <v>محمد مهدي</v>
      </c>
      <c r="C655" s="1" t="str">
        <f>"نعيمي محمد آبادي"</f>
        <v>نعيمي محمد آبادي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0</v>
      </c>
      <c r="G655" s="1">
        <v>7448415</v>
      </c>
      <c r="H655" s="1">
        <v>3724208</v>
      </c>
      <c r="I655" s="1">
        <v>0</v>
      </c>
      <c r="J655" s="1">
        <v>0</v>
      </c>
      <c r="K655" s="1">
        <v>9161551</v>
      </c>
      <c r="L655" s="1">
        <v>0</v>
      </c>
      <c r="M655" s="1">
        <v>0</v>
      </c>
      <c r="N655" s="1">
        <v>11331151</v>
      </c>
      <c r="O655" s="1">
        <v>2000000</v>
      </c>
      <c r="P655" s="1">
        <v>5958732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2640000</v>
      </c>
      <c r="W655" s="1">
        <v>0</v>
      </c>
      <c r="X655" s="1">
        <v>10079533</v>
      </c>
      <c r="Y655" s="1">
        <v>4000000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1835427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58179017</v>
      </c>
      <c r="AS655" s="1">
        <v>10050747</v>
      </c>
      <c r="AT655" s="1">
        <v>48128270</v>
      </c>
      <c r="AU655" s="1">
        <v>11268718</v>
      </c>
      <c r="AV655" s="1">
        <v>1690308</v>
      </c>
      <c r="AW655" s="1">
        <f t="shared" si="70"/>
        <v>71138043</v>
      </c>
    </row>
    <row r="656" spans="1:49" x14ac:dyDescent="0.2">
      <c r="A656" s="1" t="str">
        <f>"00757"</f>
        <v>00757</v>
      </c>
      <c r="B656" s="1" t="str">
        <f>"عباس"</f>
        <v>عباس</v>
      </c>
      <c r="C656" s="1" t="str">
        <f>"جوکار"</f>
        <v>جوکار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0</v>
      </c>
      <c r="G656" s="1">
        <v>6610784</v>
      </c>
      <c r="H656" s="1">
        <v>3305392</v>
      </c>
      <c r="I656" s="1">
        <v>0</v>
      </c>
      <c r="J656" s="1">
        <v>0</v>
      </c>
      <c r="K656" s="1">
        <v>7437132</v>
      </c>
      <c r="L656" s="1">
        <v>0</v>
      </c>
      <c r="M656" s="1">
        <v>0</v>
      </c>
      <c r="N656" s="1">
        <v>10965630</v>
      </c>
      <c r="O656" s="1">
        <v>1935484</v>
      </c>
      <c r="P656" s="1">
        <v>5288627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2640000</v>
      </c>
      <c r="W656" s="1">
        <v>0</v>
      </c>
      <c r="X656" s="1">
        <v>9901891</v>
      </c>
      <c r="Y656" s="1">
        <v>3870968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51955908</v>
      </c>
      <c r="AS656" s="1">
        <v>6339421</v>
      </c>
      <c r="AT656" s="1">
        <v>45616487</v>
      </c>
      <c r="AU656" s="1">
        <v>10391182</v>
      </c>
      <c r="AV656" s="1">
        <v>1558677</v>
      </c>
      <c r="AW656" s="1">
        <f t="shared" si="70"/>
        <v>63905767</v>
      </c>
    </row>
    <row r="657" spans="1:49" x14ac:dyDescent="0.2">
      <c r="A657" s="1" t="str">
        <f>"00758"</f>
        <v>00758</v>
      </c>
      <c r="B657" s="1" t="str">
        <f>"حسين"</f>
        <v>حسين</v>
      </c>
      <c r="C657" s="1" t="str">
        <f>"شنبدي"</f>
        <v>شنبدي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0</v>
      </c>
      <c r="G657" s="1">
        <v>6035824</v>
      </c>
      <c r="H657" s="1">
        <v>3078270</v>
      </c>
      <c r="I657" s="1">
        <v>2425699</v>
      </c>
      <c r="J657" s="1">
        <v>0</v>
      </c>
      <c r="K657" s="1">
        <v>6744429</v>
      </c>
      <c r="L657" s="1">
        <v>0</v>
      </c>
      <c r="M657" s="1">
        <v>0</v>
      </c>
      <c r="N657" s="1">
        <v>11521166</v>
      </c>
      <c r="O657" s="1">
        <v>2000000</v>
      </c>
      <c r="P657" s="1">
        <v>4828659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16899674</v>
      </c>
      <c r="Y657" s="1">
        <v>4000000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4831252</v>
      </c>
      <c r="AG657" s="1">
        <v>0</v>
      </c>
      <c r="AH657" s="1">
        <v>3670854</v>
      </c>
      <c r="AI657" s="1">
        <v>0</v>
      </c>
      <c r="AJ657" s="1">
        <v>0</v>
      </c>
      <c r="AK657" s="1">
        <v>0</v>
      </c>
      <c r="AL657" s="1">
        <v>4435563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70471390</v>
      </c>
      <c r="AS657" s="1">
        <v>9904374</v>
      </c>
      <c r="AT657" s="1">
        <v>60567016</v>
      </c>
      <c r="AU657" s="1">
        <v>13360107</v>
      </c>
      <c r="AV657" s="1">
        <v>2004016</v>
      </c>
      <c r="AW657" s="1">
        <f t="shared" si="70"/>
        <v>85835513</v>
      </c>
    </row>
    <row r="658" spans="1:49" x14ac:dyDescent="0.2">
      <c r="A658" s="1" t="str">
        <f>"00759"</f>
        <v>00759</v>
      </c>
      <c r="B658" s="1" t="str">
        <f>"داريوش"</f>
        <v>داريوش</v>
      </c>
      <c r="C658" s="1" t="str">
        <f>"گرگين"</f>
        <v>گرگين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34682744</v>
      </c>
      <c r="G658" s="1">
        <v>0</v>
      </c>
      <c r="H658" s="1">
        <v>0</v>
      </c>
      <c r="I658" s="1">
        <v>0</v>
      </c>
      <c r="J658" s="1">
        <v>0</v>
      </c>
      <c r="K658" s="1">
        <v>27268902</v>
      </c>
      <c r="L658" s="1">
        <v>0</v>
      </c>
      <c r="M658" s="1">
        <v>5500000</v>
      </c>
      <c r="N658" s="1">
        <v>0</v>
      </c>
      <c r="O658" s="1">
        <v>1000000</v>
      </c>
      <c r="P658" s="1">
        <v>5228738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1848000</v>
      </c>
      <c r="W658" s="1">
        <v>0</v>
      </c>
      <c r="X658" s="1">
        <v>13773135</v>
      </c>
      <c r="Y658" s="1">
        <v>4000000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4108295</v>
      </c>
      <c r="AH658" s="1">
        <v>5506281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5228738</v>
      </c>
      <c r="AO658" s="1">
        <v>0</v>
      </c>
      <c r="AP658" s="1">
        <v>0</v>
      </c>
      <c r="AQ658" s="1">
        <v>0</v>
      </c>
      <c r="AR658" s="1">
        <v>108144833</v>
      </c>
      <c r="AS658" s="1">
        <v>44624039</v>
      </c>
      <c r="AT658" s="1">
        <v>63520794</v>
      </c>
      <c r="AU658" s="1">
        <v>20527710</v>
      </c>
      <c r="AV658" s="1">
        <v>3079157</v>
      </c>
      <c r="AW658" s="1">
        <f t="shared" si="70"/>
        <v>131751700</v>
      </c>
    </row>
    <row r="659" spans="1:49" x14ac:dyDescent="0.2">
      <c r="A659" s="1" t="str">
        <f>"00760"</f>
        <v>00760</v>
      </c>
      <c r="B659" s="1" t="str">
        <f>"محمدرضا"</f>
        <v>محمدرضا</v>
      </c>
      <c r="C659" s="1" t="str">
        <f>"ميهن دوست"</f>
        <v>ميهن دوست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0</v>
      </c>
      <c r="G659" s="1">
        <v>8446339</v>
      </c>
      <c r="H659" s="1">
        <v>4223169</v>
      </c>
      <c r="I659" s="1">
        <v>6075499</v>
      </c>
      <c r="J659" s="1">
        <v>0</v>
      </c>
      <c r="K659" s="1">
        <v>12162727</v>
      </c>
      <c r="L659" s="1">
        <v>0</v>
      </c>
      <c r="M659" s="1">
        <v>0</v>
      </c>
      <c r="N659" s="1">
        <v>11331151</v>
      </c>
      <c r="O659" s="1">
        <v>2000000</v>
      </c>
      <c r="P659" s="1">
        <v>6757071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2640000</v>
      </c>
      <c r="W659" s="1">
        <v>0</v>
      </c>
      <c r="X659" s="1">
        <v>4912046</v>
      </c>
      <c r="Y659" s="1">
        <v>4000000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1835427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64383429</v>
      </c>
      <c r="AS659" s="1">
        <v>10880867</v>
      </c>
      <c r="AT659" s="1">
        <v>53502562</v>
      </c>
      <c r="AU659" s="1">
        <v>12509600</v>
      </c>
      <c r="AV659" s="1">
        <v>1876440</v>
      </c>
      <c r="AW659" s="1">
        <f t="shared" si="70"/>
        <v>78769469</v>
      </c>
    </row>
    <row r="660" spans="1:49" x14ac:dyDescent="0.2">
      <c r="A660" s="1" t="str">
        <f>"00761"</f>
        <v>00761</v>
      </c>
      <c r="B660" s="1" t="str">
        <f>"محمود"</f>
        <v>محمود</v>
      </c>
      <c r="C660" s="1" t="str">
        <f>"كره بندي"</f>
        <v>كره بندي</v>
      </c>
      <c r="D660" s="1" t="str">
        <f>"قراردادي کارگري"</f>
        <v>قراردادي کارگري</v>
      </c>
      <c r="E660" s="1" t="str">
        <f>"پروژه تعميرات نيروگاه بوشهر"</f>
        <v>پروژه تعميرات نيروگاه بوشهر</v>
      </c>
      <c r="F660" s="1">
        <v>0</v>
      </c>
      <c r="G660" s="1">
        <v>6952895</v>
      </c>
      <c r="H660" s="1">
        <v>3476447</v>
      </c>
      <c r="I660" s="1">
        <v>981102</v>
      </c>
      <c r="J660" s="1">
        <v>0</v>
      </c>
      <c r="K660" s="1">
        <v>6466192</v>
      </c>
      <c r="L660" s="1">
        <v>0</v>
      </c>
      <c r="M660" s="1">
        <v>0</v>
      </c>
      <c r="N660" s="1">
        <v>11572430</v>
      </c>
      <c r="O660" s="1">
        <v>2000000</v>
      </c>
      <c r="P660" s="1">
        <v>5214671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2640000</v>
      </c>
      <c r="W660" s="1">
        <v>0</v>
      </c>
      <c r="X660" s="1">
        <v>12662737</v>
      </c>
      <c r="Y660" s="1">
        <v>4000000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5506281</v>
      </c>
      <c r="AI660" s="1">
        <v>0</v>
      </c>
      <c r="AJ660" s="1">
        <v>0</v>
      </c>
      <c r="AK660" s="1">
        <v>0</v>
      </c>
      <c r="AL660" s="1">
        <v>2093017</v>
      </c>
      <c r="AM660" s="1">
        <v>0</v>
      </c>
      <c r="AN660" s="1">
        <v>0</v>
      </c>
      <c r="AO660" s="1">
        <v>0</v>
      </c>
      <c r="AP660" s="1">
        <v>3368264</v>
      </c>
      <c r="AQ660" s="1">
        <v>0</v>
      </c>
      <c r="AR660" s="1">
        <v>66934036</v>
      </c>
      <c r="AS660" s="1">
        <v>14253732</v>
      </c>
      <c r="AT660" s="1">
        <v>52680304</v>
      </c>
      <c r="AU660" s="1">
        <v>12285551</v>
      </c>
      <c r="AV660" s="1">
        <v>1842833</v>
      </c>
      <c r="AW660" s="1">
        <f t="shared" si="70"/>
        <v>81062420</v>
      </c>
    </row>
    <row r="661" spans="1:49" x14ac:dyDescent="0.2">
      <c r="A661" s="1" t="str">
        <f>"00762"</f>
        <v>00762</v>
      </c>
      <c r="B661" s="1" t="str">
        <f>"صديقه"</f>
        <v>صديقه</v>
      </c>
      <c r="C661" s="1" t="str">
        <f>"سالمي زاده"</f>
        <v>سالمي زاده</v>
      </c>
      <c r="D661" s="1" t="str">
        <f>"قراردادي بهره بردار"</f>
        <v>قراردادي بهره بردار</v>
      </c>
      <c r="E661" s="1" t="str">
        <f>"پروژه بهره برداري نيروگاه بوشهر"</f>
        <v>پروژه بهره برداري نيروگاه بوشهر</v>
      </c>
      <c r="F661" s="1">
        <v>27580931</v>
      </c>
      <c r="G661" s="1">
        <v>0</v>
      </c>
      <c r="H661" s="1">
        <v>0</v>
      </c>
      <c r="I661" s="1">
        <v>1032726</v>
      </c>
      <c r="J661" s="1">
        <v>0</v>
      </c>
      <c r="K661" s="1">
        <v>22604761</v>
      </c>
      <c r="L661" s="1">
        <v>0</v>
      </c>
      <c r="M661" s="1">
        <v>4125000</v>
      </c>
      <c r="N661" s="1">
        <v>0</v>
      </c>
      <c r="O661" s="1">
        <v>1000000</v>
      </c>
      <c r="P661" s="1">
        <v>4280864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1848000</v>
      </c>
      <c r="W661" s="1">
        <v>0</v>
      </c>
      <c r="X661" s="1">
        <v>9544700</v>
      </c>
      <c r="Y661" s="1">
        <v>4000000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3363536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5801242</v>
      </c>
      <c r="AO661" s="1">
        <v>0</v>
      </c>
      <c r="AP661" s="1">
        <v>0</v>
      </c>
      <c r="AQ661" s="1">
        <v>0</v>
      </c>
      <c r="AR661" s="1">
        <v>85181760</v>
      </c>
      <c r="AS661" s="1">
        <v>35678140</v>
      </c>
      <c r="AT661" s="1">
        <v>49503620</v>
      </c>
      <c r="AU661" s="1">
        <v>17036352</v>
      </c>
      <c r="AV661" s="1">
        <v>2555453</v>
      </c>
      <c r="AW661" s="1">
        <f t="shared" si="70"/>
        <v>104773565</v>
      </c>
    </row>
    <row r="662" spans="1:49" x14ac:dyDescent="0.2">
      <c r="A662" s="1" t="str">
        <f>"00763"</f>
        <v>00763</v>
      </c>
      <c r="B662" s="1" t="str">
        <f>"داوود"</f>
        <v>داوود</v>
      </c>
      <c r="C662" s="1" t="str">
        <f>"حاجي نژاد"</f>
        <v>حاجي نژاد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22413916</v>
      </c>
      <c r="G662" s="1">
        <v>0</v>
      </c>
      <c r="H662" s="1">
        <v>0</v>
      </c>
      <c r="I662" s="1">
        <v>3149028</v>
      </c>
      <c r="J662" s="1">
        <v>0</v>
      </c>
      <c r="K662" s="1">
        <v>18634976</v>
      </c>
      <c r="L662" s="1">
        <v>0</v>
      </c>
      <c r="M662" s="1">
        <v>5500000</v>
      </c>
      <c r="N662" s="1">
        <v>0</v>
      </c>
      <c r="O662" s="1">
        <v>1000000</v>
      </c>
      <c r="P662" s="1">
        <v>3982835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1848000</v>
      </c>
      <c r="W662" s="1">
        <v>0</v>
      </c>
      <c r="X662" s="1">
        <v>18871789</v>
      </c>
      <c r="Y662" s="1">
        <v>4000000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3129370</v>
      </c>
      <c r="AH662" s="1">
        <v>3670854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7344167</v>
      </c>
      <c r="AO662" s="1">
        <v>0</v>
      </c>
      <c r="AP662" s="1">
        <v>0</v>
      </c>
      <c r="AQ662" s="1">
        <v>0</v>
      </c>
      <c r="AR662" s="1">
        <v>93544935</v>
      </c>
      <c r="AS662" s="1">
        <v>32608857</v>
      </c>
      <c r="AT662" s="1">
        <v>60936078</v>
      </c>
      <c r="AU662" s="1">
        <v>17974816</v>
      </c>
      <c r="AV662" s="1">
        <v>2696222</v>
      </c>
      <c r="AW662" s="1">
        <f t="shared" si="70"/>
        <v>114215973</v>
      </c>
    </row>
    <row r="663" spans="1:49" x14ac:dyDescent="0.2">
      <c r="A663" s="1" t="str">
        <f>"00765"</f>
        <v>00765</v>
      </c>
      <c r="B663" s="1" t="str">
        <f>"فرخ"</f>
        <v>فرخ</v>
      </c>
      <c r="C663" s="1" t="str">
        <f>"يگانه"</f>
        <v>يگانه</v>
      </c>
      <c r="D663" s="1" t="str">
        <f>"قراردادي کارگري"</f>
        <v>قراردادي کارگري</v>
      </c>
      <c r="E663" s="1" t="str">
        <f>"پروژه تعميرات نيروگاه بوشهر"</f>
        <v>پروژه تعميرات نيروگاه بوشهر</v>
      </c>
      <c r="F663" s="1">
        <v>0</v>
      </c>
      <c r="G663" s="1">
        <v>7341246</v>
      </c>
      <c r="H663" s="1">
        <v>3744035</v>
      </c>
      <c r="I663" s="1">
        <v>8144237</v>
      </c>
      <c r="J663" s="1">
        <v>0</v>
      </c>
      <c r="K663" s="1">
        <v>7981403</v>
      </c>
      <c r="L663" s="1">
        <v>0</v>
      </c>
      <c r="M663" s="1">
        <v>0</v>
      </c>
      <c r="N663" s="1">
        <v>11521166</v>
      </c>
      <c r="O663" s="1">
        <v>2000000</v>
      </c>
      <c r="P663" s="1">
        <v>5872998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2640000</v>
      </c>
      <c r="W663" s="1">
        <v>0</v>
      </c>
      <c r="X663" s="1">
        <v>9705343</v>
      </c>
      <c r="Y663" s="1">
        <v>4000000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3670854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66621282</v>
      </c>
      <c r="AS663" s="1">
        <v>19269123</v>
      </c>
      <c r="AT663" s="1">
        <v>47352159</v>
      </c>
      <c r="AU663" s="1">
        <v>12590086</v>
      </c>
      <c r="AV663" s="1">
        <v>1888513</v>
      </c>
      <c r="AW663" s="1">
        <f t="shared" si="70"/>
        <v>81099881</v>
      </c>
    </row>
    <row r="664" spans="1:49" x14ac:dyDescent="0.2">
      <c r="A664" s="1" t="str">
        <f>"00767"</f>
        <v>00767</v>
      </c>
      <c r="B664" s="1" t="str">
        <f>"محمد سعيد"</f>
        <v>محمد سعيد</v>
      </c>
      <c r="C664" s="1" t="str">
        <f>"احتشامي نيا"</f>
        <v>احتشامي نيا</v>
      </c>
      <c r="D664" s="1" t="str">
        <f t="shared" ref="D664:D675" si="73">"قراردادي بهره بردار"</f>
        <v>قراردادي بهره بردار</v>
      </c>
      <c r="E664" s="1" t="str">
        <f t="shared" ref="E664:E675" si="74">"پروژه بهره برداري نيروگاه بوشهر"</f>
        <v>پروژه بهره برداري نيروگاه بوشهر</v>
      </c>
      <c r="F664" s="1">
        <v>17481191</v>
      </c>
      <c r="G664" s="1">
        <v>0</v>
      </c>
      <c r="H664" s="1">
        <v>0</v>
      </c>
      <c r="I664" s="1">
        <v>9011960</v>
      </c>
      <c r="J664" s="1">
        <v>0</v>
      </c>
      <c r="K664" s="1">
        <v>15424982</v>
      </c>
      <c r="L664" s="1">
        <v>0</v>
      </c>
      <c r="M664" s="1">
        <v>3465000</v>
      </c>
      <c r="N664" s="1">
        <v>0</v>
      </c>
      <c r="O664" s="1">
        <v>1000000</v>
      </c>
      <c r="P664" s="1">
        <v>3495230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1848000</v>
      </c>
      <c r="W664" s="1">
        <v>0</v>
      </c>
      <c r="X664" s="1">
        <v>16893168</v>
      </c>
      <c r="Y664" s="1">
        <v>4000000</v>
      </c>
      <c r="Z664" s="1">
        <v>2537592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2746253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14910481</v>
      </c>
      <c r="AO664" s="1">
        <v>0</v>
      </c>
      <c r="AP664" s="1">
        <v>0</v>
      </c>
      <c r="AQ664" s="1">
        <v>0</v>
      </c>
      <c r="AR664" s="1">
        <v>92813857</v>
      </c>
      <c r="AS664" s="1">
        <v>31835711</v>
      </c>
      <c r="AT664" s="1">
        <v>60978146</v>
      </c>
      <c r="AU664" s="1">
        <v>18562771</v>
      </c>
      <c r="AV664" s="1">
        <v>2784416</v>
      </c>
      <c r="AW664" s="1">
        <f t="shared" si="70"/>
        <v>114161044</v>
      </c>
    </row>
    <row r="665" spans="1:49" x14ac:dyDescent="0.2">
      <c r="A665" s="1" t="str">
        <f>"00768"</f>
        <v>00768</v>
      </c>
      <c r="B665" s="1" t="str">
        <f>"کسري"</f>
        <v>کسري</v>
      </c>
      <c r="C665" s="1" t="str">
        <f>"اشتري"</f>
        <v>اشتري</v>
      </c>
      <c r="D665" s="1" t="str">
        <f t="shared" si="73"/>
        <v>قراردادي بهره بردار</v>
      </c>
      <c r="E665" s="1" t="str">
        <f t="shared" si="74"/>
        <v>پروژه بهره برداري نيروگاه بوشهر</v>
      </c>
      <c r="F665" s="1">
        <v>16067883</v>
      </c>
      <c r="G665" s="1">
        <v>0</v>
      </c>
      <c r="H665" s="1">
        <v>0</v>
      </c>
      <c r="I665" s="1">
        <v>2370888</v>
      </c>
      <c r="J665" s="1">
        <v>0</v>
      </c>
      <c r="K665" s="1">
        <v>12533670</v>
      </c>
      <c r="L665" s="1">
        <v>0</v>
      </c>
      <c r="M665" s="1">
        <v>3465000</v>
      </c>
      <c r="N665" s="1">
        <v>0</v>
      </c>
      <c r="O665" s="1">
        <v>1000000</v>
      </c>
      <c r="P665" s="1">
        <v>3000573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1848000</v>
      </c>
      <c r="W665" s="1">
        <v>0</v>
      </c>
      <c r="X665" s="1">
        <v>10285369</v>
      </c>
      <c r="Y665" s="1">
        <v>4000000</v>
      </c>
      <c r="Z665" s="1">
        <v>2332435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2357592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11753034</v>
      </c>
      <c r="AO665" s="1">
        <v>0</v>
      </c>
      <c r="AP665" s="1">
        <v>0</v>
      </c>
      <c r="AQ665" s="1">
        <v>0</v>
      </c>
      <c r="AR665" s="1">
        <v>71014444</v>
      </c>
      <c r="AS665" s="1">
        <v>21847154</v>
      </c>
      <c r="AT665" s="1">
        <v>49167290</v>
      </c>
      <c r="AU665" s="1">
        <v>14202889</v>
      </c>
      <c r="AV665" s="1">
        <v>2130433</v>
      </c>
      <c r="AW665" s="1">
        <f t="shared" si="70"/>
        <v>87347766</v>
      </c>
    </row>
    <row r="666" spans="1:49" x14ac:dyDescent="0.2">
      <c r="A666" s="1" t="str">
        <f>"00769"</f>
        <v>00769</v>
      </c>
      <c r="B666" s="1" t="str">
        <f>"مرتضي"</f>
        <v>مرتضي</v>
      </c>
      <c r="C666" s="1" t="str">
        <f>"ايمري"</f>
        <v>ايمري</v>
      </c>
      <c r="D666" s="1" t="str">
        <f t="shared" si="73"/>
        <v>قراردادي بهره بردار</v>
      </c>
      <c r="E666" s="1" t="str">
        <f t="shared" si="74"/>
        <v>پروژه بهره برداري نيروگاه بوشهر</v>
      </c>
      <c r="F666" s="1">
        <v>15964593</v>
      </c>
      <c r="G666" s="1">
        <v>0</v>
      </c>
      <c r="H666" s="1">
        <v>0</v>
      </c>
      <c r="I666" s="1">
        <v>6307446</v>
      </c>
      <c r="J666" s="1">
        <v>0</v>
      </c>
      <c r="K666" s="1">
        <v>11970803</v>
      </c>
      <c r="L666" s="1">
        <v>0</v>
      </c>
      <c r="M666" s="1">
        <v>4620000</v>
      </c>
      <c r="N666" s="1">
        <v>0</v>
      </c>
      <c r="O666" s="1">
        <v>1000000</v>
      </c>
      <c r="P666" s="1">
        <v>2964422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1848000</v>
      </c>
      <c r="W666" s="1">
        <v>0</v>
      </c>
      <c r="X666" s="1">
        <v>19276607</v>
      </c>
      <c r="Y666" s="1">
        <v>4000000</v>
      </c>
      <c r="Z666" s="1">
        <v>2252659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2329188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11341185</v>
      </c>
      <c r="AO666" s="1">
        <v>0</v>
      </c>
      <c r="AP666" s="1">
        <v>0</v>
      </c>
      <c r="AQ666" s="1">
        <v>0</v>
      </c>
      <c r="AR666" s="1">
        <v>83874903</v>
      </c>
      <c r="AS666" s="1">
        <v>38525113</v>
      </c>
      <c r="AT666" s="1">
        <v>45349790</v>
      </c>
      <c r="AU666" s="1">
        <v>16774981</v>
      </c>
      <c r="AV666" s="1">
        <v>2516247</v>
      </c>
      <c r="AW666" s="1">
        <f t="shared" si="70"/>
        <v>103166131</v>
      </c>
    </row>
    <row r="667" spans="1:49" x14ac:dyDescent="0.2">
      <c r="A667" s="1" t="str">
        <f>"00770"</f>
        <v>00770</v>
      </c>
      <c r="B667" s="1" t="str">
        <f>"حميد"</f>
        <v>حميد</v>
      </c>
      <c r="C667" s="1" t="str">
        <f>"آل عبدي"</f>
        <v>آل عبدي</v>
      </c>
      <c r="D667" s="1" t="str">
        <f t="shared" si="73"/>
        <v>قراردادي بهره بردار</v>
      </c>
      <c r="E667" s="1" t="str">
        <f t="shared" si="74"/>
        <v>پروژه بهره برداري نيروگاه بوشهر</v>
      </c>
      <c r="F667" s="1">
        <v>23759204</v>
      </c>
      <c r="G667" s="1">
        <v>0</v>
      </c>
      <c r="H667" s="1">
        <v>0</v>
      </c>
      <c r="I667" s="1">
        <v>4692544</v>
      </c>
      <c r="J667" s="1">
        <v>0</v>
      </c>
      <c r="K667" s="1">
        <v>21209122</v>
      </c>
      <c r="L667" s="1">
        <v>0</v>
      </c>
      <c r="M667" s="1">
        <v>5500000</v>
      </c>
      <c r="N667" s="1">
        <v>0</v>
      </c>
      <c r="O667" s="1">
        <v>1000000</v>
      </c>
      <c r="P667" s="1">
        <v>4017223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16487618</v>
      </c>
      <c r="Y667" s="1">
        <v>4000000</v>
      </c>
      <c r="Z667" s="1">
        <v>3448917</v>
      </c>
      <c r="AA667" s="1">
        <v>0</v>
      </c>
      <c r="AB667" s="1">
        <v>0</v>
      </c>
      <c r="AC667" s="1">
        <v>0</v>
      </c>
      <c r="AD667" s="1">
        <v>0</v>
      </c>
      <c r="AE667" s="1">
        <v>4459102</v>
      </c>
      <c r="AF667" s="1">
        <v>0</v>
      </c>
      <c r="AG667" s="1">
        <v>3156389</v>
      </c>
      <c r="AH667" s="1">
        <v>1835427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21911423</v>
      </c>
      <c r="AO667" s="1">
        <v>0</v>
      </c>
      <c r="AP667" s="1">
        <v>0</v>
      </c>
      <c r="AQ667" s="1">
        <v>0</v>
      </c>
      <c r="AR667" s="1">
        <v>115476969</v>
      </c>
      <c r="AS667" s="1">
        <v>73779234</v>
      </c>
      <c r="AT667" s="1">
        <v>41697735</v>
      </c>
      <c r="AU667" s="1">
        <v>22728308</v>
      </c>
      <c r="AV667" s="1">
        <v>3409246</v>
      </c>
      <c r="AW667" s="1">
        <f t="shared" si="70"/>
        <v>141614523</v>
      </c>
    </row>
    <row r="668" spans="1:49" x14ac:dyDescent="0.2">
      <c r="A668" s="1" t="str">
        <f>"00771"</f>
        <v>00771</v>
      </c>
      <c r="B668" s="1" t="str">
        <f>"عبيد"</f>
        <v>عبيد</v>
      </c>
      <c r="C668" s="1" t="str">
        <f>"بابائي"</f>
        <v>بابائي</v>
      </c>
      <c r="D668" s="1" t="str">
        <f t="shared" si="73"/>
        <v>قراردادي بهره بردار</v>
      </c>
      <c r="E668" s="1" t="str">
        <f t="shared" si="74"/>
        <v>پروژه بهره برداري نيروگاه بوشهر</v>
      </c>
      <c r="F668" s="1">
        <v>12339368</v>
      </c>
      <c r="G668" s="1">
        <v>0</v>
      </c>
      <c r="H668" s="1">
        <v>0</v>
      </c>
      <c r="I668" s="1">
        <v>13403897</v>
      </c>
      <c r="J668" s="1">
        <v>0</v>
      </c>
      <c r="K668" s="1">
        <v>6438837</v>
      </c>
      <c r="L668" s="1">
        <v>0</v>
      </c>
      <c r="M668" s="1">
        <v>3465000</v>
      </c>
      <c r="N668" s="1">
        <v>0</v>
      </c>
      <c r="O668" s="1">
        <v>1000000</v>
      </c>
      <c r="P668" s="1">
        <v>1990976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3139709</v>
      </c>
      <c r="Y668" s="1">
        <v>4000000</v>
      </c>
      <c r="Z668" s="1">
        <v>1791199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1564339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9063566</v>
      </c>
      <c r="AO668" s="1">
        <v>0</v>
      </c>
      <c r="AP668" s="1">
        <v>0</v>
      </c>
      <c r="AQ668" s="1">
        <v>0</v>
      </c>
      <c r="AR668" s="1">
        <v>58196891</v>
      </c>
      <c r="AS668" s="1">
        <v>17066831</v>
      </c>
      <c r="AT668" s="1">
        <v>41130060</v>
      </c>
      <c r="AU668" s="1">
        <v>11639378</v>
      </c>
      <c r="AV668" s="1">
        <v>1745907</v>
      </c>
      <c r="AW668" s="1">
        <f t="shared" si="70"/>
        <v>71582176</v>
      </c>
    </row>
    <row r="669" spans="1:49" x14ac:dyDescent="0.2">
      <c r="A669" s="1" t="str">
        <f>"00772"</f>
        <v>00772</v>
      </c>
      <c r="B669" s="1" t="str">
        <f>"عباس"</f>
        <v>عباس</v>
      </c>
      <c r="C669" s="1" t="str">
        <f>"بيات"</f>
        <v>بيات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16657391</v>
      </c>
      <c r="G669" s="1">
        <v>0</v>
      </c>
      <c r="H669" s="1">
        <v>0</v>
      </c>
      <c r="I669" s="1">
        <v>1903131</v>
      </c>
      <c r="J669" s="1">
        <v>0</v>
      </c>
      <c r="K669" s="1">
        <v>14827488</v>
      </c>
      <c r="L669" s="1">
        <v>0</v>
      </c>
      <c r="M669" s="1">
        <v>4620000</v>
      </c>
      <c r="N669" s="1">
        <v>0</v>
      </c>
      <c r="O669" s="1">
        <v>1000000</v>
      </c>
      <c r="P669" s="1">
        <v>3206900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1848000</v>
      </c>
      <c r="W669" s="1">
        <v>0</v>
      </c>
      <c r="X669" s="1">
        <v>15955585</v>
      </c>
      <c r="Y669" s="1">
        <v>4000000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2519708</v>
      </c>
      <c r="AH669" s="1">
        <v>1835427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14258142</v>
      </c>
      <c r="AO669" s="1">
        <v>0</v>
      </c>
      <c r="AP669" s="1">
        <v>0</v>
      </c>
      <c r="AQ669" s="1">
        <v>0</v>
      </c>
      <c r="AR669" s="1">
        <v>82631772</v>
      </c>
      <c r="AS669" s="1">
        <v>39253525</v>
      </c>
      <c r="AT669" s="1">
        <v>43378247</v>
      </c>
      <c r="AU669" s="1">
        <v>16159269</v>
      </c>
      <c r="AV669" s="1">
        <v>2423890</v>
      </c>
      <c r="AW669" s="1">
        <f t="shared" si="70"/>
        <v>101214931</v>
      </c>
    </row>
    <row r="670" spans="1:49" x14ac:dyDescent="0.2">
      <c r="A670" s="1" t="str">
        <f>"00773"</f>
        <v>00773</v>
      </c>
      <c r="B670" s="1" t="str">
        <f>"بهنام"</f>
        <v>بهنام</v>
      </c>
      <c r="C670" s="1" t="str">
        <f>"داسمه"</f>
        <v>داسمه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16687622</v>
      </c>
      <c r="G670" s="1">
        <v>0</v>
      </c>
      <c r="H670" s="1">
        <v>0</v>
      </c>
      <c r="I670" s="1">
        <v>12687194</v>
      </c>
      <c r="J670" s="1">
        <v>0</v>
      </c>
      <c r="K670" s="1">
        <v>14036645</v>
      </c>
      <c r="L670" s="1">
        <v>0</v>
      </c>
      <c r="M670" s="1">
        <v>4620000</v>
      </c>
      <c r="N670" s="1">
        <v>0</v>
      </c>
      <c r="O670" s="1">
        <v>1000000</v>
      </c>
      <c r="P670" s="1">
        <v>3217482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15758172</v>
      </c>
      <c r="Y670" s="1">
        <v>4000000</v>
      </c>
      <c r="Z670" s="1">
        <v>2422397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2528021</v>
      </c>
      <c r="AH670" s="1">
        <v>1835427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14363045</v>
      </c>
      <c r="AO670" s="1">
        <v>0</v>
      </c>
      <c r="AP670" s="1">
        <v>0</v>
      </c>
      <c r="AQ670" s="1">
        <v>0</v>
      </c>
      <c r="AR670" s="1">
        <v>93156005</v>
      </c>
      <c r="AS670" s="1">
        <v>45855298</v>
      </c>
      <c r="AT670" s="1">
        <v>47300707</v>
      </c>
      <c r="AU670" s="1">
        <v>18264116</v>
      </c>
      <c r="AV670" s="1">
        <v>2739617</v>
      </c>
      <c r="AW670" s="1">
        <f t="shared" si="70"/>
        <v>114159738</v>
      </c>
    </row>
    <row r="671" spans="1:49" x14ac:dyDescent="0.2">
      <c r="A671" s="1" t="str">
        <f>"00774"</f>
        <v>00774</v>
      </c>
      <c r="B671" s="1" t="str">
        <f>"رضا"</f>
        <v>رضا</v>
      </c>
      <c r="C671" s="1" t="str">
        <f>"درکهء"</f>
        <v>درکهء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16866490</v>
      </c>
      <c r="G671" s="1">
        <v>0</v>
      </c>
      <c r="H671" s="1">
        <v>0</v>
      </c>
      <c r="I671" s="1">
        <v>0</v>
      </c>
      <c r="J671" s="1">
        <v>0</v>
      </c>
      <c r="K671" s="1">
        <v>14027434</v>
      </c>
      <c r="L671" s="1">
        <v>0</v>
      </c>
      <c r="M671" s="1">
        <v>4620000</v>
      </c>
      <c r="N671" s="1">
        <v>0</v>
      </c>
      <c r="O671" s="1">
        <v>1000000</v>
      </c>
      <c r="P671" s="1">
        <v>3280085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1848000</v>
      </c>
      <c r="W671" s="1">
        <v>0</v>
      </c>
      <c r="X671" s="1">
        <v>13525106</v>
      </c>
      <c r="Y671" s="1">
        <v>4000000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2577210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7959875</v>
      </c>
      <c r="AO671" s="1">
        <v>0</v>
      </c>
      <c r="AP671" s="1">
        <v>0</v>
      </c>
      <c r="AQ671" s="1">
        <v>0</v>
      </c>
      <c r="AR671" s="1">
        <v>69704200</v>
      </c>
      <c r="AS671" s="1">
        <v>13189785</v>
      </c>
      <c r="AT671" s="1">
        <v>56514415</v>
      </c>
      <c r="AU671" s="1">
        <v>13940840</v>
      </c>
      <c r="AV671" s="1">
        <v>2091126</v>
      </c>
      <c r="AW671" s="1">
        <f t="shared" si="70"/>
        <v>85736166</v>
      </c>
    </row>
    <row r="672" spans="1:49" x14ac:dyDescent="0.2">
      <c r="A672" s="1" t="str">
        <f>"00775"</f>
        <v>00775</v>
      </c>
      <c r="B672" s="1" t="str">
        <f>"محسن"</f>
        <v>محسن</v>
      </c>
      <c r="C672" s="1" t="str">
        <f>"رشيدي کوچي"</f>
        <v>رشيدي کوچي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16523870</v>
      </c>
      <c r="G672" s="1">
        <v>0</v>
      </c>
      <c r="H672" s="1">
        <v>0</v>
      </c>
      <c r="I672" s="1">
        <v>7560683</v>
      </c>
      <c r="J672" s="1">
        <v>0</v>
      </c>
      <c r="K672" s="1">
        <v>14182180</v>
      </c>
      <c r="L672" s="1">
        <v>0</v>
      </c>
      <c r="M672" s="1">
        <v>4620000</v>
      </c>
      <c r="N672" s="1">
        <v>0</v>
      </c>
      <c r="O672" s="1">
        <v>1000000</v>
      </c>
      <c r="P672" s="1">
        <v>3160168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1848000</v>
      </c>
      <c r="W672" s="1">
        <v>0</v>
      </c>
      <c r="X672" s="1">
        <v>16897975</v>
      </c>
      <c r="Y672" s="1">
        <v>4000000</v>
      </c>
      <c r="Z672" s="1">
        <v>2398626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2482989</v>
      </c>
      <c r="AH672" s="1">
        <v>1835427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13718868</v>
      </c>
      <c r="AO672" s="1">
        <v>0</v>
      </c>
      <c r="AP672" s="1">
        <v>0</v>
      </c>
      <c r="AQ672" s="1">
        <v>0</v>
      </c>
      <c r="AR672" s="1">
        <v>90228786</v>
      </c>
      <c r="AS672" s="1">
        <v>31220852</v>
      </c>
      <c r="AT672" s="1">
        <v>59007934</v>
      </c>
      <c r="AU672" s="1">
        <v>17678672</v>
      </c>
      <c r="AV672" s="1">
        <v>2651801</v>
      </c>
      <c r="AW672" s="1">
        <f t="shared" si="70"/>
        <v>110559259</v>
      </c>
    </row>
    <row r="673" spans="1:49" x14ac:dyDescent="0.2">
      <c r="A673" s="1" t="str">
        <f>"00776"</f>
        <v>00776</v>
      </c>
      <c r="B673" s="1" t="str">
        <f>"مرتضي"</f>
        <v>مرتضي</v>
      </c>
      <c r="C673" s="1" t="str">
        <f>"زائري"</f>
        <v>زائري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15916727</v>
      </c>
      <c r="G673" s="1">
        <v>0</v>
      </c>
      <c r="H673" s="1">
        <v>0</v>
      </c>
      <c r="I673" s="1">
        <v>1841891</v>
      </c>
      <c r="J673" s="1">
        <v>0</v>
      </c>
      <c r="K673" s="1">
        <v>12719270</v>
      </c>
      <c r="L673" s="1">
        <v>0</v>
      </c>
      <c r="M673" s="1">
        <v>4620000</v>
      </c>
      <c r="N673" s="1">
        <v>0</v>
      </c>
      <c r="O673" s="1">
        <v>1000000</v>
      </c>
      <c r="P673" s="1">
        <v>2947668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1848000</v>
      </c>
      <c r="W673" s="1">
        <v>0</v>
      </c>
      <c r="X673" s="1">
        <v>19701938</v>
      </c>
      <c r="Y673" s="1">
        <v>4000000</v>
      </c>
      <c r="Z673" s="1">
        <v>2302363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2316024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11653926</v>
      </c>
      <c r="AO673" s="1">
        <v>0</v>
      </c>
      <c r="AP673" s="1">
        <v>0</v>
      </c>
      <c r="AQ673" s="1">
        <v>0</v>
      </c>
      <c r="AR673" s="1">
        <v>80867807</v>
      </c>
      <c r="AS673" s="1">
        <v>28975859</v>
      </c>
      <c r="AT673" s="1">
        <v>51891948</v>
      </c>
      <c r="AU673" s="1">
        <v>16173561</v>
      </c>
      <c r="AV673" s="1">
        <v>2426034</v>
      </c>
      <c r="AW673" s="1">
        <f t="shared" si="70"/>
        <v>99467402</v>
      </c>
    </row>
    <row r="674" spans="1:49" x14ac:dyDescent="0.2">
      <c r="A674" s="1" t="str">
        <f>"00777"</f>
        <v>00777</v>
      </c>
      <c r="B674" s="1" t="str">
        <f>"محمدجواد"</f>
        <v>محمدجواد</v>
      </c>
      <c r="C674" s="1" t="str">
        <f>"صابري نژاد"</f>
        <v>صابري نژاد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19065810</v>
      </c>
      <c r="G674" s="1">
        <v>0</v>
      </c>
      <c r="H674" s="1">
        <v>0</v>
      </c>
      <c r="I674" s="1">
        <v>8157771</v>
      </c>
      <c r="J674" s="1">
        <v>0</v>
      </c>
      <c r="K674" s="1">
        <v>16960371</v>
      </c>
      <c r="L674" s="1">
        <v>0</v>
      </c>
      <c r="M674" s="1">
        <v>0</v>
      </c>
      <c r="N674" s="1">
        <v>0</v>
      </c>
      <c r="O674" s="1">
        <v>1000000</v>
      </c>
      <c r="P674" s="1">
        <v>3772098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1848000</v>
      </c>
      <c r="W674" s="1">
        <v>0</v>
      </c>
      <c r="X674" s="1">
        <v>12009790</v>
      </c>
      <c r="Y674" s="1">
        <v>4000000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2963791</v>
      </c>
      <c r="AH674" s="1">
        <v>5506281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9454405</v>
      </c>
      <c r="AO674" s="1">
        <v>0</v>
      </c>
      <c r="AP674" s="1">
        <v>0</v>
      </c>
      <c r="AQ674" s="1">
        <v>0</v>
      </c>
      <c r="AR674" s="1">
        <v>84738317</v>
      </c>
      <c r="AS674" s="1">
        <v>34273458</v>
      </c>
      <c r="AT674" s="1">
        <v>50464859</v>
      </c>
      <c r="AU674" s="1">
        <v>15846407</v>
      </c>
      <c r="AV674" s="1">
        <v>2376961</v>
      </c>
      <c r="AW674" s="1">
        <f t="shared" si="70"/>
        <v>102961685</v>
      </c>
    </row>
    <row r="675" spans="1:49" x14ac:dyDescent="0.2">
      <c r="A675" s="1" t="str">
        <f>"00778"</f>
        <v>00778</v>
      </c>
      <c r="B675" s="1" t="str">
        <f>"محمود"</f>
        <v>محمود</v>
      </c>
      <c r="C675" s="1" t="str">
        <f>"عبدلي نديکي"</f>
        <v>عبدلي نديکي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17430806</v>
      </c>
      <c r="G675" s="1">
        <v>0</v>
      </c>
      <c r="H675" s="1">
        <v>0</v>
      </c>
      <c r="I675" s="1">
        <v>2542979</v>
      </c>
      <c r="J675" s="1">
        <v>0</v>
      </c>
      <c r="K675" s="1">
        <v>15066304</v>
      </c>
      <c r="L675" s="1">
        <v>0</v>
      </c>
      <c r="M675" s="1">
        <v>4620000</v>
      </c>
      <c r="N675" s="1">
        <v>0</v>
      </c>
      <c r="O675" s="1">
        <v>1000000</v>
      </c>
      <c r="P675" s="1">
        <v>3199847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1848000</v>
      </c>
      <c r="W675" s="1">
        <v>0</v>
      </c>
      <c r="X675" s="1">
        <v>21760949</v>
      </c>
      <c r="Y675" s="1">
        <v>4000000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2514165</v>
      </c>
      <c r="AH675" s="1">
        <v>3670854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12103212</v>
      </c>
      <c r="AO675" s="1">
        <v>0</v>
      </c>
      <c r="AP675" s="1">
        <v>0</v>
      </c>
      <c r="AQ675" s="1">
        <v>0</v>
      </c>
      <c r="AR675" s="1">
        <v>89757116</v>
      </c>
      <c r="AS675" s="1">
        <v>32336508</v>
      </c>
      <c r="AT675" s="1">
        <v>57420608</v>
      </c>
      <c r="AU675" s="1">
        <v>17217252</v>
      </c>
      <c r="AV675" s="1">
        <v>2582588</v>
      </c>
      <c r="AW675" s="1">
        <f t="shared" si="70"/>
        <v>109556956</v>
      </c>
    </row>
    <row r="676" spans="1:49" x14ac:dyDescent="0.2">
      <c r="A676" s="1" t="str">
        <f>"00779"</f>
        <v>00779</v>
      </c>
      <c r="B676" s="1" t="str">
        <f>"سيدمجتبي"</f>
        <v>سيدمجتبي</v>
      </c>
      <c r="C676" s="1" t="str">
        <f>"علي زاده"</f>
        <v>علي زاده</v>
      </c>
      <c r="D676" s="1" t="str">
        <f>"قراردادي کارگري"</f>
        <v>قراردادي کارگري</v>
      </c>
      <c r="E676" s="1" t="str">
        <f>"پروژه تعميرات نيروگاه بوشهر"</f>
        <v>پروژه تعميرات نيروگاه بوشهر</v>
      </c>
      <c r="F676" s="1">
        <v>0</v>
      </c>
      <c r="G676" s="1">
        <v>4992422</v>
      </c>
      <c r="H676" s="1">
        <v>2546135</v>
      </c>
      <c r="I676" s="1">
        <v>0</v>
      </c>
      <c r="J676" s="1">
        <v>0</v>
      </c>
      <c r="K676" s="1">
        <v>5503147</v>
      </c>
      <c r="L676" s="1">
        <v>0</v>
      </c>
      <c r="M676" s="1">
        <v>0</v>
      </c>
      <c r="N676" s="1">
        <v>11521166</v>
      </c>
      <c r="O676" s="1">
        <v>2000000</v>
      </c>
      <c r="P676" s="1">
        <v>3993938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2640000</v>
      </c>
      <c r="W676" s="1">
        <v>0</v>
      </c>
      <c r="X676" s="1">
        <v>9036770</v>
      </c>
      <c r="Y676" s="1">
        <v>4000000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46233578</v>
      </c>
      <c r="AS676" s="1">
        <v>23361929</v>
      </c>
      <c r="AT676" s="1">
        <v>22871649</v>
      </c>
      <c r="AU676" s="1">
        <v>9246716</v>
      </c>
      <c r="AV676" s="1">
        <v>1387007</v>
      </c>
      <c r="AW676" s="1">
        <f t="shared" si="70"/>
        <v>56867301</v>
      </c>
    </row>
    <row r="677" spans="1:49" x14ac:dyDescent="0.2">
      <c r="A677" s="1" t="str">
        <f>"00780"</f>
        <v>00780</v>
      </c>
      <c r="B677" s="1" t="str">
        <f>"حسين"</f>
        <v>حسين</v>
      </c>
      <c r="C677" s="1" t="str">
        <f>"فردين پور"</f>
        <v>فردين پور</v>
      </c>
      <c r="D677" s="1" t="str">
        <f t="shared" ref="D677:D706" si="75">"قراردادي بهره بردار"</f>
        <v>قراردادي بهره بردار</v>
      </c>
      <c r="E677" s="1" t="str">
        <f t="shared" ref="E677:E705" si="76">"پروژه بهره برداري نيروگاه بوشهر"</f>
        <v>پروژه بهره برداري نيروگاه بوشهر</v>
      </c>
      <c r="F677" s="1">
        <v>14687325</v>
      </c>
      <c r="G677" s="1">
        <v>0</v>
      </c>
      <c r="H677" s="1">
        <v>0</v>
      </c>
      <c r="I677" s="1">
        <v>2898169</v>
      </c>
      <c r="J677" s="1">
        <v>0</v>
      </c>
      <c r="K677" s="1">
        <v>10781940</v>
      </c>
      <c r="L677" s="1">
        <v>0</v>
      </c>
      <c r="M677" s="1">
        <v>4620000</v>
      </c>
      <c r="N677" s="1">
        <v>0</v>
      </c>
      <c r="O677" s="1">
        <v>1000000</v>
      </c>
      <c r="P677" s="1">
        <v>2517378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17426641</v>
      </c>
      <c r="Y677" s="1">
        <v>4000000</v>
      </c>
      <c r="Z677" s="1">
        <v>2132031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1977940</v>
      </c>
      <c r="AH677" s="1">
        <v>1835427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11281906</v>
      </c>
      <c r="AO677" s="1">
        <v>0</v>
      </c>
      <c r="AP677" s="1">
        <v>0</v>
      </c>
      <c r="AQ677" s="1">
        <v>0</v>
      </c>
      <c r="AR677" s="1">
        <v>75158757</v>
      </c>
      <c r="AS677" s="1">
        <v>23959252</v>
      </c>
      <c r="AT677" s="1">
        <v>51199505</v>
      </c>
      <c r="AU677" s="1">
        <v>14664666</v>
      </c>
      <c r="AV677" s="1">
        <v>2199700</v>
      </c>
      <c r="AW677" s="1">
        <f t="shared" si="70"/>
        <v>92023123</v>
      </c>
    </row>
    <row r="678" spans="1:49" x14ac:dyDescent="0.2">
      <c r="A678" s="1" t="str">
        <f>"00781"</f>
        <v>00781</v>
      </c>
      <c r="B678" s="1" t="str">
        <f>"محسن"</f>
        <v>محسن</v>
      </c>
      <c r="C678" s="1" t="str">
        <f>"فلاح زاده ابرقويي"</f>
        <v>فلاح زاده ابرقويي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15997343</v>
      </c>
      <c r="G678" s="1">
        <v>0</v>
      </c>
      <c r="H678" s="1">
        <v>0</v>
      </c>
      <c r="I678" s="1">
        <v>3514735</v>
      </c>
      <c r="J678" s="1">
        <v>0</v>
      </c>
      <c r="K678" s="1">
        <v>12193616</v>
      </c>
      <c r="L678" s="1">
        <v>0</v>
      </c>
      <c r="M678" s="1">
        <v>4620000</v>
      </c>
      <c r="N678" s="1">
        <v>0</v>
      </c>
      <c r="O678" s="1">
        <v>1000000</v>
      </c>
      <c r="P678" s="1">
        <v>2975884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10165063</v>
      </c>
      <c r="Y678" s="1">
        <v>4000000</v>
      </c>
      <c r="Z678" s="1">
        <v>2322195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2338195</v>
      </c>
      <c r="AH678" s="1">
        <v>1835427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11673022</v>
      </c>
      <c r="AO678" s="1">
        <v>0</v>
      </c>
      <c r="AP678" s="1">
        <v>0</v>
      </c>
      <c r="AQ678" s="1">
        <v>0</v>
      </c>
      <c r="AR678" s="1">
        <v>72635480</v>
      </c>
      <c r="AS678" s="1">
        <v>31998901</v>
      </c>
      <c r="AT678" s="1">
        <v>40636579</v>
      </c>
      <c r="AU678" s="1">
        <v>14160011</v>
      </c>
      <c r="AV678" s="1">
        <v>2124002</v>
      </c>
      <c r="AW678" s="1">
        <f t="shared" si="70"/>
        <v>88919493</v>
      </c>
    </row>
    <row r="679" spans="1:49" x14ac:dyDescent="0.2">
      <c r="A679" s="1" t="str">
        <f>"00782"</f>
        <v>00782</v>
      </c>
      <c r="B679" s="1" t="str">
        <f>"ميثم"</f>
        <v>ميثم</v>
      </c>
      <c r="C679" s="1" t="str">
        <f>"قلاوند"</f>
        <v>قلاوند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14929174</v>
      </c>
      <c r="G679" s="1">
        <v>0</v>
      </c>
      <c r="H679" s="1">
        <v>0</v>
      </c>
      <c r="I679" s="1">
        <v>6669194</v>
      </c>
      <c r="J679" s="1">
        <v>0</v>
      </c>
      <c r="K679" s="1">
        <v>10969602</v>
      </c>
      <c r="L679" s="1">
        <v>0</v>
      </c>
      <c r="M679" s="1">
        <v>4620000</v>
      </c>
      <c r="N679" s="1">
        <v>0</v>
      </c>
      <c r="O679" s="1">
        <v>1000000</v>
      </c>
      <c r="P679" s="1">
        <v>2602024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1848000</v>
      </c>
      <c r="W679" s="1">
        <v>0</v>
      </c>
      <c r="X679" s="1">
        <v>17834399</v>
      </c>
      <c r="Y679" s="1">
        <v>4000000</v>
      </c>
      <c r="Z679" s="1">
        <v>833649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2044448</v>
      </c>
      <c r="AH679" s="1">
        <v>3670854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10690357</v>
      </c>
      <c r="AO679" s="1">
        <v>0</v>
      </c>
      <c r="AP679" s="1">
        <v>0</v>
      </c>
      <c r="AQ679" s="1">
        <v>0</v>
      </c>
      <c r="AR679" s="1">
        <v>81711701</v>
      </c>
      <c r="AS679" s="1">
        <v>32185222</v>
      </c>
      <c r="AT679" s="1">
        <v>49526479</v>
      </c>
      <c r="AU679" s="1">
        <v>15608169</v>
      </c>
      <c r="AV679" s="1">
        <v>2341225</v>
      </c>
      <c r="AW679" s="1">
        <f t="shared" si="70"/>
        <v>99661095</v>
      </c>
    </row>
    <row r="680" spans="1:49" x14ac:dyDescent="0.2">
      <c r="A680" s="1" t="str">
        <f>"00783"</f>
        <v>00783</v>
      </c>
      <c r="B680" s="1" t="str">
        <f>"رضا"</f>
        <v>رضا</v>
      </c>
      <c r="C680" s="1" t="str">
        <f>"قيطاسي"</f>
        <v>قيطاسي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15697551</v>
      </c>
      <c r="G680" s="1">
        <v>0</v>
      </c>
      <c r="H680" s="1">
        <v>0</v>
      </c>
      <c r="I680" s="1">
        <v>3047254</v>
      </c>
      <c r="J680" s="1">
        <v>0</v>
      </c>
      <c r="K680" s="1">
        <v>11552184</v>
      </c>
      <c r="L680" s="1">
        <v>0</v>
      </c>
      <c r="M680" s="1">
        <v>4620000</v>
      </c>
      <c r="N680" s="1">
        <v>0</v>
      </c>
      <c r="O680" s="1">
        <v>1000000</v>
      </c>
      <c r="P680" s="1">
        <v>2870957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18399174</v>
      </c>
      <c r="Y680" s="1">
        <v>4000000</v>
      </c>
      <c r="Z680" s="1">
        <v>2278677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2255751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10915730</v>
      </c>
      <c r="AO680" s="1">
        <v>0</v>
      </c>
      <c r="AP680" s="1">
        <v>0</v>
      </c>
      <c r="AQ680" s="1">
        <v>0</v>
      </c>
      <c r="AR680" s="1">
        <v>76637278</v>
      </c>
      <c r="AS680" s="1">
        <v>27728682</v>
      </c>
      <c r="AT680" s="1">
        <v>48908596</v>
      </c>
      <c r="AU680" s="1">
        <v>15327456</v>
      </c>
      <c r="AV680" s="1">
        <v>2299118</v>
      </c>
      <c r="AW680" s="1">
        <f t="shared" si="70"/>
        <v>94263852</v>
      </c>
    </row>
    <row r="681" spans="1:49" x14ac:dyDescent="0.2">
      <c r="A681" s="1" t="str">
        <f>"00784"</f>
        <v>00784</v>
      </c>
      <c r="B681" s="1" t="str">
        <f>"عباس"</f>
        <v>عباس</v>
      </c>
      <c r="C681" s="1" t="str">
        <f>"كاظمي"</f>
        <v>كاظمي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16405465</v>
      </c>
      <c r="G681" s="1">
        <v>0</v>
      </c>
      <c r="H681" s="1">
        <v>0</v>
      </c>
      <c r="I681" s="1">
        <v>3390834</v>
      </c>
      <c r="J681" s="1">
        <v>0</v>
      </c>
      <c r="K681" s="1">
        <v>13431355</v>
      </c>
      <c r="L681" s="1">
        <v>0</v>
      </c>
      <c r="M681" s="1">
        <v>3465000</v>
      </c>
      <c r="N681" s="1">
        <v>0</v>
      </c>
      <c r="O681" s="1">
        <v>1000000</v>
      </c>
      <c r="P681" s="1">
        <v>3118726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1848000</v>
      </c>
      <c r="W681" s="1">
        <v>0</v>
      </c>
      <c r="X681" s="1">
        <v>15899875</v>
      </c>
      <c r="Y681" s="1">
        <v>4000000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2450428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8760347</v>
      </c>
      <c r="AO681" s="1">
        <v>0</v>
      </c>
      <c r="AP681" s="1">
        <v>0</v>
      </c>
      <c r="AQ681" s="1">
        <v>0</v>
      </c>
      <c r="AR681" s="1">
        <v>73770030</v>
      </c>
      <c r="AS681" s="1">
        <v>30685283</v>
      </c>
      <c r="AT681" s="1">
        <v>43084747</v>
      </c>
      <c r="AU681" s="1">
        <v>14754006</v>
      </c>
      <c r="AV681" s="1">
        <v>2213101</v>
      </c>
      <c r="AW681" s="1">
        <f t="shared" si="70"/>
        <v>90737137</v>
      </c>
    </row>
    <row r="682" spans="1:49" x14ac:dyDescent="0.2">
      <c r="A682" s="1" t="str">
        <f>"00785"</f>
        <v>00785</v>
      </c>
      <c r="B682" s="1" t="str">
        <f>"عليرضا"</f>
        <v>عليرضا</v>
      </c>
      <c r="C682" s="1" t="str">
        <f>"كهن"</f>
        <v>كهن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15400277</v>
      </c>
      <c r="G682" s="1">
        <v>0</v>
      </c>
      <c r="H682" s="1">
        <v>0</v>
      </c>
      <c r="I682" s="1">
        <v>5621893</v>
      </c>
      <c r="J682" s="1">
        <v>0</v>
      </c>
      <c r="K682" s="1">
        <v>11601487</v>
      </c>
      <c r="L682" s="1">
        <v>0</v>
      </c>
      <c r="M682" s="1">
        <v>4620000</v>
      </c>
      <c r="N682" s="1">
        <v>0</v>
      </c>
      <c r="O682" s="1">
        <v>1000000</v>
      </c>
      <c r="P682" s="1">
        <v>2766910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18503094</v>
      </c>
      <c r="Y682" s="1">
        <v>4000000</v>
      </c>
      <c r="Z682" s="1">
        <v>2235524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2174001</v>
      </c>
      <c r="AH682" s="1">
        <v>1835427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10839044</v>
      </c>
      <c r="AO682" s="1">
        <v>0</v>
      </c>
      <c r="AP682" s="1">
        <v>0</v>
      </c>
      <c r="AQ682" s="1">
        <v>0</v>
      </c>
      <c r="AR682" s="1">
        <v>80597657</v>
      </c>
      <c r="AS682" s="1">
        <v>35541438</v>
      </c>
      <c r="AT682" s="1">
        <v>45056219</v>
      </c>
      <c r="AU682" s="1">
        <v>15752446</v>
      </c>
      <c r="AV682" s="1">
        <v>2362867</v>
      </c>
      <c r="AW682" s="1">
        <f t="shared" si="70"/>
        <v>98712970</v>
      </c>
    </row>
    <row r="683" spans="1:49" x14ac:dyDescent="0.2">
      <c r="A683" s="1" t="str">
        <f>"00786"</f>
        <v>00786</v>
      </c>
      <c r="B683" s="1" t="str">
        <f>"اميد"</f>
        <v>اميد</v>
      </c>
      <c r="C683" s="1" t="str">
        <f>"گلمرزي الاصل"</f>
        <v>گلمرزي الاصل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15085369</v>
      </c>
      <c r="G683" s="1">
        <v>0</v>
      </c>
      <c r="H683" s="1">
        <v>0</v>
      </c>
      <c r="I683" s="1">
        <v>5432719</v>
      </c>
      <c r="J683" s="1">
        <v>0</v>
      </c>
      <c r="K683" s="1">
        <v>10837377</v>
      </c>
      <c r="L683" s="1">
        <v>0</v>
      </c>
      <c r="M683" s="1">
        <v>0</v>
      </c>
      <c r="N683" s="1">
        <v>0</v>
      </c>
      <c r="O683" s="1">
        <v>1000000</v>
      </c>
      <c r="P683" s="1">
        <v>2656693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1848000</v>
      </c>
      <c r="W683" s="1">
        <v>0</v>
      </c>
      <c r="X683" s="1">
        <v>17880471</v>
      </c>
      <c r="Y683" s="1">
        <v>4000000</v>
      </c>
      <c r="Z683" s="1">
        <v>835803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2087402</v>
      </c>
      <c r="AH683" s="1">
        <v>1835427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10675291</v>
      </c>
      <c r="AO683" s="1">
        <v>0</v>
      </c>
      <c r="AP683" s="1">
        <v>0</v>
      </c>
      <c r="AQ683" s="1">
        <v>0</v>
      </c>
      <c r="AR683" s="1">
        <v>74174552</v>
      </c>
      <c r="AS683" s="1">
        <v>30252342</v>
      </c>
      <c r="AT683" s="1">
        <v>43922210</v>
      </c>
      <c r="AU683" s="1">
        <v>14467825</v>
      </c>
      <c r="AV683" s="1">
        <v>2170174</v>
      </c>
      <c r="AW683" s="1">
        <f t="shared" si="70"/>
        <v>90812551</v>
      </c>
    </row>
    <row r="684" spans="1:49" x14ac:dyDescent="0.2">
      <c r="A684" s="1" t="str">
        <f>"00787"</f>
        <v>00787</v>
      </c>
      <c r="B684" s="1" t="str">
        <f>"سجاد"</f>
        <v>سجاد</v>
      </c>
      <c r="C684" s="1" t="str">
        <f>"مرادي عبداليوسفي"</f>
        <v>مرادي عبداليوسفي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15062695</v>
      </c>
      <c r="G684" s="1">
        <v>0</v>
      </c>
      <c r="H684" s="1">
        <v>0</v>
      </c>
      <c r="I684" s="1">
        <v>14299611</v>
      </c>
      <c r="J684" s="1">
        <v>0</v>
      </c>
      <c r="K684" s="1">
        <v>11037704</v>
      </c>
      <c r="L684" s="1">
        <v>0</v>
      </c>
      <c r="M684" s="1">
        <v>4620000</v>
      </c>
      <c r="N684" s="1">
        <v>0</v>
      </c>
      <c r="O684" s="1">
        <v>1000000</v>
      </c>
      <c r="P684" s="1">
        <v>2648757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1848000</v>
      </c>
      <c r="W684" s="1">
        <v>0</v>
      </c>
      <c r="X684" s="1">
        <v>18139660</v>
      </c>
      <c r="Y684" s="1">
        <v>4000000</v>
      </c>
      <c r="Z684" s="1">
        <v>2186520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2081166</v>
      </c>
      <c r="AH684" s="1">
        <v>1835427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10631759</v>
      </c>
      <c r="AO684" s="1">
        <v>0</v>
      </c>
      <c r="AP684" s="1">
        <v>0</v>
      </c>
      <c r="AQ684" s="1">
        <v>0</v>
      </c>
      <c r="AR684" s="1">
        <v>89391299</v>
      </c>
      <c r="AS684" s="1">
        <v>32435226</v>
      </c>
      <c r="AT684" s="1">
        <v>56956073</v>
      </c>
      <c r="AU684" s="1">
        <v>17511174</v>
      </c>
      <c r="AV684" s="1">
        <v>2626676</v>
      </c>
      <c r="AW684" s="1">
        <f t="shared" si="70"/>
        <v>109529149</v>
      </c>
    </row>
    <row r="685" spans="1:49" x14ac:dyDescent="0.2">
      <c r="A685" s="1" t="str">
        <f>"00788"</f>
        <v>00788</v>
      </c>
      <c r="B685" s="1" t="str">
        <f>"مرتضي"</f>
        <v>مرتضي</v>
      </c>
      <c r="C685" s="1" t="str">
        <f>"مرادي کوچي"</f>
        <v>مرادي کوچي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16178731</v>
      </c>
      <c r="G685" s="1">
        <v>0</v>
      </c>
      <c r="H685" s="1">
        <v>0</v>
      </c>
      <c r="I685" s="1">
        <v>9113821</v>
      </c>
      <c r="J685" s="1">
        <v>0</v>
      </c>
      <c r="K685" s="1">
        <v>14368293</v>
      </c>
      <c r="L685" s="1">
        <v>0</v>
      </c>
      <c r="M685" s="1">
        <v>4620000</v>
      </c>
      <c r="N685" s="1">
        <v>0</v>
      </c>
      <c r="O685" s="1">
        <v>1000000</v>
      </c>
      <c r="P685" s="1">
        <v>3039369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1848000</v>
      </c>
      <c r="W685" s="1">
        <v>0</v>
      </c>
      <c r="X685" s="1">
        <v>13370172</v>
      </c>
      <c r="Y685" s="1">
        <v>4000000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2388076</v>
      </c>
      <c r="AH685" s="1">
        <v>1835427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6810082</v>
      </c>
      <c r="AO685" s="1">
        <v>0</v>
      </c>
      <c r="AP685" s="1">
        <v>0</v>
      </c>
      <c r="AQ685" s="1">
        <v>0</v>
      </c>
      <c r="AR685" s="1">
        <v>78571971</v>
      </c>
      <c r="AS685" s="1">
        <v>31967512</v>
      </c>
      <c r="AT685" s="1">
        <v>46604459</v>
      </c>
      <c r="AU685" s="1">
        <v>15347309</v>
      </c>
      <c r="AV685" s="1">
        <v>2302096</v>
      </c>
      <c r="AW685" s="1">
        <f t="shared" si="70"/>
        <v>96221376</v>
      </c>
    </row>
    <row r="686" spans="1:49" x14ac:dyDescent="0.2">
      <c r="A686" s="1" t="str">
        <f>"00789"</f>
        <v>00789</v>
      </c>
      <c r="B686" s="1" t="str">
        <f>"وحيد"</f>
        <v>وحيد</v>
      </c>
      <c r="C686" s="1" t="str">
        <f>"مسعودي مقدم"</f>
        <v>مسعودي مقدم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16473485</v>
      </c>
      <c r="G686" s="1">
        <v>0</v>
      </c>
      <c r="H686" s="1">
        <v>0</v>
      </c>
      <c r="I686" s="1">
        <v>3252639</v>
      </c>
      <c r="J686" s="1">
        <v>0</v>
      </c>
      <c r="K686" s="1">
        <v>12912005</v>
      </c>
      <c r="L686" s="1">
        <v>0</v>
      </c>
      <c r="M686" s="1">
        <v>4620000</v>
      </c>
      <c r="N686" s="1">
        <v>0</v>
      </c>
      <c r="O686" s="1">
        <v>1000000</v>
      </c>
      <c r="P686" s="1">
        <v>3142533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19558066</v>
      </c>
      <c r="Y686" s="1">
        <v>4000000</v>
      </c>
      <c r="Z686" s="1">
        <v>2391312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2469133</v>
      </c>
      <c r="AH686" s="1">
        <v>3670854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11294125</v>
      </c>
      <c r="AO686" s="1">
        <v>0</v>
      </c>
      <c r="AP686" s="1">
        <v>0</v>
      </c>
      <c r="AQ686" s="1">
        <v>0</v>
      </c>
      <c r="AR686" s="1">
        <v>84784152</v>
      </c>
      <c r="AS686" s="1">
        <v>20774059</v>
      </c>
      <c r="AT686" s="1">
        <v>64010093</v>
      </c>
      <c r="AU686" s="1">
        <v>16222660</v>
      </c>
      <c r="AV686" s="1">
        <v>2433399</v>
      </c>
      <c r="AW686" s="1">
        <f t="shared" si="70"/>
        <v>103440211</v>
      </c>
    </row>
    <row r="687" spans="1:49" x14ac:dyDescent="0.2">
      <c r="A687" s="1" t="str">
        <f>"00790"</f>
        <v>00790</v>
      </c>
      <c r="B687" s="1" t="str">
        <f>"محمد"</f>
        <v>محمد</v>
      </c>
      <c r="C687" s="1" t="str">
        <f>"مقدس زاده"</f>
        <v>مقدس زاده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15246602</v>
      </c>
      <c r="G687" s="1">
        <v>0</v>
      </c>
      <c r="H687" s="1">
        <v>0</v>
      </c>
      <c r="I687" s="1">
        <v>5523843</v>
      </c>
      <c r="J687" s="1">
        <v>0</v>
      </c>
      <c r="K687" s="1">
        <v>10980559</v>
      </c>
      <c r="L687" s="1">
        <v>0</v>
      </c>
      <c r="M687" s="1">
        <v>4620000</v>
      </c>
      <c r="N687" s="1">
        <v>0</v>
      </c>
      <c r="O687" s="1">
        <v>1000000</v>
      </c>
      <c r="P687" s="1">
        <v>2713124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18180384</v>
      </c>
      <c r="Y687" s="1">
        <v>4000000</v>
      </c>
      <c r="Z687" s="1">
        <v>2124555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2131741</v>
      </c>
      <c r="AH687" s="1">
        <v>1835427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10963546</v>
      </c>
      <c r="AO687" s="1">
        <v>0</v>
      </c>
      <c r="AP687" s="1">
        <v>0</v>
      </c>
      <c r="AQ687" s="1">
        <v>0</v>
      </c>
      <c r="AR687" s="1">
        <v>79319781</v>
      </c>
      <c r="AS687" s="1">
        <v>12866293</v>
      </c>
      <c r="AT687" s="1">
        <v>66453488</v>
      </c>
      <c r="AU687" s="1">
        <v>15496871</v>
      </c>
      <c r="AV687" s="1">
        <v>2324531</v>
      </c>
      <c r="AW687" s="1">
        <f t="shared" si="70"/>
        <v>97141183</v>
      </c>
    </row>
    <row r="688" spans="1:49" x14ac:dyDescent="0.2">
      <c r="A688" s="1" t="str">
        <f>"00791"</f>
        <v>00791</v>
      </c>
      <c r="B688" s="1" t="str">
        <f>"علي"</f>
        <v>علي</v>
      </c>
      <c r="C688" s="1" t="str">
        <f>"ملائي محلي"</f>
        <v>ملائي محلي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16271943</v>
      </c>
      <c r="G688" s="1">
        <v>0</v>
      </c>
      <c r="H688" s="1">
        <v>0</v>
      </c>
      <c r="I688" s="1">
        <v>7996818</v>
      </c>
      <c r="J688" s="1">
        <v>0</v>
      </c>
      <c r="K688" s="1">
        <v>14624252</v>
      </c>
      <c r="L688" s="1">
        <v>0</v>
      </c>
      <c r="M688" s="1">
        <v>4620000</v>
      </c>
      <c r="N688" s="1">
        <v>0</v>
      </c>
      <c r="O688" s="1">
        <v>1000000</v>
      </c>
      <c r="P688" s="1">
        <v>3071994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1848000</v>
      </c>
      <c r="W688" s="1">
        <v>0</v>
      </c>
      <c r="X688" s="1">
        <v>11563912</v>
      </c>
      <c r="Y688" s="1">
        <v>4000000</v>
      </c>
      <c r="Z688" s="1">
        <v>2362056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2413710</v>
      </c>
      <c r="AH688" s="1">
        <v>3670854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15013267</v>
      </c>
      <c r="AO688" s="1">
        <v>0</v>
      </c>
      <c r="AP688" s="1">
        <v>0</v>
      </c>
      <c r="AQ688" s="1">
        <v>0</v>
      </c>
      <c r="AR688" s="1">
        <v>88456806</v>
      </c>
      <c r="AS688" s="1">
        <v>15981085</v>
      </c>
      <c r="AT688" s="1">
        <v>72475721</v>
      </c>
      <c r="AU688" s="1">
        <v>16957190</v>
      </c>
      <c r="AV688" s="1">
        <v>2543579</v>
      </c>
      <c r="AW688" s="1">
        <f t="shared" si="70"/>
        <v>107957575</v>
      </c>
    </row>
    <row r="689" spans="1:49" x14ac:dyDescent="0.2">
      <c r="A689" s="1" t="str">
        <f>"00792"</f>
        <v>00792</v>
      </c>
      <c r="B689" s="1" t="str">
        <f>"محمدعلي"</f>
        <v>محمدعلي</v>
      </c>
      <c r="C689" s="1" t="str">
        <f>"نجاتي"</f>
        <v>نجاتي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17775946</v>
      </c>
      <c r="G689" s="1">
        <v>0</v>
      </c>
      <c r="H689" s="1">
        <v>0</v>
      </c>
      <c r="I689" s="1">
        <v>16083225</v>
      </c>
      <c r="J689" s="1">
        <v>0</v>
      </c>
      <c r="K689" s="1">
        <v>16497868</v>
      </c>
      <c r="L689" s="1">
        <v>0</v>
      </c>
      <c r="M689" s="1">
        <v>4620000</v>
      </c>
      <c r="N689" s="1">
        <v>0</v>
      </c>
      <c r="O689" s="1">
        <v>1000000</v>
      </c>
      <c r="P689" s="1">
        <v>3320646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1848000</v>
      </c>
      <c r="W689" s="1">
        <v>0</v>
      </c>
      <c r="X689" s="1">
        <v>12800671</v>
      </c>
      <c r="Y689" s="1">
        <v>4000000</v>
      </c>
      <c r="Z689" s="1">
        <v>2436852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2609079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16063147</v>
      </c>
      <c r="AO689" s="1">
        <v>0</v>
      </c>
      <c r="AP689" s="1">
        <v>0</v>
      </c>
      <c r="AQ689" s="1">
        <v>0</v>
      </c>
      <c r="AR689" s="1">
        <v>99055434</v>
      </c>
      <c r="AS689" s="1">
        <v>39845827</v>
      </c>
      <c r="AT689" s="1">
        <v>59209607</v>
      </c>
      <c r="AU689" s="1">
        <v>19811087</v>
      </c>
      <c r="AV689" s="1">
        <v>2971663</v>
      </c>
      <c r="AW689" s="1">
        <f t="shared" si="70"/>
        <v>121838184</v>
      </c>
    </row>
    <row r="690" spans="1:49" x14ac:dyDescent="0.2">
      <c r="A690" s="1" t="str">
        <f>"00793"</f>
        <v>00793</v>
      </c>
      <c r="B690" s="1" t="str">
        <f>"حسين"</f>
        <v>حسين</v>
      </c>
      <c r="C690" s="1" t="str">
        <f>"نصيري"</f>
        <v>نصيري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15123158</v>
      </c>
      <c r="G690" s="1">
        <v>0</v>
      </c>
      <c r="H690" s="1">
        <v>0</v>
      </c>
      <c r="I690" s="1">
        <v>10550650</v>
      </c>
      <c r="J690" s="1">
        <v>0</v>
      </c>
      <c r="K690" s="1">
        <v>10978735</v>
      </c>
      <c r="L690" s="1">
        <v>0</v>
      </c>
      <c r="M690" s="1">
        <v>4620000</v>
      </c>
      <c r="N690" s="1">
        <v>0</v>
      </c>
      <c r="O690" s="1">
        <v>1000000</v>
      </c>
      <c r="P690" s="1">
        <v>2669918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1848000</v>
      </c>
      <c r="W690" s="1">
        <v>0</v>
      </c>
      <c r="X690" s="1">
        <v>12576263</v>
      </c>
      <c r="Y690" s="1">
        <v>4000000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2097794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6393395</v>
      </c>
      <c r="AO690" s="1">
        <v>0</v>
      </c>
      <c r="AP690" s="1">
        <v>0</v>
      </c>
      <c r="AQ690" s="1">
        <v>0</v>
      </c>
      <c r="AR690" s="1">
        <v>71857913</v>
      </c>
      <c r="AS690" s="1">
        <v>10115240</v>
      </c>
      <c r="AT690" s="1">
        <v>61742673</v>
      </c>
      <c r="AU690" s="1">
        <v>14371583</v>
      </c>
      <c r="AV690" s="1">
        <v>2155737</v>
      </c>
      <c r="AW690" s="1">
        <f t="shared" si="70"/>
        <v>88385233</v>
      </c>
    </row>
    <row r="691" spans="1:49" x14ac:dyDescent="0.2">
      <c r="A691" s="1" t="str">
        <f>"00794"</f>
        <v>00794</v>
      </c>
      <c r="B691" s="1" t="str">
        <f>"علي"</f>
        <v>علي</v>
      </c>
      <c r="C691" s="1" t="str">
        <f>"نظري سينا"</f>
        <v>نظري سينا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17095744</v>
      </c>
      <c r="G691" s="1">
        <v>0</v>
      </c>
      <c r="H691" s="1">
        <v>0</v>
      </c>
      <c r="I691" s="1">
        <v>3561589</v>
      </c>
      <c r="J691" s="1">
        <v>0</v>
      </c>
      <c r="K691" s="1">
        <v>14335210</v>
      </c>
      <c r="L691" s="1">
        <v>0</v>
      </c>
      <c r="M691" s="1">
        <v>0</v>
      </c>
      <c r="N691" s="1">
        <v>0</v>
      </c>
      <c r="O691" s="1">
        <v>1000000</v>
      </c>
      <c r="P691" s="1">
        <v>3360324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11797504</v>
      </c>
      <c r="Y691" s="1">
        <v>4000000</v>
      </c>
      <c r="Z691" s="1">
        <v>2225993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2640255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13861962</v>
      </c>
      <c r="AO691" s="1">
        <v>0</v>
      </c>
      <c r="AP691" s="1">
        <v>0</v>
      </c>
      <c r="AQ691" s="1">
        <v>0</v>
      </c>
      <c r="AR691" s="1">
        <v>73878581</v>
      </c>
      <c r="AS691" s="1">
        <v>29468616</v>
      </c>
      <c r="AT691" s="1">
        <v>44409965</v>
      </c>
      <c r="AU691" s="1">
        <v>14775716</v>
      </c>
      <c r="AV691" s="1">
        <v>2216357</v>
      </c>
      <c r="AW691" s="1">
        <f t="shared" si="70"/>
        <v>90870654</v>
      </c>
    </row>
    <row r="692" spans="1:49" x14ac:dyDescent="0.2">
      <c r="A692" s="1" t="str">
        <f>"00795"</f>
        <v>00795</v>
      </c>
      <c r="B692" s="1" t="str">
        <f>"فرهاد"</f>
        <v>فرهاد</v>
      </c>
      <c r="C692" s="1" t="str">
        <f>"رزمي"</f>
        <v>رزمي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27711933</v>
      </c>
      <c r="G692" s="1">
        <v>0</v>
      </c>
      <c r="H692" s="1">
        <v>0</v>
      </c>
      <c r="I692" s="1">
        <v>16086356</v>
      </c>
      <c r="J692" s="1">
        <v>0</v>
      </c>
      <c r="K692" s="1">
        <v>23149237</v>
      </c>
      <c r="L692" s="1">
        <v>0</v>
      </c>
      <c r="M692" s="1">
        <v>5500000</v>
      </c>
      <c r="N692" s="1">
        <v>0</v>
      </c>
      <c r="O692" s="1">
        <v>1000000</v>
      </c>
      <c r="P692" s="1">
        <v>4326714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1848000</v>
      </c>
      <c r="W692" s="1">
        <v>0</v>
      </c>
      <c r="X692" s="1">
        <v>11727671</v>
      </c>
      <c r="Y692" s="1">
        <v>4000000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3399561</v>
      </c>
      <c r="AH692" s="1">
        <v>1835427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5673767</v>
      </c>
      <c r="AO692" s="1">
        <v>0</v>
      </c>
      <c r="AP692" s="1">
        <v>0</v>
      </c>
      <c r="AQ692" s="1">
        <v>0</v>
      </c>
      <c r="AR692" s="1">
        <v>106258666</v>
      </c>
      <c r="AS692" s="1">
        <v>23701374</v>
      </c>
      <c r="AT692" s="1">
        <v>82557292</v>
      </c>
      <c r="AU692" s="1">
        <v>20884648</v>
      </c>
      <c r="AV692" s="1">
        <v>3132697</v>
      </c>
      <c r="AW692" s="1">
        <f t="shared" si="70"/>
        <v>130276011</v>
      </c>
    </row>
    <row r="693" spans="1:49" x14ac:dyDescent="0.2">
      <c r="A693" s="1" t="str">
        <f>"00796"</f>
        <v>00796</v>
      </c>
      <c r="B693" s="1" t="str">
        <f>"حميدرضا"</f>
        <v>حميدرضا</v>
      </c>
      <c r="C693" s="1" t="str">
        <f>"محبي"</f>
        <v>محبي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19756089</v>
      </c>
      <c r="G693" s="1">
        <v>0</v>
      </c>
      <c r="H693" s="1">
        <v>0</v>
      </c>
      <c r="I693" s="1">
        <v>5522971</v>
      </c>
      <c r="J693" s="1">
        <v>0</v>
      </c>
      <c r="K693" s="1">
        <v>14933090</v>
      </c>
      <c r="L693" s="1">
        <v>0</v>
      </c>
      <c r="M693" s="1">
        <v>0</v>
      </c>
      <c r="N693" s="1">
        <v>0</v>
      </c>
      <c r="O693" s="1">
        <v>1000000</v>
      </c>
      <c r="P693" s="1">
        <v>3250988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1848000</v>
      </c>
      <c r="W693" s="1">
        <v>0</v>
      </c>
      <c r="X693" s="1">
        <v>9510978</v>
      </c>
      <c r="Y693" s="1">
        <v>4000000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2554347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5900501</v>
      </c>
      <c r="AO693" s="1">
        <v>0</v>
      </c>
      <c r="AP693" s="1">
        <v>0</v>
      </c>
      <c r="AQ693" s="1">
        <v>0</v>
      </c>
      <c r="AR693" s="1">
        <v>68276964</v>
      </c>
      <c r="AS693" s="1">
        <v>18294297</v>
      </c>
      <c r="AT693" s="1">
        <v>49982667</v>
      </c>
      <c r="AU693" s="1">
        <v>13655393</v>
      </c>
      <c r="AV693" s="1">
        <v>2048309</v>
      </c>
      <c r="AW693" s="1">
        <f t="shared" si="70"/>
        <v>83980666</v>
      </c>
    </row>
    <row r="694" spans="1:49" x14ac:dyDescent="0.2">
      <c r="A694" s="1" t="str">
        <f>"00797"</f>
        <v>00797</v>
      </c>
      <c r="B694" s="1" t="str">
        <f>"مسعود"</f>
        <v>مسعود</v>
      </c>
      <c r="C694" s="1" t="str">
        <f>"احمدپور"</f>
        <v>احمدپور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17521500</v>
      </c>
      <c r="G694" s="1">
        <v>0</v>
      </c>
      <c r="H694" s="1">
        <v>0</v>
      </c>
      <c r="I694" s="1">
        <v>4000322</v>
      </c>
      <c r="J694" s="1">
        <v>0</v>
      </c>
      <c r="K694" s="1">
        <v>14944033</v>
      </c>
      <c r="L694" s="1">
        <v>0</v>
      </c>
      <c r="M694" s="1">
        <v>3465000</v>
      </c>
      <c r="N694" s="1">
        <v>0</v>
      </c>
      <c r="O694" s="1">
        <v>1000000</v>
      </c>
      <c r="P694" s="1">
        <v>3231590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1848000</v>
      </c>
      <c r="W694" s="1">
        <v>0</v>
      </c>
      <c r="X694" s="1">
        <v>15894470</v>
      </c>
      <c r="Y694" s="1">
        <v>4000000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2539106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8858497</v>
      </c>
      <c r="AO694" s="1">
        <v>0</v>
      </c>
      <c r="AP694" s="1">
        <v>0</v>
      </c>
      <c r="AQ694" s="1">
        <v>0</v>
      </c>
      <c r="AR694" s="1">
        <v>77302518</v>
      </c>
      <c r="AS694" s="1">
        <v>11021910</v>
      </c>
      <c r="AT694" s="1">
        <v>66280608</v>
      </c>
      <c r="AU694" s="1">
        <v>15460504</v>
      </c>
      <c r="AV694" s="1">
        <v>2319076</v>
      </c>
      <c r="AW694" s="1">
        <f t="shared" si="70"/>
        <v>95082098</v>
      </c>
    </row>
    <row r="695" spans="1:49" x14ac:dyDescent="0.2">
      <c r="A695" s="1" t="str">
        <f>"00798"</f>
        <v>00798</v>
      </c>
      <c r="B695" s="1" t="str">
        <f>"محمدصادق"</f>
        <v>محمدصادق</v>
      </c>
      <c r="C695" s="1" t="str">
        <f>"الماسي"</f>
        <v>الماسي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21957928</v>
      </c>
      <c r="G695" s="1">
        <v>0</v>
      </c>
      <c r="H695" s="1">
        <v>0</v>
      </c>
      <c r="I695" s="1">
        <v>15439733</v>
      </c>
      <c r="J695" s="1">
        <v>0</v>
      </c>
      <c r="K695" s="1">
        <v>18725819</v>
      </c>
      <c r="L695" s="1">
        <v>0</v>
      </c>
      <c r="M695" s="1">
        <v>5500000</v>
      </c>
      <c r="N695" s="1">
        <v>0</v>
      </c>
      <c r="O695" s="1">
        <v>1000000</v>
      </c>
      <c r="P695" s="1">
        <v>3823239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25994882</v>
      </c>
      <c r="Y695" s="1">
        <v>4000000</v>
      </c>
      <c r="Z695" s="1">
        <v>3187441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3003973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14015386</v>
      </c>
      <c r="AO695" s="1">
        <v>0</v>
      </c>
      <c r="AP695" s="1">
        <v>0</v>
      </c>
      <c r="AQ695" s="1">
        <v>0</v>
      </c>
      <c r="AR695" s="1">
        <v>116648401</v>
      </c>
      <c r="AS695" s="1">
        <v>44313599</v>
      </c>
      <c r="AT695" s="1">
        <v>72334802</v>
      </c>
      <c r="AU695" s="1">
        <v>23329680</v>
      </c>
      <c r="AV695" s="1">
        <v>3499452</v>
      </c>
      <c r="AW695" s="1">
        <f t="shared" si="70"/>
        <v>143477533</v>
      </c>
    </row>
    <row r="696" spans="1:49" x14ac:dyDescent="0.2">
      <c r="A696" s="1" t="str">
        <f>"00799"</f>
        <v>00799</v>
      </c>
      <c r="B696" s="1" t="str">
        <f>"حسين"</f>
        <v>حسين</v>
      </c>
      <c r="C696" s="1" t="str">
        <f>"پرواز"</f>
        <v>پرواز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24726602</v>
      </c>
      <c r="G696" s="1">
        <v>0</v>
      </c>
      <c r="H696" s="1">
        <v>0</v>
      </c>
      <c r="I696" s="1">
        <v>4962567</v>
      </c>
      <c r="J696" s="1">
        <v>0</v>
      </c>
      <c r="K696" s="1">
        <v>22241288</v>
      </c>
      <c r="L696" s="1">
        <v>0</v>
      </c>
      <c r="M696" s="1">
        <v>5500000</v>
      </c>
      <c r="N696" s="1">
        <v>0</v>
      </c>
      <c r="O696" s="1">
        <v>1000000</v>
      </c>
      <c r="P696" s="1">
        <v>4355812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1848000</v>
      </c>
      <c r="W696" s="1">
        <v>0</v>
      </c>
      <c r="X696" s="1">
        <v>29839834</v>
      </c>
      <c r="Y696" s="1">
        <v>4000000</v>
      </c>
      <c r="Z696" s="1">
        <v>3589346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3422424</v>
      </c>
      <c r="AH696" s="1">
        <v>3670854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15880702</v>
      </c>
      <c r="AO696" s="1">
        <v>0</v>
      </c>
      <c r="AP696" s="1">
        <v>0</v>
      </c>
      <c r="AQ696" s="1">
        <v>0</v>
      </c>
      <c r="AR696" s="1">
        <v>125037429</v>
      </c>
      <c r="AS696" s="1">
        <v>37310742</v>
      </c>
      <c r="AT696" s="1">
        <v>87726687</v>
      </c>
      <c r="AU696" s="1">
        <v>24273315</v>
      </c>
      <c r="AV696" s="1">
        <v>3640997</v>
      </c>
      <c r="AW696" s="1">
        <f t="shared" si="70"/>
        <v>152951741</v>
      </c>
    </row>
    <row r="697" spans="1:49" x14ac:dyDescent="0.2">
      <c r="A697" s="1" t="str">
        <f>"00800"</f>
        <v>00800</v>
      </c>
      <c r="B697" s="1" t="str">
        <f>"بهمن"</f>
        <v>بهمن</v>
      </c>
      <c r="C697" s="1" t="str">
        <f>"خدادوستان شهرکي"</f>
        <v>خدادوستان شهرکي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21713559</v>
      </c>
      <c r="G697" s="1">
        <v>0</v>
      </c>
      <c r="H697" s="1">
        <v>0</v>
      </c>
      <c r="I697" s="1">
        <v>7466442</v>
      </c>
      <c r="J697" s="1">
        <v>0</v>
      </c>
      <c r="K697" s="1">
        <v>18757813</v>
      </c>
      <c r="L697" s="1">
        <v>0</v>
      </c>
      <c r="M697" s="1">
        <v>5500000</v>
      </c>
      <c r="N697" s="1">
        <v>0</v>
      </c>
      <c r="O697" s="1">
        <v>1000000</v>
      </c>
      <c r="P697" s="1">
        <v>3737710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15303120</v>
      </c>
      <c r="Y697" s="1">
        <v>4000000</v>
      </c>
      <c r="Z697" s="1">
        <v>3111017</v>
      </c>
      <c r="AA697" s="1">
        <v>0</v>
      </c>
      <c r="AB697" s="1">
        <v>0</v>
      </c>
      <c r="AC697" s="1">
        <v>0</v>
      </c>
      <c r="AD697" s="1">
        <v>0</v>
      </c>
      <c r="AE697" s="1">
        <v>4459102</v>
      </c>
      <c r="AF697" s="1">
        <v>0</v>
      </c>
      <c r="AG697" s="1">
        <v>2936773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21267045</v>
      </c>
      <c r="AO697" s="1">
        <v>0</v>
      </c>
      <c r="AP697" s="1">
        <v>0</v>
      </c>
      <c r="AQ697" s="1">
        <v>0</v>
      </c>
      <c r="AR697" s="1">
        <v>109252581</v>
      </c>
      <c r="AS697" s="1">
        <v>37069929</v>
      </c>
      <c r="AT697" s="1">
        <v>72182652</v>
      </c>
      <c r="AU697" s="1">
        <v>21850516</v>
      </c>
      <c r="AV697" s="1">
        <v>3277577</v>
      </c>
      <c r="AW697" s="1">
        <f t="shared" si="70"/>
        <v>134380674</v>
      </c>
    </row>
    <row r="698" spans="1:49" x14ac:dyDescent="0.2">
      <c r="A698" s="1" t="str">
        <f>"00801"</f>
        <v>00801</v>
      </c>
      <c r="B698" s="1" t="str">
        <f>"عليرضا"</f>
        <v>عليرضا</v>
      </c>
      <c r="C698" s="1" t="str">
        <f>"رزمي"</f>
        <v>رزمي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14994675</v>
      </c>
      <c r="G698" s="1">
        <v>0</v>
      </c>
      <c r="H698" s="1">
        <v>0</v>
      </c>
      <c r="I698" s="1">
        <v>3727707</v>
      </c>
      <c r="J698" s="1">
        <v>0</v>
      </c>
      <c r="K698" s="1">
        <v>11287686</v>
      </c>
      <c r="L698" s="1">
        <v>0</v>
      </c>
      <c r="M698" s="1">
        <v>4620000</v>
      </c>
      <c r="N698" s="1">
        <v>0</v>
      </c>
      <c r="O698" s="1">
        <v>1000000</v>
      </c>
      <c r="P698" s="1">
        <v>2624950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1848000</v>
      </c>
      <c r="W698" s="1">
        <v>0</v>
      </c>
      <c r="X698" s="1">
        <v>9790736</v>
      </c>
      <c r="Y698" s="1">
        <v>4000000</v>
      </c>
      <c r="Z698" s="1">
        <v>2176646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2062461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12066431</v>
      </c>
      <c r="AO698" s="1">
        <v>0</v>
      </c>
      <c r="AP698" s="1">
        <v>0</v>
      </c>
      <c r="AQ698" s="1">
        <v>0</v>
      </c>
      <c r="AR698" s="1">
        <v>70199292</v>
      </c>
      <c r="AS698" s="1">
        <v>9844885</v>
      </c>
      <c r="AT698" s="1">
        <v>60354407</v>
      </c>
      <c r="AU698" s="1">
        <v>14039858</v>
      </c>
      <c r="AV698" s="1">
        <v>2105979</v>
      </c>
      <c r="AW698" s="1">
        <f t="shared" si="70"/>
        <v>86345129</v>
      </c>
    </row>
    <row r="699" spans="1:49" x14ac:dyDescent="0.2">
      <c r="A699" s="1" t="str">
        <f>"00802"</f>
        <v>00802</v>
      </c>
      <c r="B699" s="1" t="str">
        <f>"محمدباقر"</f>
        <v>محمدباقر</v>
      </c>
      <c r="C699" s="1" t="str">
        <f>"رنجبر"</f>
        <v>رنجبر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16992454</v>
      </c>
      <c r="G699" s="1">
        <v>0</v>
      </c>
      <c r="H699" s="1">
        <v>0</v>
      </c>
      <c r="I699" s="1">
        <v>1948267</v>
      </c>
      <c r="J699" s="1">
        <v>0</v>
      </c>
      <c r="K699" s="1">
        <v>13726606</v>
      </c>
      <c r="L699" s="1">
        <v>0</v>
      </c>
      <c r="M699" s="1">
        <v>4620000</v>
      </c>
      <c r="N699" s="1">
        <v>0</v>
      </c>
      <c r="O699" s="1">
        <v>1000000</v>
      </c>
      <c r="P699" s="1">
        <v>3324172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1848000</v>
      </c>
      <c r="W699" s="1">
        <v>0</v>
      </c>
      <c r="X699" s="1">
        <v>10234153</v>
      </c>
      <c r="Y699" s="1">
        <v>4000000</v>
      </c>
      <c r="Z699" s="1">
        <v>2466647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2611850</v>
      </c>
      <c r="AH699" s="1">
        <v>3670854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8330207</v>
      </c>
      <c r="AO699" s="1">
        <v>0</v>
      </c>
      <c r="AP699" s="1">
        <v>0</v>
      </c>
      <c r="AQ699" s="1">
        <v>0</v>
      </c>
      <c r="AR699" s="1">
        <v>74773210</v>
      </c>
      <c r="AS699" s="1">
        <v>25068775</v>
      </c>
      <c r="AT699" s="1">
        <v>49704435</v>
      </c>
      <c r="AU699" s="1">
        <v>14220471</v>
      </c>
      <c r="AV699" s="1">
        <v>2133071</v>
      </c>
      <c r="AW699" s="1">
        <f t="shared" si="70"/>
        <v>91126752</v>
      </c>
    </row>
    <row r="700" spans="1:49" x14ac:dyDescent="0.2">
      <c r="A700" s="1" t="str">
        <f>"00803"</f>
        <v>00803</v>
      </c>
      <c r="B700" s="1" t="str">
        <f>"قادر"</f>
        <v>قادر</v>
      </c>
      <c r="C700" s="1" t="str">
        <f>"شجاعي"</f>
        <v>شجاعي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16259347</v>
      </c>
      <c r="G700" s="1">
        <v>0</v>
      </c>
      <c r="H700" s="1">
        <v>0</v>
      </c>
      <c r="I700" s="1">
        <v>7111540</v>
      </c>
      <c r="J700" s="1">
        <v>0</v>
      </c>
      <c r="K700" s="1">
        <v>13440979</v>
      </c>
      <c r="L700" s="1">
        <v>0</v>
      </c>
      <c r="M700" s="1">
        <v>0</v>
      </c>
      <c r="N700" s="1">
        <v>0</v>
      </c>
      <c r="O700" s="1">
        <v>1000000</v>
      </c>
      <c r="P700" s="1">
        <v>3067585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1848000</v>
      </c>
      <c r="W700" s="1">
        <v>0</v>
      </c>
      <c r="X700" s="1">
        <v>10987232</v>
      </c>
      <c r="Y700" s="1">
        <v>4000000</v>
      </c>
      <c r="Z700" s="1">
        <v>2360228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2410246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13117368</v>
      </c>
      <c r="AO700" s="1">
        <v>0</v>
      </c>
      <c r="AP700" s="1">
        <v>0</v>
      </c>
      <c r="AQ700" s="1">
        <v>0</v>
      </c>
      <c r="AR700" s="1">
        <v>75602525</v>
      </c>
      <c r="AS700" s="1">
        <v>22733816</v>
      </c>
      <c r="AT700" s="1">
        <v>52868709</v>
      </c>
      <c r="AU700" s="1">
        <v>15120505</v>
      </c>
      <c r="AV700" s="1">
        <v>2268076</v>
      </c>
      <c r="AW700" s="1">
        <f t="shared" si="70"/>
        <v>92991106</v>
      </c>
    </row>
    <row r="701" spans="1:49" x14ac:dyDescent="0.2">
      <c r="A701" s="1" t="str">
        <f>"00804"</f>
        <v>00804</v>
      </c>
      <c r="B701" s="1" t="str">
        <f>"علي"</f>
        <v>علي</v>
      </c>
      <c r="C701" s="1" t="str">
        <f>"گلابي"</f>
        <v>گلابي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16355079</v>
      </c>
      <c r="G701" s="1">
        <v>0</v>
      </c>
      <c r="H701" s="1">
        <v>0</v>
      </c>
      <c r="I701" s="1">
        <v>387672</v>
      </c>
      <c r="J701" s="1">
        <v>0</v>
      </c>
      <c r="K701" s="1">
        <v>13812218</v>
      </c>
      <c r="L701" s="1">
        <v>0</v>
      </c>
      <c r="M701" s="1">
        <v>4620000</v>
      </c>
      <c r="N701" s="1">
        <v>0</v>
      </c>
      <c r="O701" s="1">
        <v>1000000</v>
      </c>
      <c r="P701" s="1">
        <v>3101091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1848000</v>
      </c>
      <c r="W701" s="1">
        <v>0</v>
      </c>
      <c r="X701" s="1">
        <v>10182111</v>
      </c>
      <c r="Y701" s="1">
        <v>4000000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2436572</v>
      </c>
      <c r="AH701" s="1">
        <v>1835427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9051574</v>
      </c>
      <c r="AO701" s="1">
        <v>0</v>
      </c>
      <c r="AP701" s="1">
        <v>0</v>
      </c>
      <c r="AQ701" s="1">
        <v>0</v>
      </c>
      <c r="AR701" s="1">
        <v>68629744</v>
      </c>
      <c r="AS701" s="1">
        <v>18874221</v>
      </c>
      <c r="AT701" s="1">
        <v>49755523</v>
      </c>
      <c r="AU701" s="1">
        <v>13358863</v>
      </c>
      <c r="AV701" s="1">
        <v>2003830</v>
      </c>
      <c r="AW701" s="1">
        <f t="shared" si="70"/>
        <v>83992437</v>
      </c>
    </row>
    <row r="702" spans="1:49" x14ac:dyDescent="0.2">
      <c r="A702" s="1" t="str">
        <f>"00805"</f>
        <v>00805</v>
      </c>
      <c r="B702" s="1" t="str">
        <f>"حميد"</f>
        <v>حميد</v>
      </c>
      <c r="C702" s="1" t="str">
        <f>"محمودي پيام"</f>
        <v>محمودي پيام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15725263</v>
      </c>
      <c r="G702" s="1">
        <v>0</v>
      </c>
      <c r="H702" s="1">
        <v>0</v>
      </c>
      <c r="I702" s="1">
        <v>10189750</v>
      </c>
      <c r="J702" s="1">
        <v>0</v>
      </c>
      <c r="K702" s="1">
        <v>13669375</v>
      </c>
      <c r="L702" s="1">
        <v>0</v>
      </c>
      <c r="M702" s="1">
        <v>4620000</v>
      </c>
      <c r="N702" s="1">
        <v>0</v>
      </c>
      <c r="O702" s="1">
        <v>1000000</v>
      </c>
      <c r="P702" s="1">
        <v>2880655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1848000</v>
      </c>
      <c r="W702" s="1">
        <v>0</v>
      </c>
      <c r="X702" s="1">
        <v>11151309</v>
      </c>
      <c r="Y702" s="1">
        <v>4000000</v>
      </c>
      <c r="Z702" s="1">
        <v>2282699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2263372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14478075</v>
      </c>
      <c r="AO702" s="1">
        <v>0</v>
      </c>
      <c r="AP702" s="1">
        <v>0</v>
      </c>
      <c r="AQ702" s="1">
        <v>0</v>
      </c>
      <c r="AR702" s="1">
        <v>84108498</v>
      </c>
      <c r="AS702" s="1">
        <v>24925690</v>
      </c>
      <c r="AT702" s="1">
        <v>59182808</v>
      </c>
      <c r="AU702" s="1">
        <v>16821700</v>
      </c>
      <c r="AV702" s="1">
        <v>2523255</v>
      </c>
      <c r="AW702" s="1">
        <f t="shared" si="70"/>
        <v>103453453</v>
      </c>
    </row>
    <row r="703" spans="1:49" x14ac:dyDescent="0.2">
      <c r="A703" s="1" t="str">
        <f>"00806"</f>
        <v>00806</v>
      </c>
      <c r="B703" s="1" t="str">
        <f>"مصطفي"</f>
        <v>مصطفي</v>
      </c>
      <c r="C703" s="1" t="str">
        <f>"مرادي"</f>
        <v>مرادي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16682584</v>
      </c>
      <c r="G703" s="1">
        <v>0</v>
      </c>
      <c r="H703" s="1">
        <v>0</v>
      </c>
      <c r="I703" s="1">
        <v>7855376</v>
      </c>
      <c r="J703" s="1">
        <v>0</v>
      </c>
      <c r="K703" s="1">
        <v>14499783</v>
      </c>
      <c r="L703" s="1">
        <v>0</v>
      </c>
      <c r="M703" s="1">
        <v>4620000</v>
      </c>
      <c r="N703" s="1">
        <v>0</v>
      </c>
      <c r="O703" s="1">
        <v>1000000</v>
      </c>
      <c r="P703" s="1">
        <v>3215718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1848000</v>
      </c>
      <c r="W703" s="1">
        <v>0</v>
      </c>
      <c r="X703" s="1">
        <v>11462200</v>
      </c>
      <c r="Y703" s="1">
        <v>4000000</v>
      </c>
      <c r="Z703" s="1">
        <v>2421665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2526635</v>
      </c>
      <c r="AH703" s="1">
        <v>1835427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13458578</v>
      </c>
      <c r="AO703" s="1">
        <v>0</v>
      </c>
      <c r="AP703" s="1">
        <v>0</v>
      </c>
      <c r="AQ703" s="1">
        <v>0</v>
      </c>
      <c r="AR703" s="1">
        <v>85425966</v>
      </c>
      <c r="AS703" s="1">
        <v>30182651</v>
      </c>
      <c r="AT703" s="1">
        <v>55243315</v>
      </c>
      <c r="AU703" s="1">
        <v>16718108</v>
      </c>
      <c r="AV703" s="1">
        <v>2507716</v>
      </c>
      <c r="AW703" s="1">
        <f t="shared" si="70"/>
        <v>104651790</v>
      </c>
    </row>
    <row r="704" spans="1:49" x14ac:dyDescent="0.2">
      <c r="A704" s="1" t="str">
        <f>"00807"</f>
        <v>00807</v>
      </c>
      <c r="B704" s="1" t="str">
        <f>"محسن"</f>
        <v>محسن</v>
      </c>
      <c r="C704" s="1" t="str">
        <f>"ملکي"</f>
        <v>ملکي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16148499</v>
      </c>
      <c r="G704" s="1">
        <v>0</v>
      </c>
      <c r="H704" s="1">
        <v>0</v>
      </c>
      <c r="I704" s="1">
        <v>3318073</v>
      </c>
      <c r="J704" s="1">
        <v>0</v>
      </c>
      <c r="K704" s="1">
        <v>13426248</v>
      </c>
      <c r="L704" s="1">
        <v>0</v>
      </c>
      <c r="M704" s="1">
        <v>4620000</v>
      </c>
      <c r="N704" s="1">
        <v>0</v>
      </c>
      <c r="O704" s="1">
        <v>1000000</v>
      </c>
      <c r="P704" s="1">
        <v>3028789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1848000</v>
      </c>
      <c r="W704" s="1">
        <v>0</v>
      </c>
      <c r="X704" s="1">
        <v>19951516</v>
      </c>
      <c r="Y704" s="1">
        <v>4000000</v>
      </c>
      <c r="Z704" s="1">
        <v>2344137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2379763</v>
      </c>
      <c r="AH704" s="1">
        <v>1835427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12239228</v>
      </c>
      <c r="AO704" s="1">
        <v>0</v>
      </c>
      <c r="AP704" s="1">
        <v>0</v>
      </c>
      <c r="AQ704" s="1">
        <v>0</v>
      </c>
      <c r="AR704" s="1">
        <v>86139680</v>
      </c>
      <c r="AS704" s="1">
        <v>32301144</v>
      </c>
      <c r="AT704" s="1">
        <v>53838536</v>
      </c>
      <c r="AU704" s="1">
        <v>16860851</v>
      </c>
      <c r="AV704" s="1">
        <v>2529128</v>
      </c>
      <c r="AW704" s="1">
        <f t="shared" si="70"/>
        <v>105529659</v>
      </c>
    </row>
    <row r="705" spans="1:49" x14ac:dyDescent="0.2">
      <c r="A705" s="1" t="str">
        <f>"00808"</f>
        <v>00808</v>
      </c>
      <c r="B705" s="1" t="str">
        <f>"رضا"</f>
        <v>رضا</v>
      </c>
      <c r="C705" s="1" t="str">
        <f>"نگهبان"</f>
        <v>نگهبان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f t="shared" si="70"/>
        <v>0</v>
      </c>
    </row>
    <row r="706" spans="1:49" x14ac:dyDescent="0.2">
      <c r="A706" s="1" t="str">
        <f>"00809"</f>
        <v>00809</v>
      </c>
      <c r="B706" s="1" t="str">
        <f>"حسين"</f>
        <v>حسين</v>
      </c>
      <c r="C706" s="1" t="str">
        <f>"سماواتي"</f>
        <v>سماواتي</v>
      </c>
      <c r="D706" s="1" t="str">
        <f t="shared" si="75"/>
        <v>قراردادي بهره بردار</v>
      </c>
      <c r="E706" s="1" t="str">
        <f t="shared" ref="E706:E721" si="77">"پروژه تعميرات نيروگاه بوشهر"</f>
        <v>پروژه تعميرات نيروگاه بوشهر</v>
      </c>
      <c r="F706" s="1">
        <v>29422515</v>
      </c>
      <c r="G706" s="1">
        <v>0</v>
      </c>
      <c r="H706" s="1">
        <v>0</v>
      </c>
      <c r="I706" s="1">
        <v>15739022</v>
      </c>
      <c r="J706" s="1">
        <v>0</v>
      </c>
      <c r="K706" s="1">
        <v>25682667</v>
      </c>
      <c r="L706" s="1">
        <v>0</v>
      </c>
      <c r="M706" s="1">
        <v>5500000</v>
      </c>
      <c r="N706" s="1">
        <v>0</v>
      </c>
      <c r="O706" s="1">
        <v>1000000</v>
      </c>
      <c r="P706" s="1">
        <v>4428997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1848000</v>
      </c>
      <c r="W706" s="1">
        <v>0</v>
      </c>
      <c r="X706" s="1">
        <v>6758922</v>
      </c>
      <c r="Y706" s="1">
        <v>4000000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3479926</v>
      </c>
      <c r="AH706" s="1">
        <v>5506281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4575114</v>
      </c>
      <c r="AO706" s="1">
        <v>0</v>
      </c>
      <c r="AP706" s="1">
        <v>0</v>
      </c>
      <c r="AQ706" s="1">
        <v>0</v>
      </c>
      <c r="AR706" s="1">
        <v>107941444</v>
      </c>
      <c r="AS706" s="1">
        <v>45327825</v>
      </c>
      <c r="AT706" s="1">
        <v>62613619</v>
      </c>
      <c r="AU706" s="1">
        <v>20487033</v>
      </c>
      <c r="AV706" s="1">
        <v>3073055</v>
      </c>
      <c r="AW706" s="1">
        <f t="shared" si="70"/>
        <v>131501532</v>
      </c>
    </row>
    <row r="707" spans="1:49" x14ac:dyDescent="0.2">
      <c r="A707" s="1" t="str">
        <f>"00811"</f>
        <v>00811</v>
      </c>
      <c r="B707" s="1" t="str">
        <f>"حسين"</f>
        <v>حسين</v>
      </c>
      <c r="C707" s="1" t="str">
        <f>"اسماعيلي مطلق"</f>
        <v>اسماعيلي مطلق</v>
      </c>
      <c r="D707" s="1" t="str">
        <f t="shared" ref="D707:D721" si="78">"قراردادي کارگري"</f>
        <v>قراردادي کارگري</v>
      </c>
      <c r="E707" s="1" t="str">
        <f t="shared" si="77"/>
        <v>پروژه تعميرات نيروگاه بوشهر</v>
      </c>
      <c r="F707" s="1">
        <v>0</v>
      </c>
      <c r="G707" s="1">
        <v>6821885</v>
      </c>
      <c r="H707" s="1">
        <v>3410942</v>
      </c>
      <c r="I707" s="1">
        <v>1273504</v>
      </c>
      <c r="J707" s="1">
        <v>0</v>
      </c>
      <c r="K707" s="1">
        <v>6242025</v>
      </c>
      <c r="L707" s="1">
        <v>0</v>
      </c>
      <c r="M707" s="1">
        <v>0</v>
      </c>
      <c r="N707" s="1">
        <v>11572430</v>
      </c>
      <c r="O707" s="1">
        <v>2000000</v>
      </c>
      <c r="P707" s="1">
        <v>5457508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2640000</v>
      </c>
      <c r="W707" s="1">
        <v>0</v>
      </c>
      <c r="X707" s="1">
        <v>11613651</v>
      </c>
      <c r="Y707" s="1">
        <v>4000000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1835427</v>
      </c>
      <c r="AI707" s="1">
        <v>0</v>
      </c>
      <c r="AJ707" s="1">
        <v>0</v>
      </c>
      <c r="AK707" s="1">
        <v>0</v>
      </c>
      <c r="AL707" s="1">
        <v>4075214</v>
      </c>
      <c r="AM707" s="1">
        <v>0</v>
      </c>
      <c r="AN707" s="1">
        <v>0</v>
      </c>
      <c r="AO707" s="1">
        <v>0</v>
      </c>
      <c r="AP707" s="1">
        <v>3350479</v>
      </c>
      <c r="AQ707" s="1">
        <v>0</v>
      </c>
      <c r="AR707" s="1">
        <v>64293065</v>
      </c>
      <c r="AS707" s="1">
        <v>7757227</v>
      </c>
      <c r="AT707" s="1">
        <v>56535838</v>
      </c>
      <c r="AU707" s="1">
        <v>12491528</v>
      </c>
      <c r="AV707" s="1">
        <v>1873729</v>
      </c>
      <c r="AW707" s="1">
        <f t="shared" ref="AW707:AW770" si="79">AR707+AU707+AV707</f>
        <v>78658322</v>
      </c>
    </row>
    <row r="708" spans="1:49" x14ac:dyDescent="0.2">
      <c r="A708" s="1" t="str">
        <f>"00812"</f>
        <v>00812</v>
      </c>
      <c r="B708" s="1" t="str">
        <f>"نجف"</f>
        <v>نجف</v>
      </c>
      <c r="C708" s="1" t="str">
        <f>"انصاري"</f>
        <v>انصاري</v>
      </c>
      <c r="D708" s="1" t="str">
        <f t="shared" si="78"/>
        <v>قراردادي کارگري</v>
      </c>
      <c r="E708" s="1" t="str">
        <f t="shared" si="77"/>
        <v>پروژه تعميرات نيروگاه بوشهر</v>
      </c>
      <c r="F708" s="1">
        <v>0</v>
      </c>
      <c r="G708" s="1">
        <v>5366737</v>
      </c>
      <c r="H708" s="1">
        <v>2737035</v>
      </c>
      <c r="I708" s="1">
        <v>13169992</v>
      </c>
      <c r="J708" s="1">
        <v>0</v>
      </c>
      <c r="K708" s="1">
        <v>5105377</v>
      </c>
      <c r="L708" s="1">
        <v>0</v>
      </c>
      <c r="M708" s="1">
        <v>0</v>
      </c>
      <c r="N708" s="1">
        <v>11572430</v>
      </c>
      <c r="O708" s="1">
        <v>2000000</v>
      </c>
      <c r="P708" s="1">
        <v>4025053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2640000</v>
      </c>
      <c r="W708" s="1">
        <v>0</v>
      </c>
      <c r="X708" s="1">
        <v>7788975</v>
      </c>
      <c r="Y708" s="1">
        <v>4000000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3670854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62076453</v>
      </c>
      <c r="AS708" s="1">
        <v>6223199</v>
      </c>
      <c r="AT708" s="1">
        <v>55853254</v>
      </c>
      <c r="AU708" s="1">
        <v>11681120</v>
      </c>
      <c r="AV708" s="1">
        <v>1752168</v>
      </c>
      <c r="AW708" s="1">
        <f t="shared" si="79"/>
        <v>75509741</v>
      </c>
    </row>
    <row r="709" spans="1:49" x14ac:dyDescent="0.2">
      <c r="A709" s="1" t="str">
        <f>"00813"</f>
        <v>00813</v>
      </c>
      <c r="B709" s="1" t="str">
        <f>"غلامرضا"</f>
        <v>غلامرضا</v>
      </c>
      <c r="C709" s="1" t="str">
        <f>"برخ"</f>
        <v>برخ</v>
      </c>
      <c r="D709" s="1" t="str">
        <f t="shared" si="78"/>
        <v>قراردادي کارگري</v>
      </c>
      <c r="E709" s="1" t="str">
        <f t="shared" si="77"/>
        <v>پروژه تعميرات نيروگاه بوشهر</v>
      </c>
      <c r="F709" s="1">
        <v>0</v>
      </c>
      <c r="G709" s="1">
        <v>4894164</v>
      </c>
      <c r="H709" s="1">
        <v>2447082</v>
      </c>
      <c r="I709" s="1">
        <v>1069384</v>
      </c>
      <c r="J709" s="1">
        <v>0</v>
      </c>
      <c r="K709" s="1">
        <v>4624985</v>
      </c>
      <c r="L709" s="1">
        <v>0</v>
      </c>
      <c r="M709" s="1">
        <v>0</v>
      </c>
      <c r="N709" s="1">
        <v>11572430</v>
      </c>
      <c r="O709" s="1">
        <v>2000000</v>
      </c>
      <c r="P709" s="1">
        <v>3915331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2640000</v>
      </c>
      <c r="W709" s="1">
        <v>0</v>
      </c>
      <c r="X709" s="1">
        <v>10432738</v>
      </c>
      <c r="Y709" s="1">
        <v>4000000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3670854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51266968</v>
      </c>
      <c r="AS709" s="1">
        <v>6987958</v>
      </c>
      <c r="AT709" s="1">
        <v>44279010</v>
      </c>
      <c r="AU709" s="1">
        <v>9519223</v>
      </c>
      <c r="AV709" s="1">
        <v>1427883</v>
      </c>
      <c r="AW709" s="1">
        <f t="shared" si="79"/>
        <v>62214074</v>
      </c>
    </row>
    <row r="710" spans="1:49" x14ac:dyDescent="0.2">
      <c r="A710" s="1" t="str">
        <f>"00814"</f>
        <v>00814</v>
      </c>
      <c r="B710" s="1" t="str">
        <f>"مرتضي"</f>
        <v>مرتضي</v>
      </c>
      <c r="C710" s="1" t="str">
        <f>"پيش خورد"</f>
        <v>پيش خورد</v>
      </c>
      <c r="D710" s="1" t="str">
        <f t="shared" si="78"/>
        <v>قراردادي کارگري</v>
      </c>
      <c r="E710" s="1" t="str">
        <f t="shared" si="77"/>
        <v>پروژه تعميرات نيروگاه بوشهر</v>
      </c>
      <c r="F710" s="1">
        <v>0</v>
      </c>
      <c r="G710" s="1">
        <v>7855929</v>
      </c>
      <c r="H710" s="1">
        <v>4006524</v>
      </c>
      <c r="I710" s="1">
        <v>8506440</v>
      </c>
      <c r="J710" s="1">
        <v>0</v>
      </c>
      <c r="K710" s="1">
        <v>8303717</v>
      </c>
      <c r="L710" s="1">
        <v>0</v>
      </c>
      <c r="M710" s="1">
        <v>0</v>
      </c>
      <c r="N710" s="1">
        <v>11521166</v>
      </c>
      <c r="O710" s="1">
        <v>2000000</v>
      </c>
      <c r="P710" s="1">
        <v>6284744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2640000</v>
      </c>
      <c r="W710" s="1">
        <v>0</v>
      </c>
      <c r="X710" s="1">
        <v>8392695</v>
      </c>
      <c r="Y710" s="1">
        <v>4000000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5506281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69017496</v>
      </c>
      <c r="AS710" s="1">
        <v>20755484</v>
      </c>
      <c r="AT710" s="1">
        <v>48262012</v>
      </c>
      <c r="AU710" s="1">
        <v>12702243</v>
      </c>
      <c r="AV710" s="1">
        <v>1905336</v>
      </c>
      <c r="AW710" s="1">
        <f t="shared" si="79"/>
        <v>83625075</v>
      </c>
    </row>
    <row r="711" spans="1:49" x14ac:dyDescent="0.2">
      <c r="A711" s="1" t="str">
        <f>"00815"</f>
        <v>00815</v>
      </c>
      <c r="B711" s="1" t="str">
        <f>"امير"</f>
        <v>امير</v>
      </c>
      <c r="C711" s="1" t="str">
        <f>"جاودانيان"</f>
        <v>جاودانيان</v>
      </c>
      <c r="D711" s="1" t="str">
        <f t="shared" si="78"/>
        <v>قراردادي کارگري</v>
      </c>
      <c r="E711" s="1" t="str">
        <f t="shared" si="77"/>
        <v>پروژه تعميرات نيروگاه بوشهر</v>
      </c>
      <c r="F711" s="1">
        <v>0</v>
      </c>
      <c r="G711" s="1">
        <v>5165542</v>
      </c>
      <c r="H711" s="1">
        <v>2582771</v>
      </c>
      <c r="I711" s="1">
        <v>242123</v>
      </c>
      <c r="J711" s="1">
        <v>0</v>
      </c>
      <c r="K711" s="1">
        <v>4648988</v>
      </c>
      <c r="L711" s="1">
        <v>0</v>
      </c>
      <c r="M711" s="1">
        <v>0</v>
      </c>
      <c r="N711" s="1">
        <v>11572430</v>
      </c>
      <c r="O711" s="1">
        <v>2000000</v>
      </c>
      <c r="P711" s="1">
        <v>3874157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2640000</v>
      </c>
      <c r="W711" s="1">
        <v>0</v>
      </c>
      <c r="X711" s="1">
        <v>6468339</v>
      </c>
      <c r="Y711" s="1">
        <v>4000000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1835427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45029777</v>
      </c>
      <c r="AS711" s="1">
        <v>13874009</v>
      </c>
      <c r="AT711" s="1">
        <v>31155768</v>
      </c>
      <c r="AU711" s="1">
        <v>8638870</v>
      </c>
      <c r="AV711" s="1">
        <v>1295831</v>
      </c>
      <c r="AW711" s="1">
        <f t="shared" si="79"/>
        <v>54964478</v>
      </c>
    </row>
    <row r="712" spans="1:49" x14ac:dyDescent="0.2">
      <c r="A712" s="1" t="str">
        <f>"00816"</f>
        <v>00816</v>
      </c>
      <c r="B712" s="1" t="str">
        <f>"علي"</f>
        <v>علي</v>
      </c>
      <c r="C712" s="1" t="str">
        <f>"جاودانيان"</f>
        <v>جاودانيان</v>
      </c>
      <c r="D712" s="1" t="str">
        <f t="shared" si="78"/>
        <v>قراردادي کارگري</v>
      </c>
      <c r="E712" s="1" t="str">
        <f t="shared" si="77"/>
        <v>پروژه تعميرات نيروگاه بوشهر</v>
      </c>
      <c r="F712" s="1">
        <v>0</v>
      </c>
      <c r="G712" s="1">
        <v>8319143</v>
      </c>
      <c r="H712" s="1">
        <v>4159572</v>
      </c>
      <c r="I712" s="1">
        <v>0</v>
      </c>
      <c r="J712" s="1">
        <v>0</v>
      </c>
      <c r="K712" s="1">
        <v>9109462</v>
      </c>
      <c r="L712" s="1">
        <v>0</v>
      </c>
      <c r="M712" s="1">
        <v>0</v>
      </c>
      <c r="N712" s="1">
        <v>11521166</v>
      </c>
      <c r="O712" s="1">
        <v>2000000</v>
      </c>
      <c r="P712" s="1">
        <v>6655315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2640000</v>
      </c>
      <c r="W712" s="1">
        <v>0</v>
      </c>
      <c r="X712" s="1">
        <v>10456959</v>
      </c>
      <c r="Y712" s="1">
        <v>4000000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3670854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62532471</v>
      </c>
      <c r="AS712" s="1">
        <v>9577458</v>
      </c>
      <c r="AT712" s="1">
        <v>52955013</v>
      </c>
      <c r="AU712" s="1">
        <v>11772323</v>
      </c>
      <c r="AV712" s="1">
        <v>1765849</v>
      </c>
      <c r="AW712" s="1">
        <f t="shared" si="79"/>
        <v>76070643</v>
      </c>
    </row>
    <row r="713" spans="1:49" x14ac:dyDescent="0.2">
      <c r="A713" s="1" t="str">
        <f>"00817"</f>
        <v>00817</v>
      </c>
      <c r="B713" s="1" t="str">
        <f>"علي"</f>
        <v>علي</v>
      </c>
      <c r="C713" s="1" t="str">
        <f>"دهقاندوست"</f>
        <v>دهقاندوست</v>
      </c>
      <c r="D713" s="1" t="str">
        <f t="shared" si="78"/>
        <v>قراردادي کارگري</v>
      </c>
      <c r="E713" s="1" t="str">
        <f t="shared" si="77"/>
        <v>پروژه تعميرات نيروگاه بوشهر</v>
      </c>
      <c r="F713" s="1">
        <v>0</v>
      </c>
      <c r="G713" s="1">
        <v>5053248</v>
      </c>
      <c r="H713" s="1">
        <v>2577156</v>
      </c>
      <c r="I713" s="1">
        <v>0</v>
      </c>
      <c r="J713" s="1">
        <v>0</v>
      </c>
      <c r="K713" s="1">
        <v>4807155</v>
      </c>
      <c r="L713" s="1">
        <v>0</v>
      </c>
      <c r="M713" s="1">
        <v>0</v>
      </c>
      <c r="N713" s="1">
        <v>11572430</v>
      </c>
      <c r="O713" s="1">
        <v>2000000</v>
      </c>
      <c r="P713" s="1">
        <v>4042598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2640000</v>
      </c>
      <c r="W713" s="1">
        <v>0</v>
      </c>
      <c r="X713" s="1">
        <v>10618302</v>
      </c>
      <c r="Y713" s="1">
        <v>4000000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5506281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52817170</v>
      </c>
      <c r="AS713" s="1">
        <v>4598302</v>
      </c>
      <c r="AT713" s="1">
        <v>48218868</v>
      </c>
      <c r="AU713" s="1">
        <v>9462178</v>
      </c>
      <c r="AV713" s="1">
        <v>1419327</v>
      </c>
      <c r="AW713" s="1">
        <f t="shared" si="79"/>
        <v>63698675</v>
      </c>
    </row>
    <row r="714" spans="1:49" x14ac:dyDescent="0.2">
      <c r="A714" s="1" t="str">
        <f>"00819"</f>
        <v>00819</v>
      </c>
      <c r="B714" s="1" t="str">
        <f>"عبدالرضا"</f>
        <v>عبدالرضا</v>
      </c>
      <c r="C714" s="1" t="str">
        <f>"سليماني"</f>
        <v>سليماني</v>
      </c>
      <c r="D714" s="1" t="str">
        <f t="shared" si="78"/>
        <v>قراردادي کارگري</v>
      </c>
      <c r="E714" s="1" t="str">
        <f t="shared" si="77"/>
        <v>پروژه تعميرات نيروگاه بوشهر</v>
      </c>
      <c r="F714" s="1">
        <v>0</v>
      </c>
      <c r="G714" s="1">
        <v>7004363</v>
      </c>
      <c r="H714" s="1">
        <v>3502182</v>
      </c>
      <c r="I714" s="1">
        <v>0</v>
      </c>
      <c r="J714" s="1">
        <v>0</v>
      </c>
      <c r="K714" s="1">
        <v>7669778</v>
      </c>
      <c r="L714" s="1">
        <v>0</v>
      </c>
      <c r="M714" s="1">
        <v>0</v>
      </c>
      <c r="N714" s="1">
        <v>11521166</v>
      </c>
      <c r="O714" s="1">
        <v>2000000</v>
      </c>
      <c r="P714" s="1">
        <v>5603491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2640000</v>
      </c>
      <c r="W714" s="1">
        <v>0</v>
      </c>
      <c r="X714" s="1">
        <v>12865304</v>
      </c>
      <c r="Y714" s="1">
        <v>4000000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7341708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64147992</v>
      </c>
      <c r="AS714" s="1">
        <v>8338396</v>
      </c>
      <c r="AT714" s="1">
        <v>55809596</v>
      </c>
      <c r="AU714" s="1">
        <v>11361257</v>
      </c>
      <c r="AV714" s="1">
        <v>1704189</v>
      </c>
      <c r="AW714" s="1">
        <f t="shared" si="79"/>
        <v>77213438</v>
      </c>
    </row>
    <row r="715" spans="1:49" x14ac:dyDescent="0.2">
      <c r="A715" s="1" t="str">
        <f>"00821"</f>
        <v>00821</v>
      </c>
      <c r="B715" s="1" t="str">
        <f>"حمادي"</f>
        <v>حمادي</v>
      </c>
      <c r="C715" s="1" t="str">
        <f>"شعباني"</f>
        <v>شعباني</v>
      </c>
      <c r="D715" s="1" t="str">
        <f t="shared" si="78"/>
        <v>قراردادي کارگري</v>
      </c>
      <c r="E715" s="1" t="str">
        <f t="shared" si="77"/>
        <v>پروژه تعميرات نيروگاه بوشهر</v>
      </c>
      <c r="F715" s="1">
        <v>0</v>
      </c>
      <c r="G715" s="1">
        <v>8403364</v>
      </c>
      <c r="H715" s="1">
        <v>4369750</v>
      </c>
      <c r="I715" s="1">
        <v>0</v>
      </c>
      <c r="J715" s="1">
        <v>0</v>
      </c>
      <c r="K715" s="1">
        <v>9196642</v>
      </c>
      <c r="L715" s="1">
        <v>0</v>
      </c>
      <c r="M715" s="1">
        <v>0</v>
      </c>
      <c r="N715" s="1">
        <v>11521166</v>
      </c>
      <c r="O715" s="1">
        <v>2000000</v>
      </c>
      <c r="P715" s="1">
        <v>6722691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2640000</v>
      </c>
      <c r="W715" s="1">
        <v>0</v>
      </c>
      <c r="X715" s="1">
        <v>19377684</v>
      </c>
      <c r="Y715" s="1">
        <v>4000000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5506281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73737578</v>
      </c>
      <c r="AS715" s="1">
        <v>9210399</v>
      </c>
      <c r="AT715" s="1">
        <v>64527179</v>
      </c>
      <c r="AU715" s="1">
        <v>13646259</v>
      </c>
      <c r="AV715" s="1">
        <v>2046939</v>
      </c>
      <c r="AW715" s="1">
        <f t="shared" si="79"/>
        <v>89430776</v>
      </c>
    </row>
    <row r="716" spans="1:49" x14ac:dyDescent="0.2">
      <c r="A716" s="1" t="str">
        <f>"00822"</f>
        <v>00822</v>
      </c>
      <c r="B716" s="1" t="str">
        <f>"محمد"</f>
        <v>محمد</v>
      </c>
      <c r="C716" s="1" t="str">
        <f>"مقاتلي"</f>
        <v>مقاتلي</v>
      </c>
      <c r="D716" s="1" t="str">
        <f t="shared" si="78"/>
        <v>قراردادي کارگري</v>
      </c>
      <c r="E716" s="1" t="str">
        <f t="shared" si="77"/>
        <v>پروژه تعميرات نيروگاه بوشهر</v>
      </c>
      <c r="F716" s="1">
        <v>0</v>
      </c>
      <c r="G716" s="1">
        <v>7907397</v>
      </c>
      <c r="H716" s="1">
        <v>3953699</v>
      </c>
      <c r="I716" s="1">
        <v>9919710</v>
      </c>
      <c r="J716" s="1">
        <v>0</v>
      </c>
      <c r="K716" s="1">
        <v>7353880</v>
      </c>
      <c r="L716" s="1">
        <v>0</v>
      </c>
      <c r="M716" s="1">
        <v>0</v>
      </c>
      <c r="N716" s="1">
        <v>11572430</v>
      </c>
      <c r="O716" s="1">
        <v>2000000</v>
      </c>
      <c r="P716" s="1">
        <v>6325918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2640000</v>
      </c>
      <c r="W716" s="1">
        <v>0</v>
      </c>
      <c r="X716" s="1">
        <v>9745498</v>
      </c>
      <c r="Y716" s="1">
        <v>4000000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3670854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69089386</v>
      </c>
      <c r="AS716" s="1">
        <v>10581924</v>
      </c>
      <c r="AT716" s="1">
        <v>58507462</v>
      </c>
      <c r="AU716" s="1">
        <v>13083706</v>
      </c>
      <c r="AV716" s="1">
        <v>1962556</v>
      </c>
      <c r="AW716" s="1">
        <f t="shared" si="79"/>
        <v>84135648</v>
      </c>
    </row>
    <row r="717" spans="1:49" x14ac:dyDescent="0.2">
      <c r="A717" s="1" t="str">
        <f>"00827"</f>
        <v>00827</v>
      </c>
      <c r="B717" s="1" t="str">
        <f>"رضا"</f>
        <v>رضا</v>
      </c>
      <c r="C717" s="1" t="str">
        <f>"غفاري"</f>
        <v>غفاري</v>
      </c>
      <c r="D717" s="1" t="str">
        <f t="shared" si="78"/>
        <v>قراردادي کارگري</v>
      </c>
      <c r="E717" s="1" t="str">
        <f t="shared" si="77"/>
        <v>پروژه تعميرات نيروگاه بوشهر</v>
      </c>
      <c r="F717" s="1">
        <v>0</v>
      </c>
      <c r="G717" s="1">
        <v>7238310</v>
      </c>
      <c r="H717" s="1">
        <v>3619155</v>
      </c>
      <c r="I717" s="1">
        <v>3422485</v>
      </c>
      <c r="J717" s="1">
        <v>0</v>
      </c>
      <c r="K717" s="1">
        <v>7708800</v>
      </c>
      <c r="L717" s="1">
        <v>0</v>
      </c>
      <c r="M717" s="1">
        <v>0</v>
      </c>
      <c r="N717" s="1">
        <v>11521166</v>
      </c>
      <c r="O717" s="1">
        <v>2000000</v>
      </c>
      <c r="P717" s="1">
        <v>5790648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2640000</v>
      </c>
      <c r="W717" s="1">
        <v>0</v>
      </c>
      <c r="X717" s="1">
        <v>12623423</v>
      </c>
      <c r="Y717" s="1">
        <v>4000000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3670854</v>
      </c>
      <c r="AI717" s="1">
        <v>0</v>
      </c>
      <c r="AJ717" s="1">
        <v>0</v>
      </c>
      <c r="AK717" s="1">
        <v>0</v>
      </c>
      <c r="AL717" s="1">
        <v>6571171</v>
      </c>
      <c r="AM717" s="1">
        <v>0</v>
      </c>
      <c r="AN717" s="1">
        <v>0</v>
      </c>
      <c r="AO717" s="1">
        <v>0</v>
      </c>
      <c r="AP717" s="1">
        <v>3587808</v>
      </c>
      <c r="AQ717" s="1">
        <v>0</v>
      </c>
      <c r="AR717" s="1">
        <v>74393820</v>
      </c>
      <c r="AS717" s="1">
        <v>9367101</v>
      </c>
      <c r="AT717" s="1">
        <v>65026719</v>
      </c>
      <c r="AU717" s="1">
        <v>14144593</v>
      </c>
      <c r="AV717" s="1">
        <v>2121689</v>
      </c>
      <c r="AW717" s="1">
        <f t="shared" si="79"/>
        <v>90660102</v>
      </c>
    </row>
    <row r="718" spans="1:49" x14ac:dyDescent="0.2">
      <c r="A718" s="1" t="str">
        <f>"00828"</f>
        <v>00828</v>
      </c>
      <c r="B718" s="1" t="str">
        <f>"علي"</f>
        <v>علي</v>
      </c>
      <c r="C718" s="1" t="str">
        <f>"كابلي"</f>
        <v>كابلي</v>
      </c>
      <c r="D718" s="1" t="str">
        <f t="shared" si="78"/>
        <v>قراردادي کارگري</v>
      </c>
      <c r="E718" s="1" t="str">
        <f t="shared" si="77"/>
        <v>پروژه تعميرات نيروگاه بوشهر</v>
      </c>
      <c r="F718" s="1">
        <v>0</v>
      </c>
      <c r="G718" s="1">
        <v>8117949</v>
      </c>
      <c r="H718" s="1">
        <v>4058975</v>
      </c>
      <c r="I718" s="1">
        <v>3694016</v>
      </c>
      <c r="J718" s="1">
        <v>0</v>
      </c>
      <c r="K718" s="1">
        <v>8645616</v>
      </c>
      <c r="L718" s="1">
        <v>0</v>
      </c>
      <c r="M718" s="1">
        <v>0</v>
      </c>
      <c r="N718" s="1">
        <v>11521166</v>
      </c>
      <c r="O718" s="1">
        <v>2000000</v>
      </c>
      <c r="P718" s="1">
        <v>6494359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2640000</v>
      </c>
      <c r="W718" s="1">
        <v>0</v>
      </c>
      <c r="X718" s="1">
        <v>13511419</v>
      </c>
      <c r="Y718" s="1">
        <v>4000000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5506281</v>
      </c>
      <c r="AI718" s="1">
        <v>0</v>
      </c>
      <c r="AJ718" s="1">
        <v>0</v>
      </c>
      <c r="AK718" s="1">
        <v>0</v>
      </c>
      <c r="AL718" s="1">
        <v>7092511</v>
      </c>
      <c r="AM718" s="1">
        <v>0</v>
      </c>
      <c r="AN718" s="1">
        <v>0</v>
      </c>
      <c r="AO718" s="1">
        <v>0</v>
      </c>
      <c r="AP718" s="1">
        <v>3883806</v>
      </c>
      <c r="AQ718" s="1">
        <v>0</v>
      </c>
      <c r="AR718" s="1">
        <v>81166098</v>
      </c>
      <c r="AS718" s="1">
        <v>13140562</v>
      </c>
      <c r="AT718" s="1">
        <v>68025536</v>
      </c>
      <c r="AU718" s="1">
        <v>15131963</v>
      </c>
      <c r="AV718" s="1">
        <v>2269795</v>
      </c>
      <c r="AW718" s="1">
        <f t="shared" si="79"/>
        <v>98567856</v>
      </c>
    </row>
    <row r="719" spans="1:49" x14ac:dyDescent="0.2">
      <c r="A719" s="1" t="str">
        <f>"00831"</f>
        <v>00831</v>
      </c>
      <c r="B719" s="1" t="str">
        <f>"مرتضي"</f>
        <v>مرتضي</v>
      </c>
      <c r="C719" s="1" t="str">
        <f>"كهن"</f>
        <v>كهن</v>
      </c>
      <c r="D719" s="1" t="str">
        <f t="shared" si="78"/>
        <v>قراردادي کارگري</v>
      </c>
      <c r="E719" s="1" t="str">
        <f t="shared" si="77"/>
        <v>پروژه تعميرات نيروگاه بوشهر</v>
      </c>
      <c r="F719" s="1">
        <v>0</v>
      </c>
      <c r="G719" s="1">
        <v>6630049</v>
      </c>
      <c r="H719" s="1">
        <v>3315024</v>
      </c>
      <c r="I719" s="1">
        <v>0</v>
      </c>
      <c r="J719" s="1">
        <v>0</v>
      </c>
      <c r="K719" s="1">
        <v>7160452</v>
      </c>
      <c r="L719" s="1">
        <v>0</v>
      </c>
      <c r="M719" s="1">
        <v>0</v>
      </c>
      <c r="N719" s="1">
        <v>11521166</v>
      </c>
      <c r="O719" s="1">
        <v>2000000</v>
      </c>
      <c r="P719" s="1">
        <v>5304039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2640000</v>
      </c>
      <c r="W719" s="1">
        <v>0</v>
      </c>
      <c r="X719" s="1">
        <v>9029414</v>
      </c>
      <c r="Y719" s="1">
        <v>4000000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3670854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55270998</v>
      </c>
      <c r="AS719" s="1">
        <v>6032029</v>
      </c>
      <c r="AT719" s="1">
        <v>49238969</v>
      </c>
      <c r="AU719" s="1">
        <v>10320029</v>
      </c>
      <c r="AV719" s="1">
        <v>1548004</v>
      </c>
      <c r="AW719" s="1">
        <f t="shared" si="79"/>
        <v>67139031</v>
      </c>
    </row>
    <row r="720" spans="1:49" x14ac:dyDescent="0.2">
      <c r="A720" s="1" t="str">
        <f>"00832"</f>
        <v>00832</v>
      </c>
      <c r="B720" s="1" t="str">
        <f>"ابراهيم"</f>
        <v>ابراهيم</v>
      </c>
      <c r="C720" s="1" t="str">
        <f>"عبدالهي"</f>
        <v>عبدالهي</v>
      </c>
      <c r="D720" s="1" t="str">
        <f t="shared" si="78"/>
        <v>قراردادي کارگري</v>
      </c>
      <c r="E720" s="1" t="str">
        <f t="shared" si="77"/>
        <v>پروژه تعميرات نيروگاه بوشهر</v>
      </c>
      <c r="F720" s="1">
        <v>0</v>
      </c>
      <c r="G720" s="1">
        <v>6686196</v>
      </c>
      <c r="H720" s="1">
        <v>3343098</v>
      </c>
      <c r="I720" s="1">
        <v>0</v>
      </c>
      <c r="J720" s="1">
        <v>0</v>
      </c>
      <c r="K720" s="1">
        <v>7120798</v>
      </c>
      <c r="L720" s="1">
        <v>0</v>
      </c>
      <c r="M720" s="1">
        <v>0</v>
      </c>
      <c r="N720" s="1">
        <v>11521166</v>
      </c>
      <c r="O720" s="1">
        <v>2000000</v>
      </c>
      <c r="P720" s="1">
        <v>5348957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2640000</v>
      </c>
      <c r="W720" s="1">
        <v>0</v>
      </c>
      <c r="X720" s="1">
        <v>12568817</v>
      </c>
      <c r="Y720" s="1">
        <v>4000000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1835427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57064459</v>
      </c>
      <c r="AS720" s="1">
        <v>8437875</v>
      </c>
      <c r="AT720" s="1">
        <v>48626584</v>
      </c>
      <c r="AU720" s="1">
        <v>11045806</v>
      </c>
      <c r="AV720" s="1">
        <v>1656871</v>
      </c>
      <c r="AW720" s="1">
        <f t="shared" si="79"/>
        <v>69767136</v>
      </c>
    </row>
    <row r="721" spans="1:49" x14ac:dyDescent="0.2">
      <c r="A721" s="1" t="str">
        <f>"00834"</f>
        <v>00834</v>
      </c>
      <c r="B721" s="1" t="str">
        <f>"محمد"</f>
        <v>محمد</v>
      </c>
      <c r="C721" s="1" t="str">
        <f>"عساکره"</f>
        <v>عساکره</v>
      </c>
      <c r="D721" s="1" t="str">
        <f t="shared" si="78"/>
        <v>قراردادي کارگري</v>
      </c>
      <c r="E721" s="1" t="str">
        <f t="shared" si="77"/>
        <v>پروژه تعميرات نيروگاه بوشهر</v>
      </c>
      <c r="F721" s="1">
        <v>0</v>
      </c>
      <c r="G721" s="1">
        <v>4692970</v>
      </c>
      <c r="H721" s="1">
        <v>2393415</v>
      </c>
      <c r="I721" s="1">
        <v>520856</v>
      </c>
      <c r="J721" s="1">
        <v>0</v>
      </c>
      <c r="K721" s="1">
        <v>4464423</v>
      </c>
      <c r="L721" s="1">
        <v>0</v>
      </c>
      <c r="M721" s="1">
        <v>0</v>
      </c>
      <c r="N721" s="1">
        <v>11572430</v>
      </c>
      <c r="O721" s="1">
        <v>2000000</v>
      </c>
      <c r="P721" s="1">
        <v>3519727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2640000</v>
      </c>
      <c r="W721" s="1">
        <v>0</v>
      </c>
      <c r="X721" s="1">
        <v>10263426</v>
      </c>
      <c r="Y721" s="1">
        <v>4000000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5506281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51573528</v>
      </c>
      <c r="AS721" s="1">
        <v>4395589</v>
      </c>
      <c r="AT721" s="1">
        <v>47177939</v>
      </c>
      <c r="AU721" s="1">
        <v>9213449</v>
      </c>
      <c r="AV721" s="1">
        <v>1382017</v>
      </c>
      <c r="AW721" s="1">
        <f t="shared" si="79"/>
        <v>62168994</v>
      </c>
    </row>
    <row r="722" spans="1:49" x14ac:dyDescent="0.2">
      <c r="A722" s="1" t="str">
        <f>"00835"</f>
        <v>00835</v>
      </c>
      <c r="B722" s="1" t="str">
        <f>"صادق"</f>
        <v>صادق</v>
      </c>
      <c r="C722" s="1" t="str">
        <f>"عباسي"</f>
        <v>عباسي</v>
      </c>
      <c r="D722" s="1" t="str">
        <f>"قراردادي بهره بردار"</f>
        <v>قراردادي بهره بردار</v>
      </c>
      <c r="E722" s="1" t="str">
        <f>"پروژه بهره برداري نيروگاه بوشهر"</f>
        <v>پروژه بهره برداري نيروگاه بوشهر</v>
      </c>
      <c r="F722" s="1">
        <v>24847527</v>
      </c>
      <c r="G722" s="1">
        <v>0</v>
      </c>
      <c r="H722" s="1">
        <v>0</v>
      </c>
      <c r="I722" s="1">
        <v>4378332</v>
      </c>
      <c r="J722" s="1">
        <v>0</v>
      </c>
      <c r="K722" s="1">
        <v>20033385</v>
      </c>
      <c r="L722" s="1">
        <v>0</v>
      </c>
      <c r="M722" s="1">
        <v>5500000</v>
      </c>
      <c r="N722" s="1">
        <v>0</v>
      </c>
      <c r="O722" s="1">
        <v>1000000</v>
      </c>
      <c r="P722" s="1">
        <v>3604566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1848000</v>
      </c>
      <c r="W722" s="1">
        <v>0</v>
      </c>
      <c r="X722" s="1">
        <v>5640656</v>
      </c>
      <c r="Y722" s="1">
        <v>4000000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2832160</v>
      </c>
      <c r="AH722" s="1">
        <v>1835427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5088919</v>
      </c>
      <c r="AO722" s="1">
        <v>0</v>
      </c>
      <c r="AP722" s="1">
        <v>0</v>
      </c>
      <c r="AQ722" s="1">
        <v>0</v>
      </c>
      <c r="AR722" s="1">
        <v>80608972</v>
      </c>
      <c r="AS722" s="1">
        <v>34437943</v>
      </c>
      <c r="AT722" s="1">
        <v>46171029</v>
      </c>
      <c r="AU722" s="1">
        <v>15754709</v>
      </c>
      <c r="AV722" s="1">
        <v>2363206</v>
      </c>
      <c r="AW722" s="1">
        <f t="shared" si="79"/>
        <v>98726887</v>
      </c>
    </row>
    <row r="723" spans="1:49" x14ac:dyDescent="0.2">
      <c r="A723" s="1" t="str">
        <f>"00836"</f>
        <v>00836</v>
      </c>
      <c r="B723" s="1" t="str">
        <f>"حميد"</f>
        <v>حميد</v>
      </c>
      <c r="C723" s="1" t="str">
        <f>"گزدرازي"</f>
        <v>گزدرازي</v>
      </c>
      <c r="D723" s="1" t="str">
        <f>"قراردادي کارگري"</f>
        <v>قراردادي کارگري</v>
      </c>
      <c r="E723" s="1" t="str">
        <f>"پروژه تعميرات نيروگاه بوشهر"</f>
        <v>پروژه تعميرات نيروگاه بوشهر</v>
      </c>
      <c r="F723" s="1">
        <v>0</v>
      </c>
      <c r="G723" s="1">
        <v>7982260</v>
      </c>
      <c r="H723" s="1">
        <v>3991130</v>
      </c>
      <c r="I723" s="1">
        <v>0</v>
      </c>
      <c r="J723" s="1">
        <v>0</v>
      </c>
      <c r="K723" s="1">
        <v>8620841</v>
      </c>
      <c r="L723" s="1">
        <v>0</v>
      </c>
      <c r="M723" s="1">
        <v>0</v>
      </c>
      <c r="N723" s="1">
        <v>11521166</v>
      </c>
      <c r="O723" s="1">
        <v>2000000</v>
      </c>
      <c r="P723" s="1">
        <v>6385808</v>
      </c>
      <c r="Q723" s="1">
        <v>0</v>
      </c>
      <c r="R723" s="1">
        <v>0</v>
      </c>
      <c r="S723" s="1">
        <v>0</v>
      </c>
      <c r="T723" s="1">
        <v>3600000</v>
      </c>
      <c r="U723" s="1">
        <v>0</v>
      </c>
      <c r="V723" s="1">
        <v>2640000</v>
      </c>
      <c r="W723" s="1">
        <v>0</v>
      </c>
      <c r="X723" s="1">
        <v>13969127</v>
      </c>
      <c r="Y723" s="1">
        <v>4000000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5506281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70216613</v>
      </c>
      <c r="AS723" s="1">
        <v>12517778</v>
      </c>
      <c r="AT723" s="1">
        <v>57698835</v>
      </c>
      <c r="AU723" s="1">
        <v>12222066</v>
      </c>
      <c r="AV723" s="1">
        <v>1833310</v>
      </c>
      <c r="AW723" s="1">
        <f t="shared" si="79"/>
        <v>84271989</v>
      </c>
    </row>
    <row r="724" spans="1:49" x14ac:dyDescent="0.2">
      <c r="A724" s="1" t="str">
        <f>"00837"</f>
        <v>00837</v>
      </c>
      <c r="B724" s="1" t="str">
        <f>"فرشيد"</f>
        <v>فرشيد</v>
      </c>
      <c r="C724" s="1" t="str">
        <f>"عباسيان"</f>
        <v>عباسيان</v>
      </c>
      <c r="D724" s="1" t="str">
        <f>"قراردادي کارگري"</f>
        <v>قراردادي کارگري</v>
      </c>
      <c r="E724" s="1" t="str">
        <f>"پروژه تعميرات نيروگاه بوشهر"</f>
        <v>پروژه تعميرات نيروگاه بوشهر</v>
      </c>
      <c r="F724" s="1">
        <v>0</v>
      </c>
      <c r="G724" s="1">
        <v>4866091</v>
      </c>
      <c r="H724" s="1">
        <v>2433045</v>
      </c>
      <c r="I724" s="1">
        <v>3316017</v>
      </c>
      <c r="J724" s="1">
        <v>0</v>
      </c>
      <c r="K724" s="1">
        <v>5839309</v>
      </c>
      <c r="L724" s="1">
        <v>0</v>
      </c>
      <c r="M724" s="1">
        <v>0</v>
      </c>
      <c r="N724" s="1">
        <v>11572430</v>
      </c>
      <c r="O724" s="1">
        <v>2000000</v>
      </c>
      <c r="P724" s="1">
        <v>3649568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2640000</v>
      </c>
      <c r="W724" s="1">
        <v>0</v>
      </c>
      <c r="X724" s="1">
        <v>10800139</v>
      </c>
      <c r="Y724" s="1">
        <v>4000000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1835427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52952026</v>
      </c>
      <c r="AS724" s="1">
        <v>9295387</v>
      </c>
      <c r="AT724" s="1">
        <v>43656639</v>
      </c>
      <c r="AU724" s="1">
        <v>10223320</v>
      </c>
      <c r="AV724" s="1">
        <v>1533498</v>
      </c>
      <c r="AW724" s="1">
        <f t="shared" si="79"/>
        <v>64708844</v>
      </c>
    </row>
    <row r="725" spans="1:49" x14ac:dyDescent="0.2">
      <c r="A725" s="1" t="str">
        <f>"00838"</f>
        <v>00838</v>
      </c>
      <c r="B725" s="1" t="str">
        <f>"حسن"</f>
        <v>حسن</v>
      </c>
      <c r="C725" s="1" t="str">
        <f>"رستمي"</f>
        <v>رستمي</v>
      </c>
      <c r="D725" s="1" t="str">
        <f>"قراردادي کارگري"</f>
        <v>قراردادي کارگري</v>
      </c>
      <c r="E725" s="1" t="str">
        <f>"پروژه تعميرات نيروگاه بوشهر"</f>
        <v>پروژه تعميرات نيروگاه بوشهر</v>
      </c>
      <c r="F725" s="1">
        <v>0</v>
      </c>
      <c r="G725" s="1">
        <v>7757671</v>
      </c>
      <c r="H725" s="1">
        <v>3956412</v>
      </c>
      <c r="I725" s="1">
        <v>2551217</v>
      </c>
      <c r="J725" s="1">
        <v>0</v>
      </c>
      <c r="K725" s="1">
        <v>8434140</v>
      </c>
      <c r="L725" s="1">
        <v>0</v>
      </c>
      <c r="M725" s="1">
        <v>0</v>
      </c>
      <c r="N725" s="1">
        <v>11521166</v>
      </c>
      <c r="O725" s="1">
        <v>2000000</v>
      </c>
      <c r="P725" s="1">
        <v>6206137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2640000</v>
      </c>
      <c r="W725" s="1">
        <v>0</v>
      </c>
      <c r="X725" s="1">
        <v>13773602</v>
      </c>
      <c r="Y725" s="1">
        <v>4000000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5506281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68346626</v>
      </c>
      <c r="AS725" s="1">
        <v>13446990</v>
      </c>
      <c r="AT725" s="1">
        <v>54899636</v>
      </c>
      <c r="AU725" s="1">
        <v>12568069</v>
      </c>
      <c r="AV725" s="1">
        <v>1885210</v>
      </c>
      <c r="AW725" s="1">
        <f t="shared" si="79"/>
        <v>82799905</v>
      </c>
    </row>
    <row r="726" spans="1:49" x14ac:dyDescent="0.2">
      <c r="A726" s="1" t="str">
        <f>"00839"</f>
        <v>00839</v>
      </c>
      <c r="B726" s="1" t="str">
        <f>"اکبر"</f>
        <v>اکبر</v>
      </c>
      <c r="C726" s="1" t="str">
        <f>"يزدان پناه"</f>
        <v>يزدان پناه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0</v>
      </c>
      <c r="G726" s="1">
        <v>6807848</v>
      </c>
      <c r="H726" s="1">
        <v>3403924</v>
      </c>
      <c r="I726" s="1">
        <v>0</v>
      </c>
      <c r="J726" s="1">
        <v>0</v>
      </c>
      <c r="K726" s="1">
        <v>7352476</v>
      </c>
      <c r="L726" s="1">
        <v>0</v>
      </c>
      <c r="M726" s="1">
        <v>0</v>
      </c>
      <c r="N726" s="1">
        <v>11521166</v>
      </c>
      <c r="O726" s="1">
        <v>2000000</v>
      </c>
      <c r="P726" s="1">
        <v>5446278</v>
      </c>
      <c r="Q726" s="1">
        <v>0</v>
      </c>
      <c r="R726" s="1">
        <v>0</v>
      </c>
      <c r="S726" s="1">
        <v>0</v>
      </c>
      <c r="T726" s="1">
        <v>3600000</v>
      </c>
      <c r="U726" s="1">
        <v>0</v>
      </c>
      <c r="V726" s="1">
        <v>2640000</v>
      </c>
      <c r="W726" s="1">
        <v>0</v>
      </c>
      <c r="X726" s="1">
        <v>12728654</v>
      </c>
      <c r="Y726" s="1">
        <v>4000000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3670854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63171200</v>
      </c>
      <c r="AS726" s="1">
        <v>10865516</v>
      </c>
      <c r="AT726" s="1">
        <v>52305684</v>
      </c>
      <c r="AU726" s="1">
        <v>11180069</v>
      </c>
      <c r="AV726" s="1">
        <v>1677010</v>
      </c>
      <c r="AW726" s="1">
        <f t="shared" si="79"/>
        <v>76028279</v>
      </c>
    </row>
    <row r="727" spans="1:49" x14ac:dyDescent="0.2">
      <c r="A727" s="1" t="str">
        <f>"00840"</f>
        <v>00840</v>
      </c>
      <c r="B727" s="1" t="str">
        <f>"سعيد"</f>
        <v>سعيد</v>
      </c>
      <c r="C727" s="1" t="str">
        <f>"اکبري"</f>
        <v>اکبري</v>
      </c>
      <c r="D727" s="1" t="str">
        <f t="shared" ref="D727:D766" si="80">"قراردادي بهره بردار"</f>
        <v>قراردادي بهره بردار</v>
      </c>
      <c r="E727" s="1" t="str">
        <f>"پروژه بهره برداري نيروگاه بوشهر"</f>
        <v>پروژه بهره برداري نيروگاه بوشهر</v>
      </c>
      <c r="F727" s="1">
        <v>22144354</v>
      </c>
      <c r="G727" s="1">
        <v>0</v>
      </c>
      <c r="H727" s="1">
        <v>0</v>
      </c>
      <c r="I727" s="1">
        <v>3817407</v>
      </c>
      <c r="J727" s="1">
        <v>0</v>
      </c>
      <c r="K727" s="1">
        <v>19533191</v>
      </c>
      <c r="L727" s="1">
        <v>0</v>
      </c>
      <c r="M727" s="1">
        <v>4125000</v>
      </c>
      <c r="N727" s="1">
        <v>0</v>
      </c>
      <c r="O727" s="1">
        <v>1000000</v>
      </c>
      <c r="P727" s="1">
        <v>3888488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1848000</v>
      </c>
      <c r="W727" s="1">
        <v>0</v>
      </c>
      <c r="X727" s="1">
        <v>15648214</v>
      </c>
      <c r="Y727" s="1">
        <v>4000000</v>
      </c>
      <c r="Z727" s="1">
        <v>3214503</v>
      </c>
      <c r="AA727" s="1">
        <v>0</v>
      </c>
      <c r="AB727" s="1">
        <v>0</v>
      </c>
      <c r="AC727" s="1">
        <v>0</v>
      </c>
      <c r="AD727" s="1">
        <v>0</v>
      </c>
      <c r="AE727" s="1">
        <v>4459102</v>
      </c>
      <c r="AF727" s="1">
        <v>0</v>
      </c>
      <c r="AG727" s="1">
        <v>3055241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21434928</v>
      </c>
      <c r="AO727" s="1">
        <v>0</v>
      </c>
      <c r="AP727" s="1">
        <v>0</v>
      </c>
      <c r="AQ727" s="1">
        <v>0</v>
      </c>
      <c r="AR727" s="1">
        <v>108168428</v>
      </c>
      <c r="AS727" s="1">
        <v>45227446</v>
      </c>
      <c r="AT727" s="1">
        <v>62940982</v>
      </c>
      <c r="AU727" s="1">
        <v>21633686</v>
      </c>
      <c r="AV727" s="1">
        <v>3245053</v>
      </c>
      <c r="AW727" s="1">
        <f t="shared" si="79"/>
        <v>133047167</v>
      </c>
    </row>
    <row r="728" spans="1:49" x14ac:dyDescent="0.2">
      <c r="A728" s="1" t="str">
        <f>"00841"</f>
        <v>00841</v>
      </c>
      <c r="B728" s="1" t="str">
        <f>"يوسف"</f>
        <v>يوسف</v>
      </c>
      <c r="C728" s="1" t="str">
        <f>"آهنين جان"</f>
        <v>آهنين جان</v>
      </c>
      <c r="D728" s="1" t="str">
        <f t="shared" si="80"/>
        <v>قراردادي بهره بردار</v>
      </c>
      <c r="E728" s="1" t="str">
        <f t="shared" ref="E728:E747" si="81">"پروژه تعميرات نيروگاه بوشهر"</f>
        <v>پروژه تعميرات نيروگاه بوشهر</v>
      </c>
      <c r="F728" s="1">
        <v>15594261</v>
      </c>
      <c r="G728" s="1">
        <v>0</v>
      </c>
      <c r="H728" s="1">
        <v>0</v>
      </c>
      <c r="I728" s="1">
        <v>10150013</v>
      </c>
      <c r="J728" s="1">
        <v>0</v>
      </c>
      <c r="K728" s="1">
        <v>12182894</v>
      </c>
      <c r="L728" s="1">
        <v>0</v>
      </c>
      <c r="M728" s="1">
        <v>4620000</v>
      </c>
      <c r="N728" s="1">
        <v>0</v>
      </c>
      <c r="O728" s="1">
        <v>1000000</v>
      </c>
      <c r="P728" s="1">
        <v>2834805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1848000</v>
      </c>
      <c r="W728" s="1">
        <v>0</v>
      </c>
      <c r="X728" s="1">
        <v>7991121</v>
      </c>
      <c r="Y728" s="1">
        <v>4000000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2227347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7116299</v>
      </c>
      <c r="AO728" s="1">
        <v>0</v>
      </c>
      <c r="AP728" s="1">
        <v>0</v>
      </c>
      <c r="AQ728" s="1">
        <v>0</v>
      </c>
      <c r="AR728" s="1">
        <v>69564740</v>
      </c>
      <c r="AS728" s="1">
        <v>28462107</v>
      </c>
      <c r="AT728" s="1">
        <v>41102633</v>
      </c>
      <c r="AU728" s="1">
        <v>13912948</v>
      </c>
      <c r="AV728" s="1">
        <v>2086942</v>
      </c>
      <c r="AW728" s="1">
        <f t="shared" si="79"/>
        <v>85564630</v>
      </c>
    </row>
    <row r="729" spans="1:49" x14ac:dyDescent="0.2">
      <c r="A729" s="1" t="str">
        <f>"00842"</f>
        <v>00842</v>
      </c>
      <c r="B729" s="1" t="str">
        <f>"نعمت اله"</f>
        <v>نعمت اله</v>
      </c>
      <c r="C729" s="1" t="str">
        <f>"احمدي ديرين"</f>
        <v>احمدي ديرين</v>
      </c>
      <c r="D729" s="1" t="str">
        <f t="shared" si="80"/>
        <v>قراردادي بهره بردار</v>
      </c>
      <c r="E729" s="1" t="str">
        <f t="shared" si="81"/>
        <v>پروژه تعميرات نيروگاه بوشهر</v>
      </c>
      <c r="F729" s="1">
        <v>15732820</v>
      </c>
      <c r="G729" s="1">
        <v>0</v>
      </c>
      <c r="H729" s="1">
        <v>0</v>
      </c>
      <c r="I729" s="1">
        <v>2546224</v>
      </c>
      <c r="J729" s="1">
        <v>0</v>
      </c>
      <c r="K729" s="1">
        <v>12958210</v>
      </c>
      <c r="L729" s="1">
        <v>0</v>
      </c>
      <c r="M729" s="1">
        <v>3465000</v>
      </c>
      <c r="N729" s="1">
        <v>0</v>
      </c>
      <c r="O729" s="1">
        <v>1000000</v>
      </c>
      <c r="P729" s="1">
        <v>2883301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1848000</v>
      </c>
      <c r="W729" s="1">
        <v>0</v>
      </c>
      <c r="X729" s="1">
        <v>16560121</v>
      </c>
      <c r="Y729" s="1">
        <v>4000000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2265451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9739485</v>
      </c>
      <c r="AO729" s="1">
        <v>0</v>
      </c>
      <c r="AP729" s="1">
        <v>0</v>
      </c>
      <c r="AQ729" s="1">
        <v>0</v>
      </c>
      <c r="AR729" s="1">
        <v>72998612</v>
      </c>
      <c r="AS729" s="1">
        <v>26806466</v>
      </c>
      <c r="AT729" s="1">
        <v>46192146</v>
      </c>
      <c r="AU729" s="1">
        <v>14599722</v>
      </c>
      <c r="AV729" s="1">
        <v>2189958</v>
      </c>
      <c r="AW729" s="1">
        <f t="shared" si="79"/>
        <v>89788292</v>
      </c>
    </row>
    <row r="730" spans="1:49" x14ac:dyDescent="0.2">
      <c r="A730" s="1" t="str">
        <f>"00843"</f>
        <v>00843</v>
      </c>
      <c r="B730" s="1" t="str">
        <f>"رضا"</f>
        <v>رضا</v>
      </c>
      <c r="C730" s="1" t="str">
        <f>"الياسي"</f>
        <v>الياسي</v>
      </c>
      <c r="D730" s="1" t="str">
        <f t="shared" si="80"/>
        <v>قراردادي بهره بردار</v>
      </c>
      <c r="E730" s="1" t="str">
        <f t="shared" si="81"/>
        <v>پروژه تعميرات نيروگاه بوشهر</v>
      </c>
      <c r="F730" s="1">
        <v>18632496</v>
      </c>
      <c r="G730" s="1">
        <v>0</v>
      </c>
      <c r="H730" s="1">
        <v>0</v>
      </c>
      <c r="I730" s="1">
        <v>4905424</v>
      </c>
      <c r="J730" s="1">
        <v>0</v>
      </c>
      <c r="K730" s="1">
        <v>15708395</v>
      </c>
      <c r="L730" s="1">
        <v>0</v>
      </c>
      <c r="M730" s="1">
        <v>0</v>
      </c>
      <c r="N730" s="1">
        <v>0</v>
      </c>
      <c r="O730" s="1">
        <v>1000000</v>
      </c>
      <c r="P730" s="1">
        <v>3620438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1848000</v>
      </c>
      <c r="W730" s="1">
        <v>0</v>
      </c>
      <c r="X730" s="1">
        <v>19142324</v>
      </c>
      <c r="Y730" s="1">
        <v>4000000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2844630</v>
      </c>
      <c r="AH730" s="1">
        <v>1835427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9568578</v>
      </c>
      <c r="AO730" s="1">
        <v>0</v>
      </c>
      <c r="AP730" s="1">
        <v>0</v>
      </c>
      <c r="AQ730" s="1">
        <v>0</v>
      </c>
      <c r="AR730" s="1">
        <v>83105712</v>
      </c>
      <c r="AS730" s="1">
        <v>36370136</v>
      </c>
      <c r="AT730" s="1">
        <v>46735576</v>
      </c>
      <c r="AU730" s="1">
        <v>16254057</v>
      </c>
      <c r="AV730" s="1">
        <v>2438109</v>
      </c>
      <c r="AW730" s="1">
        <f t="shared" si="79"/>
        <v>101797878</v>
      </c>
    </row>
    <row r="731" spans="1:49" x14ac:dyDescent="0.2">
      <c r="A731" s="1" t="str">
        <f>"00844"</f>
        <v>00844</v>
      </c>
      <c r="B731" s="1" t="str">
        <f>"محمدرضا"</f>
        <v>محمدرضا</v>
      </c>
      <c r="C731" s="1" t="str">
        <f>"چاووشيان نائيني"</f>
        <v>چاووشيان نائيني</v>
      </c>
      <c r="D731" s="1" t="str">
        <f t="shared" si="80"/>
        <v>قراردادي بهره بردار</v>
      </c>
      <c r="E731" s="1" t="str">
        <f t="shared" si="81"/>
        <v>پروژه تعميرات نيروگاه بوشهر</v>
      </c>
      <c r="F731" s="1">
        <v>27961341</v>
      </c>
      <c r="G731" s="1">
        <v>0</v>
      </c>
      <c r="H731" s="1">
        <v>0</v>
      </c>
      <c r="I731" s="1">
        <v>0</v>
      </c>
      <c r="J731" s="1">
        <v>0</v>
      </c>
      <c r="K731" s="1">
        <v>22692882</v>
      </c>
      <c r="L731" s="1">
        <v>0</v>
      </c>
      <c r="M731" s="1">
        <v>5500000</v>
      </c>
      <c r="N731" s="1">
        <v>0</v>
      </c>
      <c r="O731" s="1">
        <v>1000000</v>
      </c>
      <c r="P731" s="1">
        <v>4414007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1848000</v>
      </c>
      <c r="W731" s="1">
        <v>0</v>
      </c>
      <c r="X731" s="1">
        <v>14681564</v>
      </c>
      <c r="Y731" s="1">
        <v>4000000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3468149</v>
      </c>
      <c r="AH731" s="1">
        <v>1835427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5296506</v>
      </c>
      <c r="AO731" s="1">
        <v>0</v>
      </c>
      <c r="AP731" s="1">
        <v>0</v>
      </c>
      <c r="AQ731" s="1">
        <v>0</v>
      </c>
      <c r="AR731" s="1">
        <v>92697876</v>
      </c>
      <c r="AS731" s="1">
        <v>36442276</v>
      </c>
      <c r="AT731" s="1">
        <v>56255600</v>
      </c>
      <c r="AU731" s="1">
        <v>18172490</v>
      </c>
      <c r="AV731" s="1">
        <v>2725873</v>
      </c>
      <c r="AW731" s="1">
        <f t="shared" si="79"/>
        <v>113596239</v>
      </c>
    </row>
    <row r="732" spans="1:49" x14ac:dyDescent="0.2">
      <c r="A732" s="1" t="str">
        <f>"00846"</f>
        <v>00846</v>
      </c>
      <c r="B732" s="1" t="str">
        <f>"حميد"</f>
        <v>حميد</v>
      </c>
      <c r="C732" s="1" t="str">
        <f>"رضايي"</f>
        <v>رضايي</v>
      </c>
      <c r="D732" s="1" t="str">
        <f t="shared" si="80"/>
        <v>قراردادي بهره بردار</v>
      </c>
      <c r="E732" s="1" t="str">
        <f t="shared" si="81"/>
        <v>پروژه تعميرات نيروگاه بوشهر</v>
      </c>
      <c r="F732" s="1">
        <v>15392719</v>
      </c>
      <c r="G732" s="1">
        <v>0</v>
      </c>
      <c r="H732" s="1">
        <v>0</v>
      </c>
      <c r="I732" s="1">
        <v>2478063</v>
      </c>
      <c r="J732" s="1">
        <v>0</v>
      </c>
      <c r="K732" s="1">
        <v>12560929</v>
      </c>
      <c r="L732" s="1">
        <v>0</v>
      </c>
      <c r="M732" s="1">
        <v>3465000</v>
      </c>
      <c r="N732" s="1">
        <v>0</v>
      </c>
      <c r="O732" s="1">
        <v>1000000</v>
      </c>
      <c r="P732" s="1">
        <v>2764266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1848000</v>
      </c>
      <c r="W732" s="1">
        <v>0</v>
      </c>
      <c r="X732" s="1">
        <v>16116813</v>
      </c>
      <c r="Y732" s="1">
        <v>4000000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2171923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9522828</v>
      </c>
      <c r="AO732" s="1">
        <v>0</v>
      </c>
      <c r="AP732" s="1">
        <v>0</v>
      </c>
      <c r="AQ732" s="1">
        <v>0</v>
      </c>
      <c r="AR732" s="1">
        <v>71320541</v>
      </c>
      <c r="AS732" s="1">
        <v>29715116</v>
      </c>
      <c r="AT732" s="1">
        <v>41605425</v>
      </c>
      <c r="AU732" s="1">
        <v>14264108</v>
      </c>
      <c r="AV732" s="1">
        <v>2139616</v>
      </c>
      <c r="AW732" s="1">
        <f t="shared" si="79"/>
        <v>87724265</v>
      </c>
    </row>
    <row r="733" spans="1:49" x14ac:dyDescent="0.2">
      <c r="A733" s="1" t="str">
        <f>"00847"</f>
        <v>00847</v>
      </c>
      <c r="B733" s="1" t="str">
        <f>"امين"</f>
        <v>امين</v>
      </c>
      <c r="C733" s="1" t="str">
        <f>"رودحله پور"</f>
        <v>رودحله پور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21829446</v>
      </c>
      <c r="G733" s="1">
        <v>0</v>
      </c>
      <c r="H733" s="1">
        <v>0</v>
      </c>
      <c r="I733" s="1">
        <v>0</v>
      </c>
      <c r="J733" s="1">
        <v>0</v>
      </c>
      <c r="K733" s="1">
        <v>17105078</v>
      </c>
      <c r="L733" s="1">
        <v>0</v>
      </c>
      <c r="M733" s="1">
        <v>5500000</v>
      </c>
      <c r="N733" s="1">
        <v>0</v>
      </c>
      <c r="O733" s="1">
        <v>1000000</v>
      </c>
      <c r="P733" s="1">
        <v>3778271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1848000</v>
      </c>
      <c r="W733" s="1">
        <v>0</v>
      </c>
      <c r="X733" s="1">
        <v>12284648</v>
      </c>
      <c r="Y733" s="1">
        <v>4000000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2968641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5504598</v>
      </c>
      <c r="AO733" s="1">
        <v>0</v>
      </c>
      <c r="AP733" s="1">
        <v>0</v>
      </c>
      <c r="AQ733" s="1">
        <v>0</v>
      </c>
      <c r="AR733" s="1">
        <v>75818682</v>
      </c>
      <c r="AS733" s="1">
        <v>19773939</v>
      </c>
      <c r="AT733" s="1">
        <v>56044743</v>
      </c>
      <c r="AU733" s="1">
        <v>15163736</v>
      </c>
      <c r="AV733" s="1">
        <v>2274560</v>
      </c>
      <c r="AW733" s="1">
        <f t="shared" si="79"/>
        <v>93256978</v>
      </c>
    </row>
    <row r="734" spans="1:49" x14ac:dyDescent="0.2">
      <c r="A734" s="1" t="str">
        <f>"00848"</f>
        <v>00848</v>
      </c>
      <c r="B734" s="1" t="str">
        <f>"سلمان"</f>
        <v>سلمان</v>
      </c>
      <c r="C734" s="1" t="str">
        <f>"شجاعي خو"</f>
        <v>شجاعي خو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14644497</v>
      </c>
      <c r="G734" s="1">
        <v>0</v>
      </c>
      <c r="H734" s="1">
        <v>0</v>
      </c>
      <c r="I734" s="1">
        <v>0</v>
      </c>
      <c r="J734" s="1">
        <v>0</v>
      </c>
      <c r="K734" s="1">
        <v>11371306</v>
      </c>
      <c r="L734" s="1">
        <v>0</v>
      </c>
      <c r="M734" s="1">
        <v>4620000</v>
      </c>
      <c r="N734" s="1">
        <v>0</v>
      </c>
      <c r="O734" s="1">
        <v>1000000</v>
      </c>
      <c r="P734" s="1">
        <v>2502387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1848000</v>
      </c>
      <c r="W734" s="1">
        <v>0</v>
      </c>
      <c r="X734" s="1">
        <v>8147143</v>
      </c>
      <c r="Y734" s="1">
        <v>4000000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1966162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8311565</v>
      </c>
      <c r="AO734" s="1">
        <v>0</v>
      </c>
      <c r="AP734" s="1">
        <v>0</v>
      </c>
      <c r="AQ734" s="1">
        <v>0</v>
      </c>
      <c r="AR734" s="1">
        <v>58411060</v>
      </c>
      <c r="AS734" s="1">
        <v>10451824</v>
      </c>
      <c r="AT734" s="1">
        <v>47959236</v>
      </c>
      <c r="AU734" s="1">
        <v>11682212</v>
      </c>
      <c r="AV734" s="1">
        <v>1752332</v>
      </c>
      <c r="AW734" s="1">
        <f t="shared" si="79"/>
        <v>71845604</v>
      </c>
    </row>
    <row r="735" spans="1:49" x14ac:dyDescent="0.2">
      <c r="A735" s="1" t="str">
        <f>"00849"</f>
        <v>00849</v>
      </c>
      <c r="B735" s="1" t="str">
        <f>"مرتضي"</f>
        <v>مرتضي</v>
      </c>
      <c r="C735" s="1" t="str">
        <f>"شريفيان"</f>
        <v>شريفيان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16964742</v>
      </c>
      <c r="G735" s="1">
        <v>0</v>
      </c>
      <c r="H735" s="1">
        <v>0</v>
      </c>
      <c r="I735" s="1">
        <v>0</v>
      </c>
      <c r="J735" s="1">
        <v>0</v>
      </c>
      <c r="K735" s="1">
        <v>14586064</v>
      </c>
      <c r="L735" s="1">
        <v>0</v>
      </c>
      <c r="M735" s="1">
        <v>4620000</v>
      </c>
      <c r="N735" s="1">
        <v>0</v>
      </c>
      <c r="O735" s="1">
        <v>1000000</v>
      </c>
      <c r="P735" s="1">
        <v>3314474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1848000</v>
      </c>
      <c r="W735" s="1">
        <v>0</v>
      </c>
      <c r="X735" s="1">
        <v>10426848</v>
      </c>
      <c r="Y735" s="1">
        <v>4000000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2604229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9925256</v>
      </c>
      <c r="AO735" s="1">
        <v>0</v>
      </c>
      <c r="AP735" s="1">
        <v>0</v>
      </c>
      <c r="AQ735" s="1">
        <v>0</v>
      </c>
      <c r="AR735" s="1">
        <v>69289613</v>
      </c>
      <c r="AS735" s="1">
        <v>9696608</v>
      </c>
      <c r="AT735" s="1">
        <v>59593005</v>
      </c>
      <c r="AU735" s="1">
        <v>13857923</v>
      </c>
      <c r="AV735" s="1">
        <v>2078688</v>
      </c>
      <c r="AW735" s="1">
        <f t="shared" si="79"/>
        <v>85226224</v>
      </c>
    </row>
    <row r="736" spans="1:49" x14ac:dyDescent="0.2">
      <c r="A736" s="1" t="str">
        <f>"00850"</f>
        <v>00850</v>
      </c>
      <c r="B736" s="1" t="str">
        <f>"رضا"</f>
        <v>رضا</v>
      </c>
      <c r="C736" s="1" t="str">
        <f>"شکرانه"</f>
        <v>شکرانه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15916727</v>
      </c>
      <c r="G736" s="1">
        <v>0</v>
      </c>
      <c r="H736" s="1">
        <v>0</v>
      </c>
      <c r="I736" s="1">
        <v>13270016</v>
      </c>
      <c r="J736" s="1">
        <v>0</v>
      </c>
      <c r="K736" s="1">
        <v>16540194</v>
      </c>
      <c r="L736" s="1">
        <v>0</v>
      </c>
      <c r="M736" s="1">
        <v>4620000</v>
      </c>
      <c r="N736" s="1">
        <v>0</v>
      </c>
      <c r="O736" s="1">
        <v>1000000</v>
      </c>
      <c r="P736" s="1">
        <v>2947668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1848000</v>
      </c>
      <c r="W736" s="1">
        <v>0</v>
      </c>
      <c r="X736" s="1">
        <v>15905157</v>
      </c>
      <c r="Y736" s="1">
        <v>4000000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2316024</v>
      </c>
      <c r="AH736" s="1">
        <v>1835427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9059258</v>
      </c>
      <c r="AO736" s="1">
        <v>0</v>
      </c>
      <c r="AP736" s="1">
        <v>0</v>
      </c>
      <c r="AQ736" s="1">
        <v>0</v>
      </c>
      <c r="AR736" s="1">
        <v>89258471</v>
      </c>
      <c r="AS736" s="1">
        <v>34331282</v>
      </c>
      <c r="AT736" s="1">
        <v>54927189</v>
      </c>
      <c r="AU736" s="1">
        <v>17484609</v>
      </c>
      <c r="AV736" s="1">
        <v>2622691</v>
      </c>
      <c r="AW736" s="1">
        <f t="shared" si="79"/>
        <v>109365771</v>
      </c>
    </row>
    <row r="737" spans="1:49" x14ac:dyDescent="0.2">
      <c r="A737" s="1" t="str">
        <f>"00851"</f>
        <v>00851</v>
      </c>
      <c r="B737" s="1" t="str">
        <f>"حسن"</f>
        <v>حسن</v>
      </c>
      <c r="C737" s="1" t="str">
        <f>"شيخياني"</f>
        <v>شيخياني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21857158</v>
      </c>
      <c r="G737" s="1">
        <v>0</v>
      </c>
      <c r="H737" s="1">
        <v>0</v>
      </c>
      <c r="I737" s="1">
        <v>4992440</v>
      </c>
      <c r="J737" s="1">
        <v>0</v>
      </c>
      <c r="K737" s="1">
        <v>16528772</v>
      </c>
      <c r="L737" s="1">
        <v>0</v>
      </c>
      <c r="M737" s="1">
        <v>5500000</v>
      </c>
      <c r="N737" s="1">
        <v>0</v>
      </c>
      <c r="O737" s="1">
        <v>1000000</v>
      </c>
      <c r="P737" s="1">
        <v>3787970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1848000</v>
      </c>
      <c r="W737" s="1">
        <v>0</v>
      </c>
      <c r="X737" s="1">
        <v>8566597</v>
      </c>
      <c r="Y737" s="1">
        <v>4000000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2976261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5241586</v>
      </c>
      <c r="AO737" s="1">
        <v>0</v>
      </c>
      <c r="AP737" s="1">
        <v>0</v>
      </c>
      <c r="AQ737" s="1">
        <v>0</v>
      </c>
      <c r="AR737" s="1">
        <v>76298784</v>
      </c>
      <c r="AS737" s="1">
        <v>28023108</v>
      </c>
      <c r="AT737" s="1">
        <v>48275676</v>
      </c>
      <c r="AU737" s="1">
        <v>15259757</v>
      </c>
      <c r="AV737" s="1">
        <v>2288964</v>
      </c>
      <c r="AW737" s="1">
        <f t="shared" si="79"/>
        <v>93847505</v>
      </c>
    </row>
    <row r="738" spans="1:49" x14ac:dyDescent="0.2">
      <c r="A738" s="1" t="str">
        <f>"00852"</f>
        <v>00852</v>
      </c>
      <c r="B738" s="1" t="str">
        <f>"علي"</f>
        <v>علي</v>
      </c>
      <c r="C738" s="1" t="str">
        <f>"صالحي"</f>
        <v>صالحي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16009940</v>
      </c>
      <c r="G738" s="1">
        <v>0</v>
      </c>
      <c r="H738" s="1">
        <v>0</v>
      </c>
      <c r="I738" s="1">
        <v>0</v>
      </c>
      <c r="J738" s="1">
        <v>0</v>
      </c>
      <c r="K738" s="1">
        <v>13241427</v>
      </c>
      <c r="L738" s="1">
        <v>0</v>
      </c>
      <c r="M738" s="1">
        <v>4620000</v>
      </c>
      <c r="N738" s="1">
        <v>0</v>
      </c>
      <c r="O738" s="1">
        <v>1000000</v>
      </c>
      <c r="P738" s="1">
        <v>2980292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1848000</v>
      </c>
      <c r="W738" s="1">
        <v>0</v>
      </c>
      <c r="X738" s="1">
        <v>16332251</v>
      </c>
      <c r="Y738" s="1">
        <v>4000000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2341658</v>
      </c>
      <c r="AH738" s="1">
        <v>1835427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8406289</v>
      </c>
      <c r="AO738" s="1">
        <v>0</v>
      </c>
      <c r="AP738" s="1">
        <v>0</v>
      </c>
      <c r="AQ738" s="1">
        <v>0</v>
      </c>
      <c r="AR738" s="1">
        <v>72615284</v>
      </c>
      <c r="AS738" s="1">
        <v>36312920</v>
      </c>
      <c r="AT738" s="1">
        <v>36302364</v>
      </c>
      <c r="AU738" s="1">
        <v>14155971</v>
      </c>
      <c r="AV738" s="1">
        <v>2123396</v>
      </c>
      <c r="AW738" s="1">
        <f t="shared" si="79"/>
        <v>88894651</v>
      </c>
    </row>
    <row r="739" spans="1:49" x14ac:dyDescent="0.2">
      <c r="A739" s="1" t="str">
        <f>"00853"</f>
        <v>00853</v>
      </c>
      <c r="B739" s="1" t="str">
        <f>"مهدي"</f>
        <v>مهدي</v>
      </c>
      <c r="C739" s="1" t="str">
        <f>"صفري"</f>
        <v>صفري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16821144</v>
      </c>
      <c r="G739" s="1">
        <v>0</v>
      </c>
      <c r="H739" s="1">
        <v>0</v>
      </c>
      <c r="I739" s="1">
        <v>20098117</v>
      </c>
      <c r="J739" s="1">
        <v>0</v>
      </c>
      <c r="K739" s="1">
        <v>12921922</v>
      </c>
      <c r="L739" s="1">
        <v>0</v>
      </c>
      <c r="M739" s="1">
        <v>4620000</v>
      </c>
      <c r="N739" s="1">
        <v>0</v>
      </c>
      <c r="O739" s="1">
        <v>1000000</v>
      </c>
      <c r="P739" s="1">
        <v>2986465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1848000</v>
      </c>
      <c r="W739" s="1">
        <v>0</v>
      </c>
      <c r="X739" s="1">
        <v>15386382</v>
      </c>
      <c r="Y739" s="1">
        <v>4000000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2346508</v>
      </c>
      <c r="AH739" s="1">
        <v>1835427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7663912</v>
      </c>
      <c r="AO739" s="1">
        <v>0</v>
      </c>
      <c r="AP739" s="1">
        <v>0</v>
      </c>
      <c r="AQ739" s="1">
        <v>0</v>
      </c>
      <c r="AR739" s="1">
        <v>91527877</v>
      </c>
      <c r="AS739" s="1">
        <v>30351256</v>
      </c>
      <c r="AT739" s="1">
        <v>61176621</v>
      </c>
      <c r="AU739" s="1">
        <v>17938490</v>
      </c>
      <c r="AV739" s="1">
        <v>2690774</v>
      </c>
      <c r="AW739" s="1">
        <f t="shared" si="79"/>
        <v>112157141</v>
      </c>
    </row>
    <row r="740" spans="1:49" x14ac:dyDescent="0.2">
      <c r="A740" s="1" t="str">
        <f>"00854"</f>
        <v>00854</v>
      </c>
      <c r="B740" s="1" t="str">
        <f>"علي"</f>
        <v>علي</v>
      </c>
      <c r="C740" s="1" t="str">
        <f>"عطاپوريان"</f>
        <v>عطاپوريان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18438513</v>
      </c>
      <c r="G740" s="1">
        <v>0</v>
      </c>
      <c r="H740" s="1">
        <v>0</v>
      </c>
      <c r="I740" s="1">
        <v>2409573</v>
      </c>
      <c r="J740" s="1">
        <v>0</v>
      </c>
      <c r="K740" s="1">
        <v>16767584</v>
      </c>
      <c r="L740" s="1">
        <v>0</v>
      </c>
      <c r="M740" s="1">
        <v>4620000</v>
      </c>
      <c r="N740" s="1">
        <v>0</v>
      </c>
      <c r="O740" s="1">
        <v>1000000</v>
      </c>
      <c r="P740" s="1">
        <v>3552544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1848000</v>
      </c>
      <c r="W740" s="1">
        <v>0</v>
      </c>
      <c r="X740" s="1">
        <v>15861030</v>
      </c>
      <c r="Y740" s="1">
        <v>4000000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2791284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10883232</v>
      </c>
      <c r="AO740" s="1">
        <v>0</v>
      </c>
      <c r="AP740" s="1">
        <v>0</v>
      </c>
      <c r="AQ740" s="1">
        <v>0</v>
      </c>
      <c r="AR740" s="1">
        <v>82171760</v>
      </c>
      <c r="AS740" s="1">
        <v>38067043</v>
      </c>
      <c r="AT740" s="1">
        <v>44104717</v>
      </c>
      <c r="AU740" s="1">
        <v>16434352</v>
      </c>
      <c r="AV740" s="1">
        <v>2465153</v>
      </c>
      <c r="AW740" s="1">
        <f t="shared" si="79"/>
        <v>101071265</v>
      </c>
    </row>
    <row r="741" spans="1:49" x14ac:dyDescent="0.2">
      <c r="A741" s="1" t="str">
        <f>"00855"</f>
        <v>00855</v>
      </c>
      <c r="B741" s="1" t="str">
        <f>"ايوب"</f>
        <v>ايوب</v>
      </c>
      <c r="C741" s="1" t="str">
        <f>"عليزاده"</f>
        <v>عليزاده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18342781</v>
      </c>
      <c r="G741" s="1">
        <v>0</v>
      </c>
      <c r="H741" s="1">
        <v>0</v>
      </c>
      <c r="I741" s="1">
        <v>0</v>
      </c>
      <c r="J741" s="1">
        <v>0</v>
      </c>
      <c r="K741" s="1">
        <v>14337697</v>
      </c>
      <c r="L741" s="1">
        <v>0</v>
      </c>
      <c r="M741" s="1">
        <v>3465000</v>
      </c>
      <c r="N741" s="1">
        <v>0</v>
      </c>
      <c r="O741" s="1">
        <v>1000000</v>
      </c>
      <c r="P741" s="1">
        <v>3519037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1848000</v>
      </c>
      <c r="W741" s="1">
        <v>0</v>
      </c>
      <c r="X741" s="1">
        <v>10484137</v>
      </c>
      <c r="Y741" s="1">
        <v>4000000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2764958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8155244</v>
      </c>
      <c r="AO741" s="1">
        <v>0</v>
      </c>
      <c r="AP741" s="1">
        <v>0</v>
      </c>
      <c r="AQ741" s="1">
        <v>0</v>
      </c>
      <c r="AR741" s="1">
        <v>67916854</v>
      </c>
      <c r="AS741" s="1">
        <v>27247887</v>
      </c>
      <c r="AT741" s="1">
        <v>40668967</v>
      </c>
      <c r="AU741" s="1">
        <v>13583371</v>
      </c>
      <c r="AV741" s="1">
        <v>2037506</v>
      </c>
      <c r="AW741" s="1">
        <f t="shared" si="79"/>
        <v>83537731</v>
      </c>
    </row>
    <row r="742" spans="1:49" x14ac:dyDescent="0.2">
      <c r="A742" s="1" t="str">
        <f>"00856"</f>
        <v>00856</v>
      </c>
      <c r="B742" s="1" t="str">
        <f>"محمد"</f>
        <v>محمد</v>
      </c>
      <c r="C742" s="1" t="str">
        <f>"غلامي مندلي"</f>
        <v>غلامي مندلي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15455701</v>
      </c>
      <c r="G742" s="1">
        <v>0</v>
      </c>
      <c r="H742" s="1">
        <v>0</v>
      </c>
      <c r="I742" s="1">
        <v>0</v>
      </c>
      <c r="J742" s="1">
        <v>0</v>
      </c>
      <c r="K742" s="1">
        <v>12634501</v>
      </c>
      <c r="L742" s="1">
        <v>0</v>
      </c>
      <c r="M742" s="1">
        <v>4620000</v>
      </c>
      <c r="N742" s="1">
        <v>0</v>
      </c>
      <c r="O742" s="1">
        <v>1000000</v>
      </c>
      <c r="P742" s="1">
        <v>2786309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1848000</v>
      </c>
      <c r="W742" s="1">
        <v>0</v>
      </c>
      <c r="X742" s="1">
        <v>9427683</v>
      </c>
      <c r="Y742" s="1">
        <v>4000000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2189243</v>
      </c>
      <c r="AH742" s="1">
        <v>1835427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9787351</v>
      </c>
      <c r="AO742" s="1">
        <v>0</v>
      </c>
      <c r="AP742" s="1">
        <v>0</v>
      </c>
      <c r="AQ742" s="1">
        <v>0</v>
      </c>
      <c r="AR742" s="1">
        <v>65584215</v>
      </c>
      <c r="AS742" s="1">
        <v>34879590</v>
      </c>
      <c r="AT742" s="1">
        <v>30704625</v>
      </c>
      <c r="AU742" s="1">
        <v>12749758</v>
      </c>
      <c r="AV742" s="1">
        <v>1912464</v>
      </c>
      <c r="AW742" s="1">
        <f t="shared" si="79"/>
        <v>80246437</v>
      </c>
    </row>
    <row r="743" spans="1:49" x14ac:dyDescent="0.2">
      <c r="A743" s="1" t="str">
        <f>"00858"</f>
        <v>00858</v>
      </c>
      <c r="B743" s="1" t="str">
        <f>"عرفان"</f>
        <v>عرفان</v>
      </c>
      <c r="C743" s="1" t="str">
        <f>"محمدي"</f>
        <v>محمدي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22056180</v>
      </c>
      <c r="G743" s="1">
        <v>0</v>
      </c>
      <c r="H743" s="1">
        <v>0</v>
      </c>
      <c r="I743" s="1">
        <v>10629366</v>
      </c>
      <c r="J743" s="1">
        <v>0</v>
      </c>
      <c r="K743" s="1">
        <v>18359360</v>
      </c>
      <c r="L743" s="1">
        <v>0</v>
      </c>
      <c r="M743" s="1">
        <v>4125000</v>
      </c>
      <c r="N743" s="1">
        <v>0</v>
      </c>
      <c r="O743" s="1">
        <v>1000000</v>
      </c>
      <c r="P743" s="1">
        <v>3857628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1848000</v>
      </c>
      <c r="W743" s="1">
        <v>0</v>
      </c>
      <c r="X743" s="1">
        <v>20739368</v>
      </c>
      <c r="Y743" s="1">
        <v>4000000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3030993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7273123</v>
      </c>
      <c r="AO743" s="1">
        <v>0</v>
      </c>
      <c r="AP743" s="1">
        <v>0</v>
      </c>
      <c r="AQ743" s="1">
        <v>0</v>
      </c>
      <c r="AR743" s="1">
        <v>96919018</v>
      </c>
      <c r="AS743" s="1">
        <v>51745944</v>
      </c>
      <c r="AT743" s="1">
        <v>45173074</v>
      </c>
      <c r="AU743" s="1">
        <v>19383804</v>
      </c>
      <c r="AV743" s="1">
        <v>2907571</v>
      </c>
      <c r="AW743" s="1">
        <f t="shared" si="79"/>
        <v>119210393</v>
      </c>
    </row>
    <row r="744" spans="1:49" x14ac:dyDescent="0.2">
      <c r="A744" s="1" t="str">
        <f>"00860"</f>
        <v>00860</v>
      </c>
      <c r="B744" s="1" t="str">
        <f>"سيد عبدالحميد"</f>
        <v>سيد عبدالحميد</v>
      </c>
      <c r="C744" s="1" t="str">
        <f>"موسوي"</f>
        <v>موسوي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25023876</v>
      </c>
      <c r="G744" s="1">
        <v>0</v>
      </c>
      <c r="H744" s="1">
        <v>0</v>
      </c>
      <c r="I744" s="1">
        <v>3039108</v>
      </c>
      <c r="J744" s="1">
        <v>0</v>
      </c>
      <c r="K744" s="1">
        <v>21708387</v>
      </c>
      <c r="L744" s="1">
        <v>0</v>
      </c>
      <c r="M744" s="1">
        <v>5500000</v>
      </c>
      <c r="N744" s="1">
        <v>0</v>
      </c>
      <c r="O744" s="1">
        <v>1000000</v>
      </c>
      <c r="P744" s="1">
        <v>4459857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1848000</v>
      </c>
      <c r="W744" s="1">
        <v>0</v>
      </c>
      <c r="X744" s="1">
        <v>10949619</v>
      </c>
      <c r="Y744" s="1">
        <v>4000000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3504174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6134919</v>
      </c>
      <c r="AO744" s="1">
        <v>0</v>
      </c>
      <c r="AP744" s="1">
        <v>0</v>
      </c>
      <c r="AQ744" s="1">
        <v>0</v>
      </c>
      <c r="AR744" s="1">
        <v>87167940</v>
      </c>
      <c r="AS744" s="1">
        <v>19394339</v>
      </c>
      <c r="AT744" s="1">
        <v>67773601</v>
      </c>
      <c r="AU744" s="1">
        <v>17433588</v>
      </c>
      <c r="AV744" s="1">
        <v>2615038</v>
      </c>
      <c r="AW744" s="1">
        <f t="shared" si="79"/>
        <v>107216566</v>
      </c>
    </row>
    <row r="745" spans="1:49" x14ac:dyDescent="0.2">
      <c r="A745" s="1" t="str">
        <f>"00861"</f>
        <v>00861</v>
      </c>
      <c r="B745" s="1" t="str">
        <f>"زين العابدين"</f>
        <v>زين العابدين</v>
      </c>
      <c r="C745" s="1" t="str">
        <f>"ميرکي"</f>
        <v>ميرکي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16377753</v>
      </c>
      <c r="G745" s="1">
        <v>0</v>
      </c>
      <c r="H745" s="1">
        <v>0</v>
      </c>
      <c r="I745" s="1">
        <v>1703987</v>
      </c>
      <c r="J745" s="1">
        <v>0</v>
      </c>
      <c r="K745" s="1">
        <v>14173760</v>
      </c>
      <c r="L745" s="1">
        <v>0</v>
      </c>
      <c r="M745" s="1">
        <v>4620000</v>
      </c>
      <c r="N745" s="1">
        <v>0</v>
      </c>
      <c r="O745" s="1">
        <v>1000000</v>
      </c>
      <c r="P745" s="1">
        <v>3109027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1848000</v>
      </c>
      <c r="W745" s="1">
        <v>0</v>
      </c>
      <c r="X745" s="1">
        <v>14020635</v>
      </c>
      <c r="Y745" s="1">
        <v>4000000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2442807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10245858</v>
      </c>
      <c r="AO745" s="1">
        <v>0</v>
      </c>
      <c r="AP745" s="1">
        <v>0</v>
      </c>
      <c r="AQ745" s="1">
        <v>0</v>
      </c>
      <c r="AR745" s="1">
        <v>73541827</v>
      </c>
      <c r="AS745" s="1">
        <v>25860570</v>
      </c>
      <c r="AT745" s="1">
        <v>47681257</v>
      </c>
      <c r="AU745" s="1">
        <v>14708365</v>
      </c>
      <c r="AV745" s="1">
        <v>2206255</v>
      </c>
      <c r="AW745" s="1">
        <f t="shared" si="79"/>
        <v>90456447</v>
      </c>
    </row>
    <row r="746" spans="1:49" x14ac:dyDescent="0.2">
      <c r="A746" s="1" t="str">
        <f>"00862"</f>
        <v>00862</v>
      </c>
      <c r="B746" s="1" t="str">
        <f>"محمدجواد"</f>
        <v>محمدجواد</v>
      </c>
      <c r="C746" s="1" t="str">
        <f>"يزدان پناه"</f>
        <v>يزدان پناه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21217264</v>
      </c>
      <c r="G746" s="1">
        <v>0</v>
      </c>
      <c r="H746" s="1">
        <v>0</v>
      </c>
      <c r="I746" s="1">
        <v>0</v>
      </c>
      <c r="J746" s="1">
        <v>0</v>
      </c>
      <c r="K746" s="1">
        <v>15456996</v>
      </c>
      <c r="L746" s="1">
        <v>0</v>
      </c>
      <c r="M746" s="1">
        <v>5500000</v>
      </c>
      <c r="N746" s="1">
        <v>0</v>
      </c>
      <c r="O746" s="1">
        <v>1000000</v>
      </c>
      <c r="P746" s="1">
        <v>3564007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1848000</v>
      </c>
      <c r="W746" s="1">
        <v>0</v>
      </c>
      <c r="X746" s="1">
        <v>9601603</v>
      </c>
      <c r="Y746" s="1">
        <v>4000000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2800291</v>
      </c>
      <c r="AH746" s="1">
        <v>1835427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5577152</v>
      </c>
      <c r="AO746" s="1">
        <v>0</v>
      </c>
      <c r="AP746" s="1">
        <v>0</v>
      </c>
      <c r="AQ746" s="1">
        <v>0</v>
      </c>
      <c r="AR746" s="1">
        <v>72400740</v>
      </c>
      <c r="AS746" s="1">
        <v>36793115</v>
      </c>
      <c r="AT746" s="1">
        <v>35607625</v>
      </c>
      <c r="AU746" s="1">
        <v>14113063</v>
      </c>
      <c r="AV746" s="1">
        <v>2116959</v>
      </c>
      <c r="AW746" s="1">
        <f t="shared" si="79"/>
        <v>88630762</v>
      </c>
    </row>
    <row r="747" spans="1:49" x14ac:dyDescent="0.2">
      <c r="A747" s="1" t="str">
        <f>"00863"</f>
        <v>00863</v>
      </c>
      <c r="B747" s="1" t="str">
        <f>"هادي"</f>
        <v>هادي</v>
      </c>
      <c r="C747" s="1" t="str">
        <f>"آب رخت"</f>
        <v>آب رخت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18005199</v>
      </c>
      <c r="G747" s="1">
        <v>0</v>
      </c>
      <c r="H747" s="1">
        <v>0</v>
      </c>
      <c r="I747" s="1">
        <v>0</v>
      </c>
      <c r="J747" s="1">
        <v>0</v>
      </c>
      <c r="K747" s="1">
        <v>16224988</v>
      </c>
      <c r="L747" s="1">
        <v>0</v>
      </c>
      <c r="M747" s="1">
        <v>3465000</v>
      </c>
      <c r="N747" s="1">
        <v>0</v>
      </c>
      <c r="O747" s="1">
        <v>1000000</v>
      </c>
      <c r="P747" s="1">
        <v>3400884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1848000</v>
      </c>
      <c r="W747" s="1">
        <v>0</v>
      </c>
      <c r="X747" s="1">
        <v>19199067</v>
      </c>
      <c r="Y747" s="1">
        <v>4000000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2672124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10220665</v>
      </c>
      <c r="AO747" s="1">
        <v>0</v>
      </c>
      <c r="AP747" s="1">
        <v>0</v>
      </c>
      <c r="AQ747" s="1">
        <v>0</v>
      </c>
      <c r="AR747" s="1">
        <v>80035927</v>
      </c>
      <c r="AS747" s="1">
        <v>33831535</v>
      </c>
      <c r="AT747" s="1">
        <v>46204392</v>
      </c>
      <c r="AU747" s="1">
        <v>16007185</v>
      </c>
      <c r="AV747" s="1">
        <v>2401078</v>
      </c>
      <c r="AW747" s="1">
        <f t="shared" si="79"/>
        <v>98444190</v>
      </c>
    </row>
    <row r="748" spans="1:49" x14ac:dyDescent="0.2">
      <c r="A748" s="1" t="str">
        <f>"00864"</f>
        <v>00864</v>
      </c>
      <c r="B748" s="1" t="str">
        <f>"مهرداد"</f>
        <v>مهرداد</v>
      </c>
      <c r="C748" s="1" t="str">
        <f>"رحيمي"</f>
        <v>رحيمي</v>
      </c>
      <c r="D748" s="1" t="str">
        <f t="shared" si="80"/>
        <v>قراردادي بهره بردار</v>
      </c>
      <c r="E748" s="1" t="str">
        <f>"پروژه بهره برداري نيروگاه بوشهر"</f>
        <v>پروژه بهره برداري نيروگاه بوشهر</v>
      </c>
      <c r="F748" s="1">
        <v>16957184</v>
      </c>
      <c r="G748" s="1">
        <v>0</v>
      </c>
      <c r="H748" s="1">
        <v>0</v>
      </c>
      <c r="I748" s="1">
        <v>0</v>
      </c>
      <c r="J748" s="1">
        <v>0</v>
      </c>
      <c r="K748" s="1">
        <v>8743203</v>
      </c>
      <c r="L748" s="1">
        <v>0</v>
      </c>
      <c r="M748" s="1">
        <v>0</v>
      </c>
      <c r="N748" s="1">
        <v>0</v>
      </c>
      <c r="O748" s="1">
        <v>1000000</v>
      </c>
      <c r="P748" s="1">
        <v>2271371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1848000</v>
      </c>
      <c r="W748" s="1">
        <v>0</v>
      </c>
      <c r="X748" s="1">
        <v>3360534</v>
      </c>
      <c r="Y748" s="1">
        <v>4000000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1784648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3848935</v>
      </c>
      <c r="AO748" s="1">
        <v>0</v>
      </c>
      <c r="AP748" s="1">
        <v>0</v>
      </c>
      <c r="AQ748" s="1">
        <v>0</v>
      </c>
      <c r="AR748" s="1">
        <v>43813875</v>
      </c>
      <c r="AS748" s="1">
        <v>13621662</v>
      </c>
      <c r="AT748" s="1">
        <v>30192213</v>
      </c>
      <c r="AU748" s="1">
        <v>8762775</v>
      </c>
      <c r="AV748" s="1">
        <v>1314416</v>
      </c>
      <c r="AW748" s="1">
        <f t="shared" si="79"/>
        <v>53891066</v>
      </c>
    </row>
    <row r="749" spans="1:49" x14ac:dyDescent="0.2">
      <c r="A749" s="1" t="str">
        <f>"00865"</f>
        <v>00865</v>
      </c>
      <c r="B749" s="1" t="str">
        <f>"محمد"</f>
        <v>محمد</v>
      </c>
      <c r="C749" s="1" t="str">
        <f>"احمدي"</f>
        <v>احمدي</v>
      </c>
      <c r="D749" s="1" t="str">
        <f t="shared" si="80"/>
        <v>قراردادي بهره بردار</v>
      </c>
      <c r="E749" s="1" t="str">
        <f>"پروژه تعميرات نيروگاه بوشهر"</f>
        <v>پروژه تعميرات نيروگاه بوشهر</v>
      </c>
      <c r="F749" s="1">
        <v>21781580</v>
      </c>
      <c r="G749" s="1">
        <v>0</v>
      </c>
      <c r="H749" s="1">
        <v>0</v>
      </c>
      <c r="I749" s="1">
        <v>0</v>
      </c>
      <c r="J749" s="1">
        <v>0</v>
      </c>
      <c r="K749" s="1">
        <v>16916925</v>
      </c>
      <c r="L749" s="1">
        <v>0</v>
      </c>
      <c r="M749" s="1">
        <v>5500000</v>
      </c>
      <c r="N749" s="1">
        <v>0</v>
      </c>
      <c r="O749" s="1">
        <v>1000000</v>
      </c>
      <c r="P749" s="1">
        <v>3761517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1848000</v>
      </c>
      <c r="W749" s="1">
        <v>0</v>
      </c>
      <c r="X749" s="1">
        <v>12347757</v>
      </c>
      <c r="Y749" s="1">
        <v>4000000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2955478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5503086</v>
      </c>
      <c r="AO749" s="1">
        <v>0</v>
      </c>
      <c r="AP749" s="1">
        <v>0</v>
      </c>
      <c r="AQ749" s="1">
        <v>0</v>
      </c>
      <c r="AR749" s="1">
        <v>75614343</v>
      </c>
      <c r="AS749" s="1">
        <v>26516344</v>
      </c>
      <c r="AT749" s="1">
        <v>49097999</v>
      </c>
      <c r="AU749" s="1">
        <v>15122869</v>
      </c>
      <c r="AV749" s="1">
        <v>2268430</v>
      </c>
      <c r="AW749" s="1">
        <f t="shared" si="79"/>
        <v>93005642</v>
      </c>
    </row>
    <row r="750" spans="1:49" x14ac:dyDescent="0.2">
      <c r="A750" s="1" t="str">
        <f>"00866"</f>
        <v>00866</v>
      </c>
      <c r="B750" s="1" t="str">
        <f>"اميدرضا"</f>
        <v>اميدرضا</v>
      </c>
      <c r="C750" s="1" t="str">
        <f>"ايزدي"</f>
        <v>ايزدي</v>
      </c>
      <c r="D750" s="1" t="str">
        <f t="shared" si="80"/>
        <v>قراردادي بهره بردار</v>
      </c>
      <c r="E750" s="1" t="str">
        <f>"پروژه تعميرات نيروگاه بوشهر"</f>
        <v>پروژه تعميرات نيروگاه بوشهر</v>
      </c>
      <c r="F750" s="1">
        <v>22151912</v>
      </c>
      <c r="G750" s="1">
        <v>0</v>
      </c>
      <c r="H750" s="1">
        <v>0</v>
      </c>
      <c r="I750" s="1">
        <v>0</v>
      </c>
      <c r="J750" s="1">
        <v>0</v>
      </c>
      <c r="K750" s="1">
        <v>17360766</v>
      </c>
      <c r="L750" s="1">
        <v>0</v>
      </c>
      <c r="M750" s="1">
        <v>5500000</v>
      </c>
      <c r="N750" s="1">
        <v>0</v>
      </c>
      <c r="O750" s="1">
        <v>1000000</v>
      </c>
      <c r="P750" s="1">
        <v>3891133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1848000</v>
      </c>
      <c r="W750" s="1">
        <v>0</v>
      </c>
      <c r="X750" s="1">
        <v>10304130</v>
      </c>
      <c r="Y750" s="1">
        <v>4000000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3057319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5711682</v>
      </c>
      <c r="AO750" s="1">
        <v>0</v>
      </c>
      <c r="AP750" s="1">
        <v>0</v>
      </c>
      <c r="AQ750" s="1">
        <v>0</v>
      </c>
      <c r="AR750" s="1">
        <v>74824942</v>
      </c>
      <c r="AS750" s="1">
        <v>17386920</v>
      </c>
      <c r="AT750" s="1">
        <v>57438022</v>
      </c>
      <c r="AU750" s="1">
        <v>14964988</v>
      </c>
      <c r="AV750" s="1">
        <v>2244748</v>
      </c>
      <c r="AW750" s="1">
        <f t="shared" si="79"/>
        <v>92034678</v>
      </c>
    </row>
    <row r="751" spans="1:49" x14ac:dyDescent="0.2">
      <c r="A751" s="1" t="str">
        <f>"00867"</f>
        <v>00867</v>
      </c>
      <c r="B751" s="1" t="str">
        <f>"سيد محمد علي"</f>
        <v>سيد محمد علي</v>
      </c>
      <c r="C751" s="1" t="str">
        <f>"باقري"</f>
        <v>باقري</v>
      </c>
      <c r="D751" s="1" t="str">
        <f t="shared" si="80"/>
        <v>قراردادي بهره بردار</v>
      </c>
      <c r="E751" s="1" t="str">
        <f>"پروژه تعميرات نيروگاه بوشهر"</f>
        <v>پروژه تعميرات نيروگاه بوشهر</v>
      </c>
      <c r="F751" s="1">
        <v>15553952</v>
      </c>
      <c r="G751" s="1">
        <v>0</v>
      </c>
      <c r="H751" s="1">
        <v>0</v>
      </c>
      <c r="I751" s="1">
        <v>3124246</v>
      </c>
      <c r="J751" s="1">
        <v>0</v>
      </c>
      <c r="K751" s="1">
        <v>12783719</v>
      </c>
      <c r="L751" s="1">
        <v>0</v>
      </c>
      <c r="M751" s="1">
        <v>4620000</v>
      </c>
      <c r="N751" s="1">
        <v>0</v>
      </c>
      <c r="O751" s="1">
        <v>1000000</v>
      </c>
      <c r="P751" s="1">
        <v>2820697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1848000</v>
      </c>
      <c r="W751" s="1">
        <v>0</v>
      </c>
      <c r="X751" s="1">
        <v>17416677</v>
      </c>
      <c r="Y751" s="1">
        <v>4000000</v>
      </c>
      <c r="Z751" s="1">
        <v>2257832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2216262</v>
      </c>
      <c r="AH751" s="1">
        <v>1835427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12458731</v>
      </c>
      <c r="AO751" s="1">
        <v>0</v>
      </c>
      <c r="AP751" s="1">
        <v>0</v>
      </c>
      <c r="AQ751" s="1">
        <v>0</v>
      </c>
      <c r="AR751" s="1">
        <v>81935543</v>
      </c>
      <c r="AS751" s="1">
        <v>9655062</v>
      </c>
      <c r="AT751" s="1">
        <v>72280481</v>
      </c>
      <c r="AU751" s="1">
        <v>16020023</v>
      </c>
      <c r="AV751" s="1">
        <v>2403003</v>
      </c>
      <c r="AW751" s="1">
        <f t="shared" si="79"/>
        <v>100358569</v>
      </c>
    </row>
    <row r="752" spans="1:49" x14ac:dyDescent="0.2">
      <c r="A752" s="1" t="str">
        <f>"00869"</f>
        <v>00869</v>
      </c>
      <c r="B752" s="1" t="str">
        <f>"موسي"</f>
        <v>موسي</v>
      </c>
      <c r="C752" s="1" t="str">
        <f>"خدري"</f>
        <v>خدري</v>
      </c>
      <c r="D752" s="1" t="str">
        <f t="shared" si="80"/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21529653</v>
      </c>
      <c r="G752" s="1">
        <v>0</v>
      </c>
      <c r="H752" s="1">
        <v>0</v>
      </c>
      <c r="I752" s="1">
        <v>5882399</v>
      </c>
      <c r="J752" s="1">
        <v>0</v>
      </c>
      <c r="K752" s="1">
        <v>18767466</v>
      </c>
      <c r="L752" s="1">
        <v>0</v>
      </c>
      <c r="M752" s="1">
        <v>5500000</v>
      </c>
      <c r="N752" s="1">
        <v>0</v>
      </c>
      <c r="O752" s="1">
        <v>1000000</v>
      </c>
      <c r="P752" s="1">
        <v>3673343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1848000</v>
      </c>
      <c r="W752" s="1">
        <v>0</v>
      </c>
      <c r="X752" s="1">
        <v>12410154</v>
      </c>
      <c r="Y752" s="1">
        <v>4000000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2886198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10201518</v>
      </c>
      <c r="AO752" s="1">
        <v>0</v>
      </c>
      <c r="AP752" s="1">
        <v>0</v>
      </c>
      <c r="AQ752" s="1">
        <v>0</v>
      </c>
      <c r="AR752" s="1">
        <v>87698731</v>
      </c>
      <c r="AS752" s="1">
        <v>33987341</v>
      </c>
      <c r="AT752" s="1">
        <v>53711390</v>
      </c>
      <c r="AU752" s="1">
        <v>17539746</v>
      </c>
      <c r="AV752" s="1">
        <v>2630962</v>
      </c>
      <c r="AW752" s="1">
        <f t="shared" si="79"/>
        <v>107869439</v>
      </c>
    </row>
    <row r="753" spans="1:49" x14ac:dyDescent="0.2">
      <c r="A753" s="1" t="str">
        <f>"00870"</f>
        <v>00870</v>
      </c>
      <c r="B753" s="1" t="str">
        <f>"سينا"</f>
        <v>سينا</v>
      </c>
      <c r="C753" s="1" t="str">
        <f>"دشتستاني نژاد"</f>
        <v>دشتستاني نژاد</v>
      </c>
      <c r="D753" s="1" t="str">
        <f t="shared" si="80"/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21045954</v>
      </c>
      <c r="G753" s="1">
        <v>0</v>
      </c>
      <c r="H753" s="1">
        <v>0</v>
      </c>
      <c r="I753" s="1">
        <v>0</v>
      </c>
      <c r="J753" s="1">
        <v>0</v>
      </c>
      <c r="K753" s="1">
        <v>15831393</v>
      </c>
      <c r="L753" s="1">
        <v>0</v>
      </c>
      <c r="M753" s="1">
        <v>4125000</v>
      </c>
      <c r="N753" s="1">
        <v>0</v>
      </c>
      <c r="O753" s="1">
        <v>1000000</v>
      </c>
      <c r="P753" s="1">
        <v>3504048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1848000</v>
      </c>
      <c r="W753" s="1">
        <v>0</v>
      </c>
      <c r="X753" s="1">
        <v>12870853</v>
      </c>
      <c r="Y753" s="1">
        <v>4000000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2753180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6368706</v>
      </c>
      <c r="AO753" s="1">
        <v>0</v>
      </c>
      <c r="AP753" s="1">
        <v>0</v>
      </c>
      <c r="AQ753" s="1">
        <v>0</v>
      </c>
      <c r="AR753" s="1">
        <v>73347134</v>
      </c>
      <c r="AS753" s="1">
        <v>26902325</v>
      </c>
      <c r="AT753" s="1">
        <v>46444809</v>
      </c>
      <c r="AU753" s="1">
        <v>14669427</v>
      </c>
      <c r="AV753" s="1">
        <v>2200414</v>
      </c>
      <c r="AW753" s="1">
        <f t="shared" si="79"/>
        <v>90216975</v>
      </c>
    </row>
    <row r="754" spans="1:49" x14ac:dyDescent="0.2">
      <c r="A754" s="1" t="str">
        <f>"00871"</f>
        <v>00871</v>
      </c>
      <c r="B754" s="1" t="str">
        <f>"مسعود"</f>
        <v>مسعود</v>
      </c>
      <c r="C754" s="1" t="str">
        <f>"سهرابي تيمورلو"</f>
        <v>سهرابي تيمورلو</v>
      </c>
      <c r="D754" s="1" t="str">
        <f t="shared" si="80"/>
        <v>قراردادي بهره بردار</v>
      </c>
      <c r="E754" s="1" t="str">
        <f>"پروژه بهره برداري نيروگاه بوشهر"</f>
        <v>پروژه بهره برداري نيروگاه بوشهر</v>
      </c>
      <c r="F754" s="1">
        <v>19599895</v>
      </c>
      <c r="G754" s="1">
        <v>0</v>
      </c>
      <c r="H754" s="1">
        <v>0</v>
      </c>
      <c r="I754" s="1">
        <v>0</v>
      </c>
      <c r="J754" s="1">
        <v>0</v>
      </c>
      <c r="K754" s="1">
        <v>15847684</v>
      </c>
      <c r="L754" s="1">
        <v>0</v>
      </c>
      <c r="M754" s="1">
        <v>4125000</v>
      </c>
      <c r="N754" s="1">
        <v>0</v>
      </c>
      <c r="O754" s="1">
        <v>1000000</v>
      </c>
      <c r="P754" s="1">
        <v>3196320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1848000</v>
      </c>
      <c r="W754" s="1">
        <v>0</v>
      </c>
      <c r="X754" s="1">
        <v>9610653</v>
      </c>
      <c r="Y754" s="1">
        <v>4000000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3892267</v>
      </c>
      <c r="AF754" s="1">
        <v>0</v>
      </c>
      <c r="AG754" s="1">
        <v>2511394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5534829</v>
      </c>
      <c r="AO754" s="1">
        <v>0</v>
      </c>
      <c r="AP754" s="1">
        <v>0</v>
      </c>
      <c r="AQ754" s="1">
        <v>0</v>
      </c>
      <c r="AR754" s="1">
        <v>71166042</v>
      </c>
      <c r="AS754" s="1">
        <v>29950110</v>
      </c>
      <c r="AT754" s="1">
        <v>41215932</v>
      </c>
      <c r="AU754" s="1">
        <v>14233208</v>
      </c>
      <c r="AV754" s="1">
        <v>2134981</v>
      </c>
      <c r="AW754" s="1">
        <f t="shared" si="79"/>
        <v>87534231</v>
      </c>
    </row>
    <row r="755" spans="1:49" x14ac:dyDescent="0.2">
      <c r="A755" s="1" t="str">
        <f>"00872"</f>
        <v>00872</v>
      </c>
      <c r="B755" s="1" t="str">
        <f>"سيدرضا"</f>
        <v>سيدرضا</v>
      </c>
      <c r="C755" s="1" t="str">
        <f>"شجاع الدين"</f>
        <v>شجاع الدين</v>
      </c>
      <c r="D755" s="1" t="str">
        <f t="shared" si="80"/>
        <v>قراردادي بهره بردار</v>
      </c>
      <c r="E755" s="1" t="str">
        <f t="shared" ref="E755:E772" si="82">"پروژه تعميرات نيروگاه بوشهر"</f>
        <v>پروژه تعميرات نيروگاه بوشهر</v>
      </c>
      <c r="F755" s="1">
        <v>21461633</v>
      </c>
      <c r="G755" s="1">
        <v>0</v>
      </c>
      <c r="H755" s="1">
        <v>0</v>
      </c>
      <c r="I755" s="1">
        <v>0</v>
      </c>
      <c r="J755" s="1">
        <v>0</v>
      </c>
      <c r="K755" s="1">
        <v>15933321</v>
      </c>
      <c r="L755" s="1">
        <v>0</v>
      </c>
      <c r="M755" s="1">
        <v>5500000</v>
      </c>
      <c r="N755" s="1">
        <v>0</v>
      </c>
      <c r="O755" s="1">
        <v>1000000</v>
      </c>
      <c r="P755" s="1">
        <v>3649536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1848000</v>
      </c>
      <c r="W755" s="1">
        <v>0</v>
      </c>
      <c r="X755" s="1">
        <v>9906795</v>
      </c>
      <c r="Y755" s="1">
        <v>4000000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2867493</v>
      </c>
      <c r="AH755" s="1">
        <v>1835427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5621996</v>
      </c>
      <c r="AO755" s="1">
        <v>0</v>
      </c>
      <c r="AP755" s="1">
        <v>0</v>
      </c>
      <c r="AQ755" s="1">
        <v>0</v>
      </c>
      <c r="AR755" s="1">
        <v>73624201</v>
      </c>
      <c r="AS755" s="1">
        <v>29838226</v>
      </c>
      <c r="AT755" s="1">
        <v>43785975</v>
      </c>
      <c r="AU755" s="1">
        <v>14357755</v>
      </c>
      <c r="AV755" s="1">
        <v>2153663</v>
      </c>
      <c r="AW755" s="1">
        <f t="shared" si="79"/>
        <v>90135619</v>
      </c>
    </row>
    <row r="756" spans="1:49" x14ac:dyDescent="0.2">
      <c r="A756" s="1" t="str">
        <f>"00873"</f>
        <v>00873</v>
      </c>
      <c r="B756" s="1" t="str">
        <f>"علي"</f>
        <v>علي</v>
      </c>
      <c r="C756" s="1" t="str">
        <f>"شهرياري"</f>
        <v>شهرياري</v>
      </c>
      <c r="D756" s="1" t="str">
        <f t="shared" si="80"/>
        <v>قراردادي بهره بردار</v>
      </c>
      <c r="E756" s="1" t="str">
        <f t="shared" si="82"/>
        <v>پروژه تعميرات نيروگاه بوشهر</v>
      </c>
      <c r="F756" s="1">
        <v>17796100</v>
      </c>
      <c r="G756" s="1">
        <v>0</v>
      </c>
      <c r="H756" s="1">
        <v>0</v>
      </c>
      <c r="I756" s="1">
        <v>4053499</v>
      </c>
      <c r="J756" s="1">
        <v>0</v>
      </c>
      <c r="K756" s="1">
        <v>14042623</v>
      </c>
      <c r="L756" s="1">
        <v>0</v>
      </c>
      <c r="M756" s="1">
        <v>4620000</v>
      </c>
      <c r="N756" s="1">
        <v>0</v>
      </c>
      <c r="O756" s="1">
        <v>1000000</v>
      </c>
      <c r="P756" s="1">
        <v>3327699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1848000</v>
      </c>
      <c r="W756" s="1">
        <v>0</v>
      </c>
      <c r="X756" s="1">
        <v>9969598</v>
      </c>
      <c r="Y756" s="1">
        <v>4000000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2614621</v>
      </c>
      <c r="AH756" s="1">
        <v>1835427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9693231</v>
      </c>
      <c r="AO756" s="1">
        <v>0</v>
      </c>
      <c r="AP756" s="1">
        <v>0</v>
      </c>
      <c r="AQ756" s="1">
        <v>0</v>
      </c>
      <c r="AR756" s="1">
        <v>74800798</v>
      </c>
      <c r="AS756" s="1">
        <v>28147133</v>
      </c>
      <c r="AT756" s="1">
        <v>46653665</v>
      </c>
      <c r="AU756" s="1">
        <v>14593074</v>
      </c>
      <c r="AV756" s="1">
        <v>2188961</v>
      </c>
      <c r="AW756" s="1">
        <f t="shared" si="79"/>
        <v>91582833</v>
      </c>
    </row>
    <row r="757" spans="1:49" x14ac:dyDescent="0.2">
      <c r="A757" s="1" t="str">
        <f>"00874"</f>
        <v>00874</v>
      </c>
      <c r="B757" s="1" t="str">
        <f>"مجيد"</f>
        <v>مجيد</v>
      </c>
      <c r="C757" s="1" t="str">
        <f>"صادقي"</f>
        <v>صادقي</v>
      </c>
      <c r="D757" s="1" t="str">
        <f t="shared" si="80"/>
        <v>قراردادي بهره بردار</v>
      </c>
      <c r="E757" s="1" t="str">
        <f t="shared" si="82"/>
        <v>پروژه تعميرات نيروگاه بوشهر</v>
      </c>
      <c r="F757" s="1">
        <v>21156801</v>
      </c>
      <c r="G757" s="1">
        <v>0</v>
      </c>
      <c r="H757" s="1">
        <v>0</v>
      </c>
      <c r="I757" s="1">
        <v>0</v>
      </c>
      <c r="J757" s="1">
        <v>0</v>
      </c>
      <c r="K757" s="1">
        <v>16301594</v>
      </c>
      <c r="L757" s="1">
        <v>0</v>
      </c>
      <c r="M757" s="1">
        <v>7883333</v>
      </c>
      <c r="N757" s="1">
        <v>0</v>
      </c>
      <c r="O757" s="1">
        <v>1000000</v>
      </c>
      <c r="P757" s="1">
        <v>3542844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1848000</v>
      </c>
      <c r="W757" s="1">
        <v>0</v>
      </c>
      <c r="X757" s="1">
        <v>19374786</v>
      </c>
      <c r="Y757" s="1">
        <v>4000000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2783664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7201374</v>
      </c>
      <c r="AO757" s="1">
        <v>0</v>
      </c>
      <c r="AP757" s="1">
        <v>0</v>
      </c>
      <c r="AQ757" s="1">
        <v>0</v>
      </c>
      <c r="AR757" s="1">
        <v>85092396</v>
      </c>
      <c r="AS757" s="1">
        <v>32079270</v>
      </c>
      <c r="AT757" s="1">
        <v>53013126</v>
      </c>
      <c r="AU757" s="1">
        <v>17018479</v>
      </c>
      <c r="AV757" s="1">
        <v>2552772</v>
      </c>
      <c r="AW757" s="1">
        <f t="shared" si="79"/>
        <v>104663647</v>
      </c>
    </row>
    <row r="758" spans="1:49" x14ac:dyDescent="0.2">
      <c r="A758" s="1" t="str">
        <f>"00875"</f>
        <v>00875</v>
      </c>
      <c r="B758" s="1" t="str">
        <f>"امين"</f>
        <v>امين</v>
      </c>
      <c r="C758" s="1" t="str">
        <f>"عطايي"</f>
        <v>عطايي</v>
      </c>
      <c r="D758" s="1" t="str">
        <f t="shared" si="80"/>
        <v>قراردادي بهره بردار</v>
      </c>
      <c r="E758" s="1" t="str">
        <f t="shared" si="82"/>
        <v>پروژه تعميرات نيروگاه بوشهر</v>
      </c>
      <c r="F758" s="1">
        <v>24331077</v>
      </c>
      <c r="G758" s="1">
        <v>0</v>
      </c>
      <c r="H758" s="1">
        <v>0</v>
      </c>
      <c r="I758" s="1">
        <v>5582281</v>
      </c>
      <c r="J758" s="1">
        <v>0</v>
      </c>
      <c r="K758" s="1">
        <v>19122129</v>
      </c>
      <c r="L758" s="1">
        <v>0</v>
      </c>
      <c r="M758" s="1">
        <v>5500000</v>
      </c>
      <c r="N758" s="1">
        <v>0</v>
      </c>
      <c r="O758" s="1">
        <v>1000000</v>
      </c>
      <c r="P758" s="1">
        <v>4217378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1848000</v>
      </c>
      <c r="W758" s="1">
        <v>0</v>
      </c>
      <c r="X758" s="1">
        <v>9578712</v>
      </c>
      <c r="Y758" s="1">
        <v>4000000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3313654</v>
      </c>
      <c r="AH758" s="1">
        <v>1835427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5361126</v>
      </c>
      <c r="AO758" s="1">
        <v>0</v>
      </c>
      <c r="AP758" s="1">
        <v>0</v>
      </c>
      <c r="AQ758" s="1">
        <v>0</v>
      </c>
      <c r="AR758" s="1">
        <v>85689784</v>
      </c>
      <c r="AS758" s="1">
        <v>33135011</v>
      </c>
      <c r="AT758" s="1">
        <v>52554773</v>
      </c>
      <c r="AU758" s="1">
        <v>16770871</v>
      </c>
      <c r="AV758" s="1">
        <v>2515631</v>
      </c>
      <c r="AW758" s="1">
        <f t="shared" si="79"/>
        <v>104976286</v>
      </c>
    </row>
    <row r="759" spans="1:49" x14ac:dyDescent="0.2">
      <c r="A759" s="1" t="str">
        <f>"00876"</f>
        <v>00876</v>
      </c>
      <c r="B759" s="1" t="str">
        <f>"يحيي"</f>
        <v>يحيي</v>
      </c>
      <c r="C759" s="1" t="str">
        <f>"غلامي"</f>
        <v>غلامي</v>
      </c>
      <c r="D759" s="1" t="str">
        <f t="shared" si="80"/>
        <v>قراردادي بهره بردار</v>
      </c>
      <c r="E759" s="1" t="str">
        <f t="shared" si="82"/>
        <v>پروژه تعميرات نيروگاه بوشهر</v>
      </c>
      <c r="F759" s="1">
        <v>21514537</v>
      </c>
      <c r="G759" s="1">
        <v>0</v>
      </c>
      <c r="H759" s="1">
        <v>0</v>
      </c>
      <c r="I759" s="1">
        <v>0</v>
      </c>
      <c r="J759" s="1">
        <v>0</v>
      </c>
      <c r="K759" s="1">
        <v>18054375</v>
      </c>
      <c r="L759" s="1">
        <v>0</v>
      </c>
      <c r="M759" s="1">
        <v>5500000</v>
      </c>
      <c r="N759" s="1">
        <v>0</v>
      </c>
      <c r="O759" s="1">
        <v>1000000</v>
      </c>
      <c r="P759" s="1">
        <v>3668052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1848000</v>
      </c>
      <c r="W759" s="1">
        <v>0</v>
      </c>
      <c r="X759" s="1">
        <v>11994568</v>
      </c>
      <c r="Y759" s="1">
        <v>4000000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2882041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8401754</v>
      </c>
      <c r="AO759" s="1">
        <v>0</v>
      </c>
      <c r="AP759" s="1">
        <v>0</v>
      </c>
      <c r="AQ759" s="1">
        <v>0</v>
      </c>
      <c r="AR759" s="1">
        <v>78863327</v>
      </c>
      <c r="AS759" s="1">
        <v>36856359</v>
      </c>
      <c r="AT759" s="1">
        <v>42006968</v>
      </c>
      <c r="AU759" s="1">
        <v>15772665</v>
      </c>
      <c r="AV759" s="1">
        <v>2365900</v>
      </c>
      <c r="AW759" s="1">
        <f t="shared" si="79"/>
        <v>97001892</v>
      </c>
    </row>
    <row r="760" spans="1:49" x14ac:dyDescent="0.2">
      <c r="A760" s="1" t="str">
        <f>"00877"</f>
        <v>00877</v>
      </c>
      <c r="B760" s="1" t="str">
        <f>"مجتبي"</f>
        <v>مجتبي</v>
      </c>
      <c r="C760" s="1" t="str">
        <f>"محمدپور شورباخلو"</f>
        <v>محمدپور شورباخلو</v>
      </c>
      <c r="D760" s="1" t="str">
        <f t="shared" si="80"/>
        <v>قراردادي بهره بردار</v>
      </c>
      <c r="E760" s="1" t="str">
        <f t="shared" si="82"/>
        <v>پروژه تعميرات نيروگاه بوشهر</v>
      </c>
      <c r="F760" s="1">
        <v>21962967</v>
      </c>
      <c r="G760" s="1">
        <v>0</v>
      </c>
      <c r="H760" s="1">
        <v>0</v>
      </c>
      <c r="I760" s="1">
        <v>0</v>
      </c>
      <c r="J760" s="1">
        <v>0</v>
      </c>
      <c r="K760" s="1">
        <v>17813961</v>
      </c>
      <c r="L760" s="1">
        <v>0</v>
      </c>
      <c r="M760" s="1">
        <v>4125000</v>
      </c>
      <c r="N760" s="1">
        <v>0</v>
      </c>
      <c r="O760" s="1">
        <v>1000000</v>
      </c>
      <c r="P760" s="1">
        <v>3825002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1848000</v>
      </c>
      <c r="W760" s="1">
        <v>0</v>
      </c>
      <c r="X760" s="1">
        <v>11700167</v>
      </c>
      <c r="Y760" s="1">
        <v>4000000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3005359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6575286</v>
      </c>
      <c r="AO760" s="1">
        <v>0</v>
      </c>
      <c r="AP760" s="1">
        <v>0</v>
      </c>
      <c r="AQ760" s="1">
        <v>0</v>
      </c>
      <c r="AR760" s="1">
        <v>75855742</v>
      </c>
      <c r="AS760" s="1">
        <v>26191348</v>
      </c>
      <c r="AT760" s="1">
        <v>49664394</v>
      </c>
      <c r="AU760" s="1">
        <v>15171148</v>
      </c>
      <c r="AV760" s="1">
        <v>2275672</v>
      </c>
      <c r="AW760" s="1">
        <f t="shared" si="79"/>
        <v>93302562</v>
      </c>
    </row>
    <row r="761" spans="1:49" x14ac:dyDescent="0.2">
      <c r="A761" s="1" t="str">
        <f>"00878"</f>
        <v>00878</v>
      </c>
      <c r="B761" s="1" t="str">
        <f>"سجاد"</f>
        <v>سجاد</v>
      </c>
      <c r="C761" s="1" t="str">
        <f>"محمدي"</f>
        <v>محمدي</v>
      </c>
      <c r="D761" s="1" t="str">
        <f t="shared" si="80"/>
        <v>قراردادي بهره بردار</v>
      </c>
      <c r="E761" s="1" t="str">
        <f t="shared" si="82"/>
        <v>پروژه تعميرات نيروگاه بوشهر</v>
      </c>
      <c r="F761" s="1">
        <v>21557365</v>
      </c>
      <c r="G761" s="1">
        <v>0</v>
      </c>
      <c r="H761" s="1">
        <v>0</v>
      </c>
      <c r="I761" s="1">
        <v>0</v>
      </c>
      <c r="J761" s="1">
        <v>0</v>
      </c>
      <c r="K761" s="1">
        <v>15848274</v>
      </c>
      <c r="L761" s="1">
        <v>0</v>
      </c>
      <c r="M761" s="1">
        <v>4125000</v>
      </c>
      <c r="N761" s="1">
        <v>0</v>
      </c>
      <c r="O761" s="1">
        <v>1000000</v>
      </c>
      <c r="P761" s="1">
        <v>3683042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1848000</v>
      </c>
      <c r="W761" s="1">
        <v>0</v>
      </c>
      <c r="X761" s="1">
        <v>9801465</v>
      </c>
      <c r="Y761" s="1">
        <v>4000000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2893819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5645172</v>
      </c>
      <c r="AO761" s="1">
        <v>0</v>
      </c>
      <c r="AP761" s="1">
        <v>0</v>
      </c>
      <c r="AQ761" s="1">
        <v>0</v>
      </c>
      <c r="AR761" s="1">
        <v>70402137</v>
      </c>
      <c r="AS761" s="1">
        <v>29967712</v>
      </c>
      <c r="AT761" s="1">
        <v>40434425</v>
      </c>
      <c r="AU761" s="1">
        <v>14080427</v>
      </c>
      <c r="AV761" s="1">
        <v>2112064</v>
      </c>
      <c r="AW761" s="1">
        <f t="shared" si="79"/>
        <v>86594628</v>
      </c>
    </row>
    <row r="762" spans="1:49" x14ac:dyDescent="0.2">
      <c r="A762" s="1" t="str">
        <f>"00879"</f>
        <v>00879</v>
      </c>
      <c r="B762" s="1" t="str">
        <f>"ايوب"</f>
        <v>ايوب</v>
      </c>
      <c r="C762" s="1" t="str">
        <f>"محمودآبادي"</f>
        <v>محمودآبادي</v>
      </c>
      <c r="D762" s="1" t="str">
        <f t="shared" si="80"/>
        <v>قراردادي بهره بردار</v>
      </c>
      <c r="E762" s="1" t="str">
        <f t="shared" si="82"/>
        <v>پروژه تعميرات نيروگاه بوشهر</v>
      </c>
      <c r="F762" s="1">
        <v>16392868</v>
      </c>
      <c r="G762" s="1">
        <v>0</v>
      </c>
      <c r="H762" s="1">
        <v>0</v>
      </c>
      <c r="I762" s="1">
        <v>0</v>
      </c>
      <c r="J762" s="1">
        <v>0</v>
      </c>
      <c r="K762" s="1">
        <v>13618977</v>
      </c>
      <c r="L762" s="1">
        <v>0</v>
      </c>
      <c r="M762" s="1">
        <v>3465000</v>
      </c>
      <c r="N762" s="1">
        <v>0</v>
      </c>
      <c r="O762" s="1">
        <v>1000000</v>
      </c>
      <c r="P762" s="1">
        <v>3114318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1848000</v>
      </c>
      <c r="W762" s="1">
        <v>0</v>
      </c>
      <c r="X762" s="1">
        <v>9879276</v>
      </c>
      <c r="Y762" s="1">
        <v>4000000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2446963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9332674</v>
      </c>
      <c r="AO762" s="1">
        <v>0</v>
      </c>
      <c r="AP762" s="1">
        <v>0</v>
      </c>
      <c r="AQ762" s="1">
        <v>0</v>
      </c>
      <c r="AR762" s="1">
        <v>65098076</v>
      </c>
      <c r="AS762" s="1">
        <v>19407792</v>
      </c>
      <c r="AT762" s="1">
        <v>45690284</v>
      </c>
      <c r="AU762" s="1">
        <v>13019615</v>
      </c>
      <c r="AV762" s="1">
        <v>1952942</v>
      </c>
      <c r="AW762" s="1">
        <f t="shared" si="79"/>
        <v>80070633</v>
      </c>
    </row>
    <row r="763" spans="1:49" x14ac:dyDescent="0.2">
      <c r="A763" s="1" t="str">
        <f>"00880"</f>
        <v>00880</v>
      </c>
      <c r="B763" s="1" t="str">
        <f>"جاويد"</f>
        <v>جاويد</v>
      </c>
      <c r="C763" s="1" t="str">
        <f>"ميرشکاري"</f>
        <v>ميرشکاري</v>
      </c>
      <c r="D763" s="1" t="str">
        <f t="shared" si="80"/>
        <v>قراردادي بهره بردار</v>
      </c>
      <c r="E763" s="1" t="str">
        <f t="shared" si="82"/>
        <v>پروژه تعميرات نيروگاه بوشهر</v>
      </c>
      <c r="F763" s="1">
        <v>15008328</v>
      </c>
      <c r="G763" s="1">
        <v>0</v>
      </c>
      <c r="H763" s="1">
        <v>0</v>
      </c>
      <c r="I763" s="1">
        <v>1779092</v>
      </c>
      <c r="J763" s="1">
        <v>0</v>
      </c>
      <c r="K763" s="1">
        <v>12320911</v>
      </c>
      <c r="L763" s="1">
        <v>0</v>
      </c>
      <c r="M763" s="1">
        <v>3353226</v>
      </c>
      <c r="N763" s="1">
        <v>0</v>
      </c>
      <c r="O763" s="1">
        <v>967742</v>
      </c>
      <c r="P763" s="1">
        <v>2714347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1848000</v>
      </c>
      <c r="W763" s="1">
        <v>0</v>
      </c>
      <c r="X763" s="1">
        <v>16796395</v>
      </c>
      <c r="Y763" s="1">
        <v>3870968</v>
      </c>
      <c r="Z763" s="1">
        <v>2223865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2132701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12024752</v>
      </c>
      <c r="AO763" s="1">
        <v>0</v>
      </c>
      <c r="AP763" s="1">
        <v>0</v>
      </c>
      <c r="AQ763" s="1">
        <v>0</v>
      </c>
      <c r="AR763" s="1">
        <v>75040327</v>
      </c>
      <c r="AS763" s="1">
        <v>25646857</v>
      </c>
      <c r="AT763" s="1">
        <v>49393470</v>
      </c>
      <c r="AU763" s="1">
        <v>15008065</v>
      </c>
      <c r="AV763" s="1">
        <v>2251210</v>
      </c>
      <c r="AW763" s="1">
        <f t="shared" si="79"/>
        <v>92299602</v>
      </c>
    </row>
    <row r="764" spans="1:49" x14ac:dyDescent="0.2">
      <c r="A764" s="1" t="str">
        <f>"00882"</f>
        <v>00882</v>
      </c>
      <c r="B764" s="1" t="str">
        <f>"امين"</f>
        <v>امين</v>
      </c>
      <c r="C764" s="1" t="str">
        <f>"يزدي"</f>
        <v>يزدي</v>
      </c>
      <c r="D764" s="1" t="str">
        <f t="shared" si="80"/>
        <v>قراردادي بهره بردار</v>
      </c>
      <c r="E764" s="1" t="str">
        <f t="shared" si="82"/>
        <v>پروژه تعميرات نيروگاه بوشهر</v>
      </c>
      <c r="F764" s="1">
        <v>21935255</v>
      </c>
      <c r="G764" s="1">
        <v>0</v>
      </c>
      <c r="H764" s="1">
        <v>0</v>
      </c>
      <c r="I764" s="1">
        <v>0</v>
      </c>
      <c r="J764" s="1">
        <v>0</v>
      </c>
      <c r="K764" s="1">
        <v>16223235</v>
      </c>
      <c r="L764" s="1">
        <v>0</v>
      </c>
      <c r="M764" s="1">
        <v>5500000</v>
      </c>
      <c r="N764" s="1">
        <v>0</v>
      </c>
      <c r="O764" s="1">
        <v>1000000</v>
      </c>
      <c r="P764" s="1">
        <v>3815303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1848000</v>
      </c>
      <c r="W764" s="1">
        <v>0</v>
      </c>
      <c r="X764" s="1">
        <v>10138960</v>
      </c>
      <c r="Y764" s="1">
        <v>4000000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2997738</v>
      </c>
      <c r="AH764" s="1">
        <v>3670854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5723270</v>
      </c>
      <c r="AO764" s="1">
        <v>0</v>
      </c>
      <c r="AP764" s="1">
        <v>0</v>
      </c>
      <c r="AQ764" s="1">
        <v>0</v>
      </c>
      <c r="AR764" s="1">
        <v>76852615</v>
      </c>
      <c r="AS764" s="1">
        <v>34442634</v>
      </c>
      <c r="AT764" s="1">
        <v>42409981</v>
      </c>
      <c r="AU764" s="1">
        <v>14636352</v>
      </c>
      <c r="AV764" s="1">
        <v>2195453</v>
      </c>
      <c r="AW764" s="1">
        <f t="shared" si="79"/>
        <v>93684420</v>
      </c>
    </row>
    <row r="765" spans="1:49" x14ac:dyDescent="0.2">
      <c r="A765" s="1" t="str">
        <f>"00883"</f>
        <v>00883</v>
      </c>
      <c r="B765" s="1" t="str">
        <f>"حميد"</f>
        <v>حميد</v>
      </c>
      <c r="C765" s="1" t="str">
        <f>"بادروح"</f>
        <v>بادروح</v>
      </c>
      <c r="D765" s="1" t="str">
        <f t="shared" si="80"/>
        <v>قراردادي بهره بردار</v>
      </c>
      <c r="E765" s="1" t="str">
        <f t="shared" si="82"/>
        <v>پروژه تعميرات نيروگاه بوشهر</v>
      </c>
      <c r="F765" s="1">
        <v>21499422</v>
      </c>
      <c r="G765" s="1">
        <v>0</v>
      </c>
      <c r="H765" s="1">
        <v>0</v>
      </c>
      <c r="I765" s="1">
        <v>4099985</v>
      </c>
      <c r="J765" s="1">
        <v>0</v>
      </c>
      <c r="K765" s="1">
        <v>15993804</v>
      </c>
      <c r="L765" s="1">
        <v>0</v>
      </c>
      <c r="M765" s="1">
        <v>4125000</v>
      </c>
      <c r="N765" s="1">
        <v>0</v>
      </c>
      <c r="O765" s="1">
        <v>1000000</v>
      </c>
      <c r="P765" s="1">
        <v>3662762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1848000</v>
      </c>
      <c r="W765" s="1">
        <v>0</v>
      </c>
      <c r="X765" s="1">
        <v>8335925</v>
      </c>
      <c r="Y765" s="1">
        <v>4000000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2877884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5732843</v>
      </c>
      <c r="AO765" s="1">
        <v>0</v>
      </c>
      <c r="AP765" s="1">
        <v>0</v>
      </c>
      <c r="AQ765" s="1">
        <v>0</v>
      </c>
      <c r="AR765" s="1">
        <v>73175625</v>
      </c>
      <c r="AS765" s="1">
        <v>26266479</v>
      </c>
      <c r="AT765" s="1">
        <v>46909146</v>
      </c>
      <c r="AU765" s="1">
        <v>14635125</v>
      </c>
      <c r="AV765" s="1">
        <v>2195269</v>
      </c>
      <c r="AW765" s="1">
        <f t="shared" si="79"/>
        <v>90006019</v>
      </c>
    </row>
    <row r="766" spans="1:49" x14ac:dyDescent="0.2">
      <c r="A766" s="1" t="str">
        <f>"00884"</f>
        <v>00884</v>
      </c>
      <c r="B766" s="1" t="str">
        <f>"صادق"</f>
        <v>صادق</v>
      </c>
      <c r="C766" s="1" t="str">
        <f>"بناري"</f>
        <v>بناري</v>
      </c>
      <c r="D766" s="1" t="str">
        <f t="shared" si="80"/>
        <v>قراردادي بهره بردار</v>
      </c>
      <c r="E766" s="1" t="str">
        <f t="shared" si="82"/>
        <v>پروژه تعميرات نيروگاه بوشهر</v>
      </c>
      <c r="F766" s="1">
        <v>22275356</v>
      </c>
      <c r="G766" s="1">
        <v>0</v>
      </c>
      <c r="H766" s="1">
        <v>0</v>
      </c>
      <c r="I766" s="1">
        <v>4362719</v>
      </c>
      <c r="J766" s="1">
        <v>0</v>
      </c>
      <c r="K766" s="1">
        <v>17730088</v>
      </c>
      <c r="L766" s="1">
        <v>0</v>
      </c>
      <c r="M766" s="1">
        <v>4125000</v>
      </c>
      <c r="N766" s="1">
        <v>0</v>
      </c>
      <c r="O766" s="1">
        <v>1000000</v>
      </c>
      <c r="P766" s="1">
        <v>3934339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1848000</v>
      </c>
      <c r="W766" s="1">
        <v>0</v>
      </c>
      <c r="X766" s="1">
        <v>8870106</v>
      </c>
      <c r="Y766" s="1">
        <v>4000000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3091266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5924811</v>
      </c>
      <c r="AO766" s="1">
        <v>0</v>
      </c>
      <c r="AP766" s="1">
        <v>0</v>
      </c>
      <c r="AQ766" s="1">
        <v>0</v>
      </c>
      <c r="AR766" s="1">
        <v>77161685</v>
      </c>
      <c r="AS766" s="1">
        <v>31296250</v>
      </c>
      <c r="AT766" s="1">
        <v>45865435</v>
      </c>
      <c r="AU766" s="1">
        <v>15432337</v>
      </c>
      <c r="AV766" s="1">
        <v>2314851</v>
      </c>
      <c r="AW766" s="1">
        <f t="shared" si="79"/>
        <v>94908873</v>
      </c>
    </row>
    <row r="767" spans="1:49" x14ac:dyDescent="0.2">
      <c r="A767" s="1" t="str">
        <f>"00886"</f>
        <v>00886</v>
      </c>
      <c r="B767" s="1" t="str">
        <f>"سيد محمد علي"</f>
        <v>سيد محمد علي</v>
      </c>
      <c r="C767" s="1" t="str">
        <f>"مير بهرسي"</f>
        <v>مير بهرسي</v>
      </c>
      <c r="D767" s="1" t="str">
        <f>"قراردادي کارگري"</f>
        <v>قراردادي کارگري</v>
      </c>
      <c r="E767" s="1" t="str">
        <f t="shared" si="82"/>
        <v>پروژه تعميرات نيروگاه بوشهر</v>
      </c>
      <c r="F767" s="1">
        <v>0</v>
      </c>
      <c r="G767" s="1">
        <v>6265092</v>
      </c>
      <c r="H767" s="1">
        <v>3257848</v>
      </c>
      <c r="I767" s="1">
        <v>0</v>
      </c>
      <c r="J767" s="1">
        <v>0</v>
      </c>
      <c r="K767" s="1">
        <v>6856516</v>
      </c>
      <c r="L767" s="1">
        <v>0</v>
      </c>
      <c r="M767" s="1">
        <v>0</v>
      </c>
      <c r="N767" s="1">
        <v>11521166</v>
      </c>
      <c r="O767" s="1">
        <v>2000000</v>
      </c>
      <c r="P767" s="1">
        <v>5012074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2640000</v>
      </c>
      <c r="W767" s="1">
        <v>0</v>
      </c>
      <c r="X767" s="1">
        <v>12222717</v>
      </c>
      <c r="Y767" s="1">
        <v>4000000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3670854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57446267</v>
      </c>
      <c r="AS767" s="1">
        <v>11474242</v>
      </c>
      <c r="AT767" s="1">
        <v>45972025</v>
      </c>
      <c r="AU767" s="1">
        <v>10755083</v>
      </c>
      <c r="AV767" s="1">
        <v>1613262</v>
      </c>
      <c r="AW767" s="1">
        <f t="shared" si="79"/>
        <v>69814612</v>
      </c>
    </row>
    <row r="768" spans="1:49" x14ac:dyDescent="0.2">
      <c r="A768" s="1" t="str">
        <f>"00887"</f>
        <v>00887</v>
      </c>
      <c r="B768" s="1" t="str">
        <f>"عبدالحسين"</f>
        <v>عبدالحسين</v>
      </c>
      <c r="C768" s="1" t="str">
        <f>"بچاچري نژاد"</f>
        <v>بچاچري نژاد</v>
      </c>
      <c r="D768" s="1" t="str">
        <f>"قراردادي کارگري"</f>
        <v>قراردادي کارگري</v>
      </c>
      <c r="E768" s="1" t="str">
        <f t="shared" si="82"/>
        <v>پروژه تعميرات نيروگاه بوشهر</v>
      </c>
      <c r="F768" s="1">
        <v>0</v>
      </c>
      <c r="G768" s="1">
        <v>7570514</v>
      </c>
      <c r="H768" s="1">
        <v>3785257</v>
      </c>
      <c r="I768" s="1">
        <v>4242538</v>
      </c>
      <c r="J768" s="1">
        <v>0</v>
      </c>
      <c r="K768" s="1">
        <v>8176155</v>
      </c>
      <c r="L768" s="1">
        <v>0</v>
      </c>
      <c r="M768" s="1">
        <v>0</v>
      </c>
      <c r="N768" s="1">
        <v>11521166</v>
      </c>
      <c r="O768" s="1">
        <v>2000000</v>
      </c>
      <c r="P768" s="1">
        <v>6056411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2640000</v>
      </c>
      <c r="W768" s="1">
        <v>0</v>
      </c>
      <c r="X768" s="1">
        <v>12992851</v>
      </c>
      <c r="Y768" s="1">
        <v>4000000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5506281</v>
      </c>
      <c r="AI768" s="1">
        <v>0</v>
      </c>
      <c r="AJ768" s="1">
        <v>0</v>
      </c>
      <c r="AK768" s="1">
        <v>0</v>
      </c>
      <c r="AL768" s="1">
        <v>4525374</v>
      </c>
      <c r="AM768" s="1">
        <v>0</v>
      </c>
      <c r="AN768" s="1">
        <v>0</v>
      </c>
      <c r="AO768" s="1">
        <v>0</v>
      </c>
      <c r="AP768" s="1">
        <v>3710950</v>
      </c>
      <c r="AQ768" s="1">
        <v>0</v>
      </c>
      <c r="AR768" s="1">
        <v>76727497</v>
      </c>
      <c r="AS768" s="1">
        <v>8495686</v>
      </c>
      <c r="AT768" s="1">
        <v>68231811</v>
      </c>
      <c r="AU768" s="1">
        <v>14244243</v>
      </c>
      <c r="AV768" s="1">
        <v>2136636</v>
      </c>
      <c r="AW768" s="1">
        <f t="shared" si="79"/>
        <v>93108376</v>
      </c>
    </row>
    <row r="769" spans="1:49" x14ac:dyDescent="0.2">
      <c r="A769" s="1" t="str">
        <f>"00888"</f>
        <v>00888</v>
      </c>
      <c r="B769" s="1" t="str">
        <f>"جواد"</f>
        <v>جواد</v>
      </c>
      <c r="C769" s="1" t="str">
        <f>"رحيم زاده کچوئي"</f>
        <v>رحيم زاده کچوئي</v>
      </c>
      <c r="D769" s="1" t="str">
        <f>"قراردادي بهره بردار"</f>
        <v>قراردادي بهره بردار</v>
      </c>
      <c r="E769" s="1" t="str">
        <f t="shared" si="82"/>
        <v>پروژه تعميرات نيروگاه بوشهر</v>
      </c>
      <c r="F769" s="1">
        <v>18045507</v>
      </c>
      <c r="G769" s="1">
        <v>0</v>
      </c>
      <c r="H769" s="1">
        <v>0</v>
      </c>
      <c r="I769" s="1">
        <v>6043594</v>
      </c>
      <c r="J769" s="1">
        <v>0</v>
      </c>
      <c r="K769" s="1">
        <v>13130578</v>
      </c>
      <c r="L769" s="1">
        <v>0</v>
      </c>
      <c r="M769" s="1">
        <v>4620000</v>
      </c>
      <c r="N769" s="1">
        <v>0</v>
      </c>
      <c r="O769" s="1">
        <v>1000000</v>
      </c>
      <c r="P769" s="1">
        <v>3004981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1848000</v>
      </c>
      <c r="W769" s="1">
        <v>0</v>
      </c>
      <c r="X769" s="1">
        <v>9652767</v>
      </c>
      <c r="Y769" s="1">
        <v>4000000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2361057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7334090</v>
      </c>
      <c r="AO769" s="1">
        <v>0</v>
      </c>
      <c r="AP769" s="1">
        <v>0</v>
      </c>
      <c r="AQ769" s="1">
        <v>0</v>
      </c>
      <c r="AR769" s="1">
        <v>71040574</v>
      </c>
      <c r="AS769" s="1">
        <v>24135858</v>
      </c>
      <c r="AT769" s="1">
        <v>46904716</v>
      </c>
      <c r="AU769" s="1">
        <v>14208115</v>
      </c>
      <c r="AV769" s="1">
        <v>2131217</v>
      </c>
      <c r="AW769" s="1">
        <f t="shared" si="79"/>
        <v>87379906</v>
      </c>
    </row>
    <row r="770" spans="1:49" x14ac:dyDescent="0.2">
      <c r="A770" s="1" t="str">
        <f>"00890"</f>
        <v>00890</v>
      </c>
      <c r="B770" s="1" t="str">
        <f>"محمدرضا"</f>
        <v>محمدرضا</v>
      </c>
      <c r="C770" s="1" t="str">
        <f>"راه پيماي فرد حقيقي"</f>
        <v>راه پيماي فرد حقيقي</v>
      </c>
      <c r="D770" s="1" t="str">
        <f>"قراردادي کارگري"</f>
        <v>قراردادي کارگري</v>
      </c>
      <c r="E770" s="1" t="str">
        <f t="shared" si="82"/>
        <v>پروژه تعميرات نيروگاه بوشهر</v>
      </c>
      <c r="F770" s="1">
        <v>0</v>
      </c>
      <c r="G770" s="1">
        <v>7500330</v>
      </c>
      <c r="H770" s="1">
        <v>3825169</v>
      </c>
      <c r="I770" s="1">
        <v>3172025</v>
      </c>
      <c r="J770" s="1">
        <v>0</v>
      </c>
      <c r="K770" s="1">
        <v>6795299</v>
      </c>
      <c r="L770" s="1">
        <v>0</v>
      </c>
      <c r="M770" s="1">
        <v>0</v>
      </c>
      <c r="N770" s="1">
        <v>11521166</v>
      </c>
      <c r="O770" s="1">
        <v>2000000</v>
      </c>
      <c r="P770" s="1">
        <v>6000264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2640000</v>
      </c>
      <c r="W770" s="1">
        <v>0</v>
      </c>
      <c r="X770" s="1">
        <v>9309895</v>
      </c>
      <c r="Y770" s="1">
        <v>4000000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1835427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58599575</v>
      </c>
      <c r="AS770" s="1">
        <v>10279924</v>
      </c>
      <c r="AT770" s="1">
        <v>48319651</v>
      </c>
      <c r="AU770" s="1">
        <v>11352830</v>
      </c>
      <c r="AV770" s="1">
        <v>1702924</v>
      </c>
      <c r="AW770" s="1">
        <f t="shared" si="79"/>
        <v>71655329</v>
      </c>
    </row>
    <row r="771" spans="1:49" x14ac:dyDescent="0.2">
      <c r="A771" s="1" t="str">
        <f>"00891"</f>
        <v>00891</v>
      </c>
      <c r="B771" s="1" t="str">
        <f>"غلامرضا"</f>
        <v>غلامرضا</v>
      </c>
      <c r="C771" s="1" t="str">
        <f>"مسافر"</f>
        <v>مسافر</v>
      </c>
      <c r="D771" s="1" t="str">
        <f>"قراردادي کارگري"</f>
        <v>قراردادي کارگري</v>
      </c>
      <c r="E771" s="1" t="str">
        <f t="shared" si="82"/>
        <v>پروژه تعميرات نيروگاه بوشهر</v>
      </c>
      <c r="F771" s="1">
        <v>0</v>
      </c>
      <c r="G771" s="1">
        <v>4482418</v>
      </c>
      <c r="H771" s="1">
        <v>2286033</v>
      </c>
      <c r="I771" s="1">
        <v>0</v>
      </c>
      <c r="J771" s="1">
        <v>0</v>
      </c>
      <c r="K771" s="1">
        <v>4061071</v>
      </c>
      <c r="L771" s="1">
        <v>0</v>
      </c>
      <c r="M771" s="1">
        <v>0</v>
      </c>
      <c r="N771" s="1">
        <v>11572430</v>
      </c>
      <c r="O771" s="1">
        <v>2000000</v>
      </c>
      <c r="P771" s="1">
        <v>3361813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2640000</v>
      </c>
      <c r="W771" s="1">
        <v>0</v>
      </c>
      <c r="X771" s="1">
        <v>9908768</v>
      </c>
      <c r="Y771" s="1">
        <v>4000000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1835427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46147960</v>
      </c>
      <c r="AS771" s="1">
        <v>5081685</v>
      </c>
      <c r="AT771" s="1">
        <v>41066275</v>
      </c>
      <c r="AU771" s="1">
        <v>8862507</v>
      </c>
      <c r="AV771" s="1">
        <v>1329376</v>
      </c>
      <c r="AW771" s="1">
        <f t="shared" ref="AW771:AW834" si="83">AR771+AU771+AV771</f>
        <v>56339843</v>
      </c>
    </row>
    <row r="772" spans="1:49" x14ac:dyDescent="0.2">
      <c r="A772" s="1" t="str">
        <f>"00892"</f>
        <v>00892</v>
      </c>
      <c r="B772" s="1" t="str">
        <f>"اسلام"</f>
        <v>اسلام</v>
      </c>
      <c r="C772" s="1" t="str">
        <f>"دست نشان"</f>
        <v>دست نشان</v>
      </c>
      <c r="D772" s="1" t="str">
        <f>"قراردادي کارگري"</f>
        <v>قراردادي کارگري</v>
      </c>
      <c r="E772" s="1" t="str">
        <f t="shared" si="82"/>
        <v>پروژه تعميرات نيروگاه بوشهر</v>
      </c>
      <c r="F772" s="1">
        <v>0</v>
      </c>
      <c r="G772" s="1">
        <v>6812527</v>
      </c>
      <c r="H772" s="1">
        <v>3542514</v>
      </c>
      <c r="I772" s="1">
        <v>0</v>
      </c>
      <c r="J772" s="1">
        <v>0</v>
      </c>
      <c r="K772" s="1">
        <v>6213024</v>
      </c>
      <c r="L772" s="1">
        <v>0</v>
      </c>
      <c r="M772" s="1">
        <v>0</v>
      </c>
      <c r="N772" s="1">
        <v>11521166</v>
      </c>
      <c r="O772" s="1">
        <v>2000000</v>
      </c>
      <c r="P772" s="1">
        <v>5450021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2640000</v>
      </c>
      <c r="W772" s="1">
        <v>0</v>
      </c>
      <c r="X772" s="1">
        <v>12319169</v>
      </c>
      <c r="Y772" s="1">
        <v>4000000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3670854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58169275</v>
      </c>
      <c r="AS772" s="1">
        <v>13815928</v>
      </c>
      <c r="AT772" s="1">
        <v>44353347</v>
      </c>
      <c r="AU772" s="1">
        <v>10899684</v>
      </c>
      <c r="AV772" s="1">
        <v>1634953</v>
      </c>
      <c r="AW772" s="1">
        <f t="shared" si="83"/>
        <v>70703912</v>
      </c>
    </row>
    <row r="773" spans="1:49" x14ac:dyDescent="0.2">
      <c r="A773" s="1" t="str">
        <f>"00893"</f>
        <v>00893</v>
      </c>
      <c r="B773" s="1" t="str">
        <f>"يعقوب"</f>
        <v>يعقوب</v>
      </c>
      <c r="C773" s="1" t="str">
        <f>"صفوي"</f>
        <v>صفوي</v>
      </c>
      <c r="D773" s="1" t="str">
        <f t="shared" ref="D773:D791" si="84">"قراردادي بهره بردار"</f>
        <v>قراردادي بهره بردار</v>
      </c>
      <c r="E773" s="1" t="str">
        <f t="shared" ref="E773:E791" si="85">"پروژه بهره برداري نيروگاه بوشهر"</f>
        <v>پروژه بهره برداري نيروگاه بوشهر</v>
      </c>
      <c r="F773" s="1">
        <v>21134128</v>
      </c>
      <c r="G773" s="1">
        <v>0</v>
      </c>
      <c r="H773" s="1">
        <v>0</v>
      </c>
      <c r="I773" s="1">
        <v>7230351</v>
      </c>
      <c r="J773" s="1">
        <v>0</v>
      </c>
      <c r="K773" s="1">
        <v>17614834</v>
      </c>
      <c r="L773" s="1">
        <v>0</v>
      </c>
      <c r="M773" s="1">
        <v>5500000</v>
      </c>
      <c r="N773" s="1">
        <v>0</v>
      </c>
      <c r="O773" s="1">
        <v>1000000</v>
      </c>
      <c r="P773" s="1">
        <v>3534909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1848000</v>
      </c>
      <c r="W773" s="1">
        <v>0</v>
      </c>
      <c r="X773" s="1">
        <v>14819231</v>
      </c>
      <c r="Y773" s="1">
        <v>4000000</v>
      </c>
      <c r="Z773" s="1">
        <v>3012646</v>
      </c>
      <c r="AA773" s="1">
        <v>0</v>
      </c>
      <c r="AB773" s="1">
        <v>0</v>
      </c>
      <c r="AC773" s="1">
        <v>0</v>
      </c>
      <c r="AD773" s="1">
        <v>0</v>
      </c>
      <c r="AE773" s="1">
        <v>4459102</v>
      </c>
      <c r="AF773" s="1">
        <v>0</v>
      </c>
      <c r="AG773" s="1">
        <v>2777428</v>
      </c>
      <c r="AH773" s="1">
        <v>3670854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21047364</v>
      </c>
      <c r="AO773" s="1">
        <v>0</v>
      </c>
      <c r="AP773" s="1">
        <v>0</v>
      </c>
      <c r="AQ773" s="1">
        <v>0</v>
      </c>
      <c r="AR773" s="1">
        <v>111648847</v>
      </c>
      <c r="AS773" s="1">
        <v>18360018</v>
      </c>
      <c r="AT773" s="1">
        <v>93288829</v>
      </c>
      <c r="AU773" s="1">
        <v>21595599</v>
      </c>
      <c r="AV773" s="1">
        <v>3239340</v>
      </c>
      <c r="AW773" s="1">
        <f t="shared" si="83"/>
        <v>136483786</v>
      </c>
    </row>
    <row r="774" spans="1:49" x14ac:dyDescent="0.2">
      <c r="A774" s="1" t="str">
        <f>"00895"</f>
        <v>00895</v>
      </c>
      <c r="B774" s="1" t="str">
        <f>"رضا"</f>
        <v>رضا</v>
      </c>
      <c r="C774" s="1" t="str">
        <f>"ولي"</f>
        <v>ولي</v>
      </c>
      <c r="D774" s="1" t="str">
        <f t="shared" si="84"/>
        <v>قراردادي بهره بردار</v>
      </c>
      <c r="E774" s="1" t="str">
        <f t="shared" si="85"/>
        <v>پروژه بهره برداري نيروگاه بوشهر</v>
      </c>
      <c r="F774" s="1">
        <v>21048473</v>
      </c>
      <c r="G774" s="1">
        <v>0</v>
      </c>
      <c r="H774" s="1">
        <v>0</v>
      </c>
      <c r="I774" s="1">
        <v>3831599</v>
      </c>
      <c r="J774" s="1">
        <v>0</v>
      </c>
      <c r="K774" s="1">
        <v>16180781</v>
      </c>
      <c r="L774" s="1">
        <v>0</v>
      </c>
      <c r="M774" s="1">
        <v>5500000</v>
      </c>
      <c r="N774" s="1">
        <v>0</v>
      </c>
      <c r="O774" s="1">
        <v>1000000</v>
      </c>
      <c r="P774" s="1">
        <v>3504930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22360133</v>
      </c>
      <c r="Y774" s="1">
        <v>4000000</v>
      </c>
      <c r="Z774" s="1">
        <v>3055424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2753874</v>
      </c>
      <c r="AH774" s="1">
        <v>1835427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11722148</v>
      </c>
      <c r="AO774" s="1">
        <v>0</v>
      </c>
      <c r="AP774" s="1">
        <v>0</v>
      </c>
      <c r="AQ774" s="1">
        <v>0</v>
      </c>
      <c r="AR774" s="1">
        <v>96792789</v>
      </c>
      <c r="AS774" s="1">
        <v>44660257</v>
      </c>
      <c r="AT774" s="1">
        <v>52132532</v>
      </c>
      <c r="AU774" s="1">
        <v>18991472</v>
      </c>
      <c r="AV774" s="1">
        <v>2848721</v>
      </c>
      <c r="AW774" s="1">
        <f t="shared" si="83"/>
        <v>118632982</v>
      </c>
    </row>
    <row r="775" spans="1:49" x14ac:dyDescent="0.2">
      <c r="A775" s="1" t="str">
        <f>"00896"</f>
        <v>00896</v>
      </c>
      <c r="B775" s="1" t="str">
        <f>"سيدجاسم"</f>
        <v>سيدجاسم</v>
      </c>
      <c r="C775" s="1" t="str">
        <f>"حسيني"</f>
        <v>حسيني</v>
      </c>
      <c r="D775" s="1" t="str">
        <f t="shared" si="84"/>
        <v>قراردادي بهره بردار</v>
      </c>
      <c r="E775" s="1" t="str">
        <f t="shared" si="85"/>
        <v>پروژه بهره برداري نيروگاه بوشهر</v>
      </c>
      <c r="F775" s="1">
        <v>20851970</v>
      </c>
      <c r="G775" s="1">
        <v>0</v>
      </c>
      <c r="H775" s="1">
        <v>0</v>
      </c>
      <c r="I775" s="1">
        <v>0</v>
      </c>
      <c r="J775" s="1">
        <v>0</v>
      </c>
      <c r="K775" s="1">
        <v>15875933</v>
      </c>
      <c r="L775" s="1">
        <v>0</v>
      </c>
      <c r="M775" s="1">
        <v>0</v>
      </c>
      <c r="N775" s="1">
        <v>0</v>
      </c>
      <c r="O775" s="1">
        <v>1000000</v>
      </c>
      <c r="P775" s="1">
        <v>3436154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1848000</v>
      </c>
      <c r="W775" s="1">
        <v>0</v>
      </c>
      <c r="X775" s="1">
        <v>16425763</v>
      </c>
      <c r="Y775" s="1">
        <v>4000000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2699835</v>
      </c>
      <c r="AH775" s="1">
        <v>1835427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7291110</v>
      </c>
      <c r="AO775" s="1">
        <v>0</v>
      </c>
      <c r="AP775" s="1">
        <v>0</v>
      </c>
      <c r="AQ775" s="1">
        <v>0</v>
      </c>
      <c r="AR775" s="1">
        <v>75264192</v>
      </c>
      <c r="AS775" s="1">
        <v>41914082</v>
      </c>
      <c r="AT775" s="1">
        <v>33350110</v>
      </c>
      <c r="AU775" s="1">
        <v>14685753</v>
      </c>
      <c r="AV775" s="1">
        <v>2202863</v>
      </c>
      <c r="AW775" s="1">
        <f t="shared" si="83"/>
        <v>92152808</v>
      </c>
    </row>
    <row r="776" spans="1:49" x14ac:dyDescent="0.2">
      <c r="A776" s="1" t="str">
        <f>"00897"</f>
        <v>00897</v>
      </c>
      <c r="B776" s="1" t="str">
        <f>"اکبر"</f>
        <v>اکبر</v>
      </c>
      <c r="C776" s="1" t="str">
        <f>"بهاروند"</f>
        <v>بهاروند</v>
      </c>
      <c r="D776" s="1" t="str">
        <f t="shared" si="84"/>
        <v>قراردادي بهره بردار</v>
      </c>
      <c r="E776" s="1" t="str">
        <f t="shared" si="85"/>
        <v>پروژه بهره برداري نيروگاه بوشهر</v>
      </c>
      <c r="F776" s="1">
        <v>14402648</v>
      </c>
      <c r="G776" s="1">
        <v>0</v>
      </c>
      <c r="H776" s="1">
        <v>0</v>
      </c>
      <c r="I776" s="1">
        <v>1999178</v>
      </c>
      <c r="J776" s="1">
        <v>0</v>
      </c>
      <c r="K776" s="1">
        <v>10387336</v>
      </c>
      <c r="L776" s="1">
        <v>0</v>
      </c>
      <c r="M776" s="1">
        <v>4620000</v>
      </c>
      <c r="N776" s="1">
        <v>0</v>
      </c>
      <c r="O776" s="1">
        <v>1000000</v>
      </c>
      <c r="P776" s="1">
        <v>2417741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16476303</v>
      </c>
      <c r="Y776" s="1">
        <v>4000000</v>
      </c>
      <c r="Z776" s="1">
        <v>1999178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1899653</v>
      </c>
      <c r="AH776" s="1">
        <v>1835427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11078727</v>
      </c>
      <c r="AO776" s="1">
        <v>0</v>
      </c>
      <c r="AP776" s="1">
        <v>0</v>
      </c>
      <c r="AQ776" s="1">
        <v>0</v>
      </c>
      <c r="AR776" s="1">
        <v>72116191</v>
      </c>
      <c r="AS776" s="1">
        <v>49080112</v>
      </c>
      <c r="AT776" s="1">
        <v>23036079</v>
      </c>
      <c r="AU776" s="1">
        <v>14056153</v>
      </c>
      <c r="AV776" s="1">
        <v>2108423</v>
      </c>
      <c r="AW776" s="1">
        <f t="shared" si="83"/>
        <v>88280767</v>
      </c>
    </row>
    <row r="777" spans="1:49" x14ac:dyDescent="0.2">
      <c r="A777" s="1" t="str">
        <f>"00898"</f>
        <v>00898</v>
      </c>
      <c r="B777" s="1" t="str">
        <f>"محمدرضا"</f>
        <v>محمدرضا</v>
      </c>
      <c r="C777" s="1" t="str">
        <f>"آزادمنش"</f>
        <v>آزادمنش</v>
      </c>
      <c r="D777" s="1" t="str">
        <f t="shared" si="84"/>
        <v>قراردادي بهره بردار</v>
      </c>
      <c r="E777" s="1" t="str">
        <f t="shared" si="85"/>
        <v>پروژه بهره برداري نيروگاه بوشهر</v>
      </c>
      <c r="F777" s="1">
        <v>16884125</v>
      </c>
      <c r="G777" s="1">
        <v>0</v>
      </c>
      <c r="H777" s="1">
        <v>0</v>
      </c>
      <c r="I777" s="1">
        <v>7701423</v>
      </c>
      <c r="J777" s="1">
        <v>0</v>
      </c>
      <c r="K777" s="1">
        <v>13809012</v>
      </c>
      <c r="L777" s="1">
        <v>0</v>
      </c>
      <c r="M777" s="1">
        <v>4620000</v>
      </c>
      <c r="N777" s="1">
        <v>0</v>
      </c>
      <c r="O777" s="1">
        <v>1000000</v>
      </c>
      <c r="P777" s="1">
        <v>3286257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1848000</v>
      </c>
      <c r="W777" s="1">
        <v>0</v>
      </c>
      <c r="X777" s="1">
        <v>10933896</v>
      </c>
      <c r="Y777" s="1">
        <v>4000000</v>
      </c>
      <c r="Z777" s="1">
        <v>2450921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2582059</v>
      </c>
      <c r="AH777" s="1">
        <v>1835427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13138077</v>
      </c>
      <c r="AO777" s="1">
        <v>0</v>
      </c>
      <c r="AP777" s="1">
        <v>0</v>
      </c>
      <c r="AQ777" s="1">
        <v>0</v>
      </c>
      <c r="AR777" s="1">
        <v>84089197</v>
      </c>
      <c r="AS777" s="1">
        <v>31552695</v>
      </c>
      <c r="AT777" s="1">
        <v>52536502</v>
      </c>
      <c r="AU777" s="1">
        <v>16450754</v>
      </c>
      <c r="AV777" s="1">
        <v>2467613</v>
      </c>
      <c r="AW777" s="1">
        <f t="shared" si="83"/>
        <v>103007564</v>
      </c>
    </row>
    <row r="778" spans="1:49" x14ac:dyDescent="0.2">
      <c r="A778" s="1" t="str">
        <f>"00899"</f>
        <v>00899</v>
      </c>
      <c r="B778" s="1" t="str">
        <f>"احمد"</f>
        <v>احمد</v>
      </c>
      <c r="C778" s="1" t="str">
        <f>"هوشمندي"</f>
        <v>هوشمندي</v>
      </c>
      <c r="D778" s="1" t="str">
        <f t="shared" si="84"/>
        <v>قراردادي بهره بردار</v>
      </c>
      <c r="E778" s="1" t="str">
        <f t="shared" si="85"/>
        <v>پروژه بهره برداري نيروگاه بوشهر</v>
      </c>
      <c r="F778" s="1">
        <v>16030094</v>
      </c>
      <c r="G778" s="1">
        <v>0</v>
      </c>
      <c r="H778" s="1">
        <v>0</v>
      </c>
      <c r="I778" s="1">
        <v>0</v>
      </c>
      <c r="J778" s="1">
        <v>0</v>
      </c>
      <c r="K778" s="1">
        <v>12622545</v>
      </c>
      <c r="L778" s="1">
        <v>0</v>
      </c>
      <c r="M778" s="1">
        <v>4620000</v>
      </c>
      <c r="N778" s="1">
        <v>0</v>
      </c>
      <c r="O778" s="1">
        <v>1000000</v>
      </c>
      <c r="P778" s="1">
        <v>2987346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1848000</v>
      </c>
      <c r="W778" s="1">
        <v>0</v>
      </c>
      <c r="X778" s="1">
        <v>14891657</v>
      </c>
      <c r="Y778" s="1">
        <v>4000000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2347201</v>
      </c>
      <c r="AH778" s="1">
        <v>1835427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7378529</v>
      </c>
      <c r="AO778" s="1">
        <v>0</v>
      </c>
      <c r="AP778" s="1">
        <v>0</v>
      </c>
      <c r="AQ778" s="1">
        <v>0</v>
      </c>
      <c r="AR778" s="1">
        <v>69560799</v>
      </c>
      <c r="AS778" s="1">
        <v>29607858</v>
      </c>
      <c r="AT778" s="1">
        <v>39952941</v>
      </c>
      <c r="AU778" s="1">
        <v>13545074</v>
      </c>
      <c r="AV778" s="1">
        <v>2031761</v>
      </c>
      <c r="AW778" s="1">
        <f t="shared" si="83"/>
        <v>85137634</v>
      </c>
    </row>
    <row r="779" spans="1:49" x14ac:dyDescent="0.2">
      <c r="A779" s="1" t="str">
        <f>"00900"</f>
        <v>00900</v>
      </c>
      <c r="B779" s="1" t="str">
        <f>"اسماعيل"</f>
        <v>اسماعيل</v>
      </c>
      <c r="C779" s="1" t="str">
        <f>"مغانلو رحيمي زاده"</f>
        <v>مغانلو رحيمي زاده</v>
      </c>
      <c r="D779" s="1" t="str">
        <f t="shared" si="84"/>
        <v>قراردادي بهره بردار</v>
      </c>
      <c r="E779" s="1" t="str">
        <f t="shared" si="85"/>
        <v>پروژه بهره برداري نيروگاه بوشهر</v>
      </c>
      <c r="F779" s="1">
        <v>15697551</v>
      </c>
      <c r="G779" s="1">
        <v>0</v>
      </c>
      <c r="H779" s="1">
        <v>0</v>
      </c>
      <c r="I779" s="1">
        <v>0</v>
      </c>
      <c r="J779" s="1">
        <v>0</v>
      </c>
      <c r="K779" s="1">
        <v>12210979</v>
      </c>
      <c r="L779" s="1">
        <v>0</v>
      </c>
      <c r="M779" s="1">
        <v>3465000</v>
      </c>
      <c r="N779" s="1">
        <v>0</v>
      </c>
      <c r="O779" s="1">
        <v>1000000</v>
      </c>
      <c r="P779" s="1">
        <v>2870957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1848000</v>
      </c>
      <c r="W779" s="1">
        <v>0</v>
      </c>
      <c r="X779" s="1">
        <v>14010727</v>
      </c>
      <c r="Y779" s="1">
        <v>4000000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2255751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7283401</v>
      </c>
      <c r="AO779" s="1">
        <v>0</v>
      </c>
      <c r="AP779" s="1">
        <v>0</v>
      </c>
      <c r="AQ779" s="1">
        <v>0</v>
      </c>
      <c r="AR779" s="1">
        <v>64642366</v>
      </c>
      <c r="AS779" s="1">
        <v>20046312</v>
      </c>
      <c r="AT779" s="1">
        <v>44596054</v>
      </c>
      <c r="AU779" s="1">
        <v>12928473</v>
      </c>
      <c r="AV779" s="1">
        <v>1939271</v>
      </c>
      <c r="AW779" s="1">
        <f t="shared" si="83"/>
        <v>79510110</v>
      </c>
    </row>
    <row r="780" spans="1:49" x14ac:dyDescent="0.2">
      <c r="A780" s="1" t="str">
        <f>"00901"</f>
        <v>00901</v>
      </c>
      <c r="B780" s="1" t="str">
        <f>"پيمان"</f>
        <v>پيمان</v>
      </c>
      <c r="C780" s="1" t="str">
        <f>"بحريني"</f>
        <v>بحريني</v>
      </c>
      <c r="D780" s="1" t="str">
        <f t="shared" si="84"/>
        <v>قراردادي بهره بردار</v>
      </c>
      <c r="E780" s="1" t="str">
        <f t="shared" si="85"/>
        <v>پروژه بهره برداري نيروگاه بوشهر</v>
      </c>
      <c r="F780" s="1">
        <v>17932140</v>
      </c>
      <c r="G780" s="1">
        <v>0</v>
      </c>
      <c r="H780" s="1">
        <v>0</v>
      </c>
      <c r="I780" s="1">
        <v>4388502</v>
      </c>
      <c r="J780" s="1">
        <v>0</v>
      </c>
      <c r="K780" s="1">
        <v>14648274</v>
      </c>
      <c r="L780" s="1">
        <v>0</v>
      </c>
      <c r="M780" s="1">
        <v>4620000</v>
      </c>
      <c r="N780" s="1">
        <v>0</v>
      </c>
      <c r="O780" s="1">
        <v>1000000</v>
      </c>
      <c r="P780" s="1">
        <v>3375313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1848000</v>
      </c>
      <c r="W780" s="1">
        <v>0</v>
      </c>
      <c r="X780" s="1">
        <v>15693143</v>
      </c>
      <c r="Y780" s="1">
        <v>4000000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2652032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7890444</v>
      </c>
      <c r="AO780" s="1">
        <v>0</v>
      </c>
      <c r="AP780" s="1">
        <v>0</v>
      </c>
      <c r="AQ780" s="1">
        <v>0</v>
      </c>
      <c r="AR780" s="1">
        <v>78047848</v>
      </c>
      <c r="AS780" s="1">
        <v>32899028</v>
      </c>
      <c r="AT780" s="1">
        <v>45148820</v>
      </c>
      <c r="AU780" s="1">
        <v>15609570</v>
      </c>
      <c r="AV780" s="1">
        <v>2341435</v>
      </c>
      <c r="AW780" s="1">
        <f t="shared" si="83"/>
        <v>95998853</v>
      </c>
    </row>
    <row r="781" spans="1:49" x14ac:dyDescent="0.2">
      <c r="A781" s="1" t="str">
        <f>"00902"</f>
        <v>00902</v>
      </c>
      <c r="B781" s="1" t="str">
        <f>"علي"</f>
        <v>علي</v>
      </c>
      <c r="C781" s="1" t="str">
        <f>"پاژنگ"</f>
        <v>پاژنگ</v>
      </c>
      <c r="D781" s="1" t="str">
        <f t="shared" si="84"/>
        <v>قراردادي بهره بردار</v>
      </c>
      <c r="E781" s="1" t="str">
        <f t="shared" si="85"/>
        <v>پروژه بهره برداري نيروگاه بوشهر</v>
      </c>
      <c r="F781" s="1">
        <v>15987266</v>
      </c>
      <c r="G781" s="1">
        <v>0</v>
      </c>
      <c r="H781" s="1">
        <v>0</v>
      </c>
      <c r="I781" s="1">
        <v>5728628</v>
      </c>
      <c r="J781" s="1">
        <v>0</v>
      </c>
      <c r="K781" s="1">
        <v>12261033</v>
      </c>
      <c r="L781" s="1">
        <v>0</v>
      </c>
      <c r="M781" s="1">
        <v>4620000</v>
      </c>
      <c r="N781" s="1">
        <v>0</v>
      </c>
      <c r="O781" s="1">
        <v>1000000</v>
      </c>
      <c r="P781" s="1">
        <v>2972356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1848000</v>
      </c>
      <c r="W781" s="1">
        <v>0</v>
      </c>
      <c r="X781" s="1">
        <v>13807636</v>
      </c>
      <c r="Y781" s="1">
        <v>4000000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2335423</v>
      </c>
      <c r="AH781" s="1">
        <v>1835427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6758185</v>
      </c>
      <c r="AO781" s="1">
        <v>0</v>
      </c>
      <c r="AP781" s="1">
        <v>0</v>
      </c>
      <c r="AQ781" s="1">
        <v>0</v>
      </c>
      <c r="AR781" s="1">
        <v>73153954</v>
      </c>
      <c r="AS781" s="1">
        <v>33006751</v>
      </c>
      <c r="AT781" s="1">
        <v>40147203</v>
      </c>
      <c r="AU781" s="1">
        <v>14263705</v>
      </c>
      <c r="AV781" s="1">
        <v>2139556</v>
      </c>
      <c r="AW781" s="1">
        <f t="shared" si="83"/>
        <v>89557215</v>
      </c>
    </row>
    <row r="782" spans="1:49" x14ac:dyDescent="0.2">
      <c r="A782" s="1" t="str">
        <f>"00903"</f>
        <v>00903</v>
      </c>
      <c r="B782" s="1" t="str">
        <f>"محمدکاظم"</f>
        <v>محمدکاظم</v>
      </c>
      <c r="C782" s="1" t="str">
        <f>"توکلي"</f>
        <v>توکلي</v>
      </c>
      <c r="D782" s="1" t="str">
        <f t="shared" si="84"/>
        <v>قراردادي بهره بردار</v>
      </c>
      <c r="E782" s="1" t="str">
        <f t="shared" si="85"/>
        <v>پروژه بهره برداري نيروگاه بوشهر</v>
      </c>
      <c r="F782" s="1">
        <v>17801138</v>
      </c>
      <c r="G782" s="1">
        <v>0</v>
      </c>
      <c r="H782" s="1">
        <v>0</v>
      </c>
      <c r="I782" s="1">
        <v>2657686</v>
      </c>
      <c r="J782" s="1">
        <v>0</v>
      </c>
      <c r="K782" s="1">
        <v>14687176</v>
      </c>
      <c r="L782" s="1">
        <v>0</v>
      </c>
      <c r="M782" s="1">
        <v>4620000</v>
      </c>
      <c r="N782" s="1">
        <v>0</v>
      </c>
      <c r="O782" s="1">
        <v>1000000</v>
      </c>
      <c r="P782" s="1">
        <v>3329463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1848000</v>
      </c>
      <c r="W782" s="1">
        <v>0</v>
      </c>
      <c r="X782" s="1">
        <v>11529554</v>
      </c>
      <c r="Y782" s="1">
        <v>4000000</v>
      </c>
      <c r="Z782" s="1">
        <v>2584036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2616006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12808677</v>
      </c>
      <c r="AO782" s="1">
        <v>0</v>
      </c>
      <c r="AP782" s="1">
        <v>0</v>
      </c>
      <c r="AQ782" s="1">
        <v>0</v>
      </c>
      <c r="AR782" s="1">
        <v>79481736</v>
      </c>
      <c r="AS782" s="1">
        <v>29386757</v>
      </c>
      <c r="AT782" s="1">
        <v>50094979</v>
      </c>
      <c r="AU782" s="1">
        <v>15896347</v>
      </c>
      <c r="AV782" s="1">
        <v>2384452</v>
      </c>
      <c r="AW782" s="1">
        <f t="shared" si="83"/>
        <v>97762535</v>
      </c>
    </row>
    <row r="783" spans="1:49" x14ac:dyDescent="0.2">
      <c r="A783" s="1" t="str">
        <f>"00904"</f>
        <v>00904</v>
      </c>
      <c r="B783" s="1" t="str">
        <f>"مهدي"</f>
        <v>مهدي</v>
      </c>
      <c r="C783" s="1" t="str">
        <f>"جمالي"</f>
        <v>جمالي</v>
      </c>
      <c r="D783" s="1" t="str">
        <f t="shared" si="84"/>
        <v>قراردادي بهره بردار</v>
      </c>
      <c r="E783" s="1" t="str">
        <f t="shared" si="85"/>
        <v>پروژه بهره برداري نيروگاه بوشهر</v>
      </c>
      <c r="F783" s="1">
        <v>16123307</v>
      </c>
      <c r="G783" s="1">
        <v>0</v>
      </c>
      <c r="H783" s="1">
        <v>0</v>
      </c>
      <c r="I783" s="1">
        <v>394188</v>
      </c>
      <c r="J783" s="1">
        <v>0</v>
      </c>
      <c r="K783" s="1">
        <v>12722367</v>
      </c>
      <c r="L783" s="1">
        <v>0</v>
      </c>
      <c r="M783" s="1">
        <v>3465000</v>
      </c>
      <c r="N783" s="1">
        <v>0</v>
      </c>
      <c r="O783" s="1">
        <v>1000000</v>
      </c>
      <c r="P783" s="1">
        <v>3019971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1848000</v>
      </c>
      <c r="W783" s="1">
        <v>0</v>
      </c>
      <c r="X783" s="1">
        <v>14096041</v>
      </c>
      <c r="Y783" s="1">
        <v>4000000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2372834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7527569</v>
      </c>
      <c r="AO783" s="1">
        <v>0</v>
      </c>
      <c r="AP783" s="1">
        <v>0</v>
      </c>
      <c r="AQ783" s="1">
        <v>0</v>
      </c>
      <c r="AR783" s="1">
        <v>66569277</v>
      </c>
      <c r="AS783" s="1">
        <v>13186440</v>
      </c>
      <c r="AT783" s="1">
        <v>53382837</v>
      </c>
      <c r="AU783" s="1">
        <v>13313855</v>
      </c>
      <c r="AV783" s="1">
        <v>1997078</v>
      </c>
      <c r="AW783" s="1">
        <f t="shared" si="83"/>
        <v>81880210</v>
      </c>
    </row>
    <row r="784" spans="1:49" x14ac:dyDescent="0.2">
      <c r="A784" s="1" t="str">
        <f>"00905"</f>
        <v>00905</v>
      </c>
      <c r="B784" s="1" t="str">
        <f>"محسن"</f>
        <v>محسن</v>
      </c>
      <c r="C784" s="1" t="str">
        <f>"حياتي"</f>
        <v>حياتي</v>
      </c>
      <c r="D784" s="1" t="str">
        <f t="shared" si="84"/>
        <v>قراردادي بهره بردار</v>
      </c>
      <c r="E784" s="1" t="str">
        <f t="shared" si="85"/>
        <v>پروژه بهره برداري نيروگاه بوشهر</v>
      </c>
      <c r="F784" s="1">
        <v>15818475</v>
      </c>
      <c r="G784" s="1">
        <v>0</v>
      </c>
      <c r="H784" s="1">
        <v>0</v>
      </c>
      <c r="I784" s="1">
        <v>3386401</v>
      </c>
      <c r="J784" s="1">
        <v>0</v>
      </c>
      <c r="K784" s="1">
        <v>12550608</v>
      </c>
      <c r="L784" s="1">
        <v>0</v>
      </c>
      <c r="M784" s="1">
        <v>4620000</v>
      </c>
      <c r="N784" s="1">
        <v>0</v>
      </c>
      <c r="O784" s="1">
        <v>1000000</v>
      </c>
      <c r="P784" s="1">
        <v>2913280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1848000</v>
      </c>
      <c r="W784" s="1">
        <v>0</v>
      </c>
      <c r="X784" s="1">
        <v>13931878</v>
      </c>
      <c r="Y784" s="1">
        <v>4000000</v>
      </c>
      <c r="Z784" s="1">
        <v>2116501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2289006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12484427</v>
      </c>
      <c r="AO784" s="1">
        <v>0</v>
      </c>
      <c r="AP784" s="1">
        <v>0</v>
      </c>
      <c r="AQ784" s="1">
        <v>0</v>
      </c>
      <c r="AR784" s="1">
        <v>76958576</v>
      </c>
      <c r="AS784" s="1">
        <v>21786986</v>
      </c>
      <c r="AT784" s="1">
        <v>55171590</v>
      </c>
      <c r="AU784" s="1">
        <v>15391715</v>
      </c>
      <c r="AV784" s="1">
        <v>2308757</v>
      </c>
      <c r="AW784" s="1">
        <f t="shared" si="83"/>
        <v>94659048</v>
      </c>
    </row>
    <row r="785" spans="1:49" x14ac:dyDescent="0.2">
      <c r="A785" s="1" t="str">
        <f>"00906"</f>
        <v>00906</v>
      </c>
      <c r="B785" s="1" t="str">
        <f>"حسين"</f>
        <v>حسين</v>
      </c>
      <c r="C785" s="1" t="str">
        <f>"خوهک"</f>
        <v>خوهک</v>
      </c>
      <c r="D785" s="1" t="str">
        <f t="shared" si="84"/>
        <v>قراردادي بهره بردار</v>
      </c>
      <c r="E785" s="1" t="str">
        <f t="shared" si="85"/>
        <v>پروژه بهره برداري نيروگاه بوشهر</v>
      </c>
      <c r="F785" s="1">
        <v>15768090</v>
      </c>
      <c r="G785" s="1">
        <v>0</v>
      </c>
      <c r="H785" s="1">
        <v>0</v>
      </c>
      <c r="I785" s="1">
        <v>3157099</v>
      </c>
      <c r="J785" s="1">
        <v>0</v>
      </c>
      <c r="K785" s="1">
        <v>12339589</v>
      </c>
      <c r="L785" s="1">
        <v>0</v>
      </c>
      <c r="M785" s="1">
        <v>3465000</v>
      </c>
      <c r="N785" s="1">
        <v>0</v>
      </c>
      <c r="O785" s="1">
        <v>1000000</v>
      </c>
      <c r="P785" s="1">
        <v>2895645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1848000</v>
      </c>
      <c r="W785" s="1">
        <v>0</v>
      </c>
      <c r="X785" s="1">
        <v>18585255</v>
      </c>
      <c r="Y785" s="1">
        <v>4000000</v>
      </c>
      <c r="Z785" s="1">
        <v>2288916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2275150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12051416</v>
      </c>
      <c r="AO785" s="1">
        <v>0</v>
      </c>
      <c r="AP785" s="1">
        <v>0</v>
      </c>
      <c r="AQ785" s="1">
        <v>0</v>
      </c>
      <c r="AR785" s="1">
        <v>79674160</v>
      </c>
      <c r="AS785" s="1">
        <v>9402088</v>
      </c>
      <c r="AT785" s="1">
        <v>70272072</v>
      </c>
      <c r="AU785" s="1">
        <v>15934832</v>
      </c>
      <c r="AV785" s="1">
        <v>2390225</v>
      </c>
      <c r="AW785" s="1">
        <f t="shared" si="83"/>
        <v>97999217</v>
      </c>
    </row>
    <row r="786" spans="1:49" x14ac:dyDescent="0.2">
      <c r="A786" s="1" t="str">
        <f>"00907"</f>
        <v>00907</v>
      </c>
      <c r="B786" s="1" t="str">
        <f>"مقداد"</f>
        <v>مقداد</v>
      </c>
      <c r="C786" s="1" t="str">
        <f>"ديرنه"</f>
        <v>ديرنه</v>
      </c>
      <c r="D786" s="1" t="str">
        <f t="shared" si="84"/>
        <v>قراردادي بهره بردار</v>
      </c>
      <c r="E786" s="1" t="str">
        <f t="shared" si="85"/>
        <v>پروژه بهره برداري نيروگاه بوشهر</v>
      </c>
      <c r="F786" s="1">
        <v>18362935</v>
      </c>
      <c r="G786" s="1">
        <v>0</v>
      </c>
      <c r="H786" s="1">
        <v>0</v>
      </c>
      <c r="I786" s="1">
        <v>5390988</v>
      </c>
      <c r="J786" s="1">
        <v>0</v>
      </c>
      <c r="K786" s="1">
        <v>15655912</v>
      </c>
      <c r="L786" s="1">
        <v>0</v>
      </c>
      <c r="M786" s="1">
        <v>4620000</v>
      </c>
      <c r="N786" s="1">
        <v>0</v>
      </c>
      <c r="O786" s="1">
        <v>1000000</v>
      </c>
      <c r="P786" s="1">
        <v>3526092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1848000</v>
      </c>
      <c r="W786" s="1">
        <v>0</v>
      </c>
      <c r="X786" s="1">
        <v>14785922</v>
      </c>
      <c r="Y786" s="1">
        <v>4000000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2770501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8563643</v>
      </c>
      <c r="AO786" s="1">
        <v>0</v>
      </c>
      <c r="AP786" s="1">
        <v>0</v>
      </c>
      <c r="AQ786" s="1">
        <v>0</v>
      </c>
      <c r="AR786" s="1">
        <v>80523993</v>
      </c>
      <c r="AS786" s="1">
        <v>32833324</v>
      </c>
      <c r="AT786" s="1">
        <v>47690669</v>
      </c>
      <c r="AU786" s="1">
        <v>16104799</v>
      </c>
      <c r="AV786" s="1">
        <v>2415720</v>
      </c>
      <c r="AW786" s="1">
        <f t="shared" si="83"/>
        <v>99044512</v>
      </c>
    </row>
    <row r="787" spans="1:49" x14ac:dyDescent="0.2">
      <c r="A787" s="1" t="str">
        <f>"00908"</f>
        <v>00908</v>
      </c>
      <c r="B787" s="1" t="str">
        <f>"حسين"</f>
        <v>حسين</v>
      </c>
      <c r="C787" s="1" t="str">
        <f>"شيخياني"</f>
        <v>شيخياني</v>
      </c>
      <c r="D787" s="1" t="str">
        <f t="shared" si="84"/>
        <v>قراردادي بهره بردار</v>
      </c>
      <c r="E787" s="1" t="str">
        <f t="shared" si="85"/>
        <v>پروژه بهره برداري نيروگاه بوشهر</v>
      </c>
      <c r="F787" s="1">
        <v>14873750</v>
      </c>
      <c r="G787" s="1">
        <v>0</v>
      </c>
      <c r="H787" s="1">
        <v>0</v>
      </c>
      <c r="I787" s="1">
        <v>3868129</v>
      </c>
      <c r="J787" s="1">
        <v>0</v>
      </c>
      <c r="K787" s="1">
        <v>12374785</v>
      </c>
      <c r="L787" s="1">
        <v>0</v>
      </c>
      <c r="M787" s="1">
        <v>4620000</v>
      </c>
      <c r="N787" s="1">
        <v>0</v>
      </c>
      <c r="O787" s="1">
        <v>1000000</v>
      </c>
      <c r="P787" s="1">
        <v>2582627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1848000</v>
      </c>
      <c r="W787" s="1">
        <v>0</v>
      </c>
      <c r="X787" s="1">
        <v>17710745</v>
      </c>
      <c r="Y787" s="1">
        <v>4000000</v>
      </c>
      <c r="Z787" s="1">
        <v>2159093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2029206</v>
      </c>
      <c r="AH787" s="1">
        <v>1835427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11336574</v>
      </c>
      <c r="AO787" s="1">
        <v>0</v>
      </c>
      <c r="AP787" s="1">
        <v>0</v>
      </c>
      <c r="AQ787" s="1">
        <v>0</v>
      </c>
      <c r="AR787" s="1">
        <v>80238336</v>
      </c>
      <c r="AS787" s="1">
        <v>28536542</v>
      </c>
      <c r="AT787" s="1">
        <v>51701794</v>
      </c>
      <c r="AU787" s="1">
        <v>15680582</v>
      </c>
      <c r="AV787" s="1">
        <v>2352087</v>
      </c>
      <c r="AW787" s="1">
        <f t="shared" si="83"/>
        <v>98271005</v>
      </c>
    </row>
    <row r="788" spans="1:49" x14ac:dyDescent="0.2">
      <c r="A788" s="1" t="str">
        <f>"00909"</f>
        <v>00909</v>
      </c>
      <c r="B788" s="1" t="str">
        <f>"عبدالله"</f>
        <v>عبدالله</v>
      </c>
      <c r="C788" s="1" t="str">
        <f>"عالي پور"</f>
        <v>عالي پور</v>
      </c>
      <c r="D788" s="1" t="str">
        <f t="shared" si="84"/>
        <v>قراردادي بهره بردار</v>
      </c>
      <c r="E788" s="1" t="str">
        <f t="shared" si="85"/>
        <v>پروژه بهره برداري نيروگاه بوشهر</v>
      </c>
      <c r="F788" s="1">
        <v>16304694</v>
      </c>
      <c r="G788" s="1">
        <v>0</v>
      </c>
      <c r="H788" s="1">
        <v>0</v>
      </c>
      <c r="I788" s="1">
        <v>9448169</v>
      </c>
      <c r="J788" s="1">
        <v>0</v>
      </c>
      <c r="K788" s="1">
        <v>14092947</v>
      </c>
      <c r="L788" s="1">
        <v>0</v>
      </c>
      <c r="M788" s="1">
        <v>3465000</v>
      </c>
      <c r="N788" s="1">
        <v>0</v>
      </c>
      <c r="O788" s="1">
        <v>1000000</v>
      </c>
      <c r="P788" s="1">
        <v>3083456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1848000</v>
      </c>
      <c r="W788" s="1">
        <v>0</v>
      </c>
      <c r="X788" s="1">
        <v>13087049</v>
      </c>
      <c r="Y788" s="1">
        <v>4000000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2422716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9223943</v>
      </c>
      <c r="AO788" s="1">
        <v>0</v>
      </c>
      <c r="AP788" s="1">
        <v>0</v>
      </c>
      <c r="AQ788" s="1">
        <v>0</v>
      </c>
      <c r="AR788" s="1">
        <v>77975974</v>
      </c>
      <c r="AS788" s="1">
        <v>26015690</v>
      </c>
      <c r="AT788" s="1">
        <v>51960284</v>
      </c>
      <c r="AU788" s="1">
        <v>15595195</v>
      </c>
      <c r="AV788" s="1">
        <v>2339279</v>
      </c>
      <c r="AW788" s="1">
        <f t="shared" si="83"/>
        <v>95910448</v>
      </c>
    </row>
    <row r="789" spans="1:49" x14ac:dyDescent="0.2">
      <c r="A789" s="1" t="str">
        <f>"00910"</f>
        <v>00910</v>
      </c>
      <c r="B789" s="1" t="str">
        <f>"مهدي"</f>
        <v>مهدي</v>
      </c>
      <c r="C789" s="1" t="str">
        <f>"كسرائي"</f>
        <v>كسرائي</v>
      </c>
      <c r="D789" s="1" t="str">
        <f t="shared" si="84"/>
        <v>قراردادي بهره بردار</v>
      </c>
      <c r="E789" s="1" t="str">
        <f t="shared" si="85"/>
        <v>پروژه بهره برداري نيروگاه بوشهر</v>
      </c>
      <c r="F789" s="1">
        <v>17788542</v>
      </c>
      <c r="G789" s="1">
        <v>0</v>
      </c>
      <c r="H789" s="1">
        <v>0</v>
      </c>
      <c r="I789" s="1">
        <v>12559396</v>
      </c>
      <c r="J789" s="1">
        <v>0</v>
      </c>
      <c r="K789" s="1">
        <v>14020739</v>
      </c>
      <c r="L789" s="1">
        <v>0</v>
      </c>
      <c r="M789" s="1">
        <v>4620000</v>
      </c>
      <c r="N789" s="1">
        <v>0</v>
      </c>
      <c r="O789" s="1">
        <v>1000000</v>
      </c>
      <c r="P789" s="1">
        <v>3325054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16985226</v>
      </c>
      <c r="Y789" s="1">
        <v>4000000</v>
      </c>
      <c r="Z789" s="1">
        <v>2582208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2612543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13723504</v>
      </c>
      <c r="AO789" s="1">
        <v>0</v>
      </c>
      <c r="AP789" s="1">
        <v>0</v>
      </c>
      <c r="AQ789" s="1">
        <v>0</v>
      </c>
      <c r="AR789" s="1">
        <v>93217212</v>
      </c>
      <c r="AS789" s="1">
        <v>30620811</v>
      </c>
      <c r="AT789" s="1">
        <v>62596401</v>
      </c>
      <c r="AU789" s="1">
        <v>18643442</v>
      </c>
      <c r="AV789" s="1">
        <v>2796516</v>
      </c>
      <c r="AW789" s="1">
        <f t="shared" si="83"/>
        <v>114657170</v>
      </c>
    </row>
    <row r="790" spans="1:49" x14ac:dyDescent="0.2">
      <c r="A790" s="1" t="str">
        <f>"00911"</f>
        <v>00911</v>
      </c>
      <c r="B790" s="1" t="str">
        <f>"مصيب"</f>
        <v>مصيب</v>
      </c>
      <c r="C790" s="1" t="str">
        <f>"كشاورز"</f>
        <v>كشاورز</v>
      </c>
      <c r="D790" s="1" t="str">
        <f t="shared" si="84"/>
        <v>قراردادي بهره بردار</v>
      </c>
      <c r="E790" s="1" t="str">
        <f t="shared" si="85"/>
        <v>پروژه بهره برداري نيروگاه بوشهر</v>
      </c>
      <c r="F790" s="1">
        <v>15758013</v>
      </c>
      <c r="G790" s="1">
        <v>0</v>
      </c>
      <c r="H790" s="1">
        <v>0</v>
      </c>
      <c r="I790" s="1">
        <v>3605502</v>
      </c>
      <c r="J790" s="1">
        <v>0</v>
      </c>
      <c r="K790" s="1">
        <v>12328709</v>
      </c>
      <c r="L790" s="1">
        <v>0</v>
      </c>
      <c r="M790" s="1">
        <v>3465000</v>
      </c>
      <c r="N790" s="1">
        <v>0</v>
      </c>
      <c r="O790" s="1">
        <v>1000000</v>
      </c>
      <c r="P790" s="1">
        <v>2892118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1848000</v>
      </c>
      <c r="W790" s="1">
        <v>0</v>
      </c>
      <c r="X790" s="1">
        <v>18571808</v>
      </c>
      <c r="Y790" s="1">
        <v>4000000</v>
      </c>
      <c r="Z790" s="1">
        <v>2287454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2272379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12045874</v>
      </c>
      <c r="AO790" s="1">
        <v>0</v>
      </c>
      <c r="AP790" s="1">
        <v>0</v>
      </c>
      <c r="AQ790" s="1">
        <v>0</v>
      </c>
      <c r="AR790" s="1">
        <v>80074857</v>
      </c>
      <c r="AS790" s="1">
        <v>39520682</v>
      </c>
      <c r="AT790" s="1">
        <v>40554175</v>
      </c>
      <c r="AU790" s="1">
        <v>16014971</v>
      </c>
      <c r="AV790" s="1">
        <v>2402246</v>
      </c>
      <c r="AW790" s="1">
        <f t="shared" si="83"/>
        <v>98492074</v>
      </c>
    </row>
    <row r="791" spans="1:49" x14ac:dyDescent="0.2">
      <c r="A791" s="1" t="str">
        <f>"00913"</f>
        <v>00913</v>
      </c>
      <c r="B791" s="1" t="str">
        <f>"امير"</f>
        <v>امير</v>
      </c>
      <c r="C791" s="1" t="str">
        <f>"محمدي"</f>
        <v>محمدي</v>
      </c>
      <c r="D791" s="1" t="str">
        <f t="shared" si="84"/>
        <v>قراردادي بهره بردار</v>
      </c>
      <c r="E791" s="1" t="str">
        <f t="shared" si="85"/>
        <v>پروژه بهره برداري نيروگاه بوشهر</v>
      </c>
      <c r="F791" s="1">
        <v>21446517</v>
      </c>
      <c r="G791" s="1">
        <v>0</v>
      </c>
      <c r="H791" s="1">
        <v>0</v>
      </c>
      <c r="I791" s="1">
        <v>8626822</v>
      </c>
      <c r="J791" s="1">
        <v>0</v>
      </c>
      <c r="K791" s="1">
        <v>18635039</v>
      </c>
      <c r="L791" s="1">
        <v>0</v>
      </c>
      <c r="M791" s="1">
        <v>0</v>
      </c>
      <c r="N791" s="1">
        <v>0</v>
      </c>
      <c r="O791" s="1">
        <v>1000000</v>
      </c>
      <c r="P791" s="1">
        <v>3644245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1848000</v>
      </c>
      <c r="W791" s="1">
        <v>0</v>
      </c>
      <c r="X791" s="1">
        <v>15155504</v>
      </c>
      <c r="Y791" s="1">
        <v>4000000</v>
      </c>
      <c r="Z791" s="1">
        <v>3113204</v>
      </c>
      <c r="AA791" s="1">
        <v>0</v>
      </c>
      <c r="AB791" s="1">
        <v>0</v>
      </c>
      <c r="AC791" s="1">
        <v>0</v>
      </c>
      <c r="AD791" s="1">
        <v>0</v>
      </c>
      <c r="AE791" s="1">
        <v>4459102</v>
      </c>
      <c r="AF791" s="1">
        <v>0</v>
      </c>
      <c r="AG791" s="1">
        <v>2863336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21120826</v>
      </c>
      <c r="AO791" s="1">
        <v>0</v>
      </c>
      <c r="AP791" s="1">
        <v>0</v>
      </c>
      <c r="AQ791" s="1">
        <v>0</v>
      </c>
      <c r="AR791" s="1">
        <v>105912595</v>
      </c>
      <c r="AS791" s="1">
        <v>21969091</v>
      </c>
      <c r="AT791" s="1">
        <v>83943504</v>
      </c>
      <c r="AU791" s="1">
        <v>21182519</v>
      </c>
      <c r="AV791" s="1">
        <v>3177378</v>
      </c>
      <c r="AW791" s="1">
        <f t="shared" si="83"/>
        <v>130272492</v>
      </c>
    </row>
    <row r="792" spans="1:49" x14ac:dyDescent="0.2">
      <c r="A792" s="1" t="str">
        <f>"00914"</f>
        <v>00914</v>
      </c>
      <c r="B792" s="1" t="str">
        <f>"يعقوب"</f>
        <v>يعقوب</v>
      </c>
      <c r="C792" s="1" t="str">
        <f>"پذيرا"</f>
        <v>پذيرا</v>
      </c>
      <c r="D792" s="1" t="str">
        <f>"قراردادي کارگري"</f>
        <v>قراردادي کارگري</v>
      </c>
      <c r="E792" s="1" t="str">
        <f>"پروژه تعميرات نيروگاه بوشهر"</f>
        <v>پروژه تعميرات نيروگاه بوشهر</v>
      </c>
      <c r="F792" s="1">
        <v>0</v>
      </c>
      <c r="G792" s="1">
        <v>4983064</v>
      </c>
      <c r="H792" s="1">
        <v>2591193</v>
      </c>
      <c r="I792" s="1">
        <v>3935889</v>
      </c>
      <c r="J792" s="1">
        <v>0</v>
      </c>
      <c r="K792" s="1">
        <v>5150495</v>
      </c>
      <c r="L792" s="1">
        <v>0</v>
      </c>
      <c r="M792" s="1">
        <v>0</v>
      </c>
      <c r="N792" s="1">
        <v>11521166</v>
      </c>
      <c r="O792" s="1">
        <v>2000000</v>
      </c>
      <c r="P792" s="1">
        <v>3986451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2640000</v>
      </c>
      <c r="W792" s="1">
        <v>0</v>
      </c>
      <c r="X792" s="1">
        <v>8952416</v>
      </c>
      <c r="Y792" s="1">
        <v>4000000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3670854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53431528</v>
      </c>
      <c r="AS792" s="1">
        <v>7492475</v>
      </c>
      <c r="AT792" s="1">
        <v>45939053</v>
      </c>
      <c r="AU792" s="1">
        <v>9952135</v>
      </c>
      <c r="AV792" s="1">
        <v>1492820</v>
      </c>
      <c r="AW792" s="1">
        <f t="shared" si="83"/>
        <v>64876483</v>
      </c>
    </row>
    <row r="793" spans="1:49" x14ac:dyDescent="0.2">
      <c r="A793" s="1" t="str">
        <f>"00916"</f>
        <v>00916</v>
      </c>
      <c r="B793" s="1" t="str">
        <f>"عبدالرحيم"</f>
        <v>عبدالرحيم</v>
      </c>
      <c r="C793" s="1" t="str">
        <f>"آب يار"</f>
        <v>آب يار</v>
      </c>
      <c r="D793" s="1" t="str">
        <f t="shared" ref="D793:D824" si="86">"قراردادي بهره بردار"</f>
        <v>قراردادي بهره بردار</v>
      </c>
      <c r="E793" s="1" t="str">
        <f t="shared" ref="E793:E824" si="87">"پروژه بهره برداري نيروگاه بوشهر"</f>
        <v>پروژه بهره برداري نيروگاه بوشهر</v>
      </c>
      <c r="F793" s="1">
        <v>16659910</v>
      </c>
      <c r="G793" s="1">
        <v>0</v>
      </c>
      <c r="H793" s="1">
        <v>0</v>
      </c>
      <c r="I793" s="1">
        <v>20997151</v>
      </c>
      <c r="J793" s="1">
        <v>0</v>
      </c>
      <c r="K793" s="1">
        <v>16748397</v>
      </c>
      <c r="L793" s="1">
        <v>0</v>
      </c>
      <c r="M793" s="1">
        <v>4620000</v>
      </c>
      <c r="N793" s="1">
        <v>0</v>
      </c>
      <c r="O793" s="1">
        <v>1000000</v>
      </c>
      <c r="P793" s="1">
        <v>3238643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9678012</v>
      </c>
      <c r="Y793" s="1">
        <v>4000000</v>
      </c>
      <c r="Z793" s="1">
        <v>2418374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2544648</v>
      </c>
      <c r="AH793" s="1">
        <v>3670854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13121979</v>
      </c>
      <c r="AO793" s="1">
        <v>0</v>
      </c>
      <c r="AP793" s="1">
        <v>0</v>
      </c>
      <c r="AQ793" s="1">
        <v>0</v>
      </c>
      <c r="AR793" s="1">
        <v>98697968</v>
      </c>
      <c r="AS793" s="1">
        <v>48238435</v>
      </c>
      <c r="AT793" s="1">
        <v>50459533</v>
      </c>
      <c r="AU793" s="1">
        <v>19005423</v>
      </c>
      <c r="AV793" s="1">
        <v>2850813</v>
      </c>
      <c r="AW793" s="1">
        <f t="shared" si="83"/>
        <v>120554204</v>
      </c>
    </row>
    <row r="794" spans="1:49" x14ac:dyDescent="0.2">
      <c r="A794" s="1" t="str">
        <f>"00917"</f>
        <v>00917</v>
      </c>
      <c r="B794" s="1" t="str">
        <f>"ميثم"</f>
        <v>ميثم</v>
      </c>
      <c r="C794" s="1" t="str">
        <f>"آبائي"</f>
        <v>آبائي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17251938</v>
      </c>
      <c r="G794" s="1">
        <v>0</v>
      </c>
      <c r="H794" s="1">
        <v>0</v>
      </c>
      <c r="I794" s="1">
        <v>35573818</v>
      </c>
      <c r="J794" s="1">
        <v>0</v>
      </c>
      <c r="K794" s="1">
        <v>17552933</v>
      </c>
      <c r="L794" s="1">
        <v>0</v>
      </c>
      <c r="M794" s="1">
        <v>4620000</v>
      </c>
      <c r="N794" s="1">
        <v>0</v>
      </c>
      <c r="O794" s="1">
        <v>1000000</v>
      </c>
      <c r="P794" s="1">
        <v>3445853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1848000</v>
      </c>
      <c r="W794" s="1">
        <v>0</v>
      </c>
      <c r="X794" s="1">
        <v>10205098</v>
      </c>
      <c r="Y794" s="1">
        <v>4000000</v>
      </c>
      <c r="Z794" s="1">
        <v>2504314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2707456</v>
      </c>
      <c r="AH794" s="1">
        <v>1835427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13469007</v>
      </c>
      <c r="AO794" s="1">
        <v>0</v>
      </c>
      <c r="AP794" s="1">
        <v>0</v>
      </c>
      <c r="AQ794" s="1">
        <v>0</v>
      </c>
      <c r="AR794" s="1">
        <v>116013844</v>
      </c>
      <c r="AS794" s="1">
        <v>46052143</v>
      </c>
      <c r="AT794" s="1">
        <v>69961701</v>
      </c>
      <c r="AU794" s="1">
        <v>22835683</v>
      </c>
      <c r="AV794" s="1">
        <v>3425353</v>
      </c>
      <c r="AW794" s="1">
        <f t="shared" si="83"/>
        <v>142274880</v>
      </c>
    </row>
    <row r="795" spans="1:49" x14ac:dyDescent="0.2">
      <c r="A795" s="1" t="str">
        <f>"00918"</f>
        <v>00918</v>
      </c>
      <c r="B795" s="1" t="str">
        <f>"محمدعلي"</f>
        <v>محمدعلي</v>
      </c>
      <c r="C795" s="1" t="str">
        <f>"آبادي"</f>
        <v>آبادي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17309881</v>
      </c>
      <c r="G795" s="1">
        <v>0</v>
      </c>
      <c r="H795" s="1">
        <v>0</v>
      </c>
      <c r="I795" s="1">
        <v>808437</v>
      </c>
      <c r="J795" s="1">
        <v>0</v>
      </c>
      <c r="K795" s="1">
        <v>16585260</v>
      </c>
      <c r="L795" s="1">
        <v>0</v>
      </c>
      <c r="M795" s="1">
        <v>4620000</v>
      </c>
      <c r="N795" s="1">
        <v>0</v>
      </c>
      <c r="O795" s="1">
        <v>1000000</v>
      </c>
      <c r="P795" s="1">
        <v>3466133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1848000</v>
      </c>
      <c r="W795" s="1">
        <v>0</v>
      </c>
      <c r="X795" s="1">
        <v>9044771</v>
      </c>
      <c r="Y795" s="1">
        <v>4000000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2723390</v>
      </c>
      <c r="AH795" s="1">
        <v>1835427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8154111</v>
      </c>
      <c r="AO795" s="1">
        <v>0</v>
      </c>
      <c r="AP795" s="1">
        <v>0</v>
      </c>
      <c r="AQ795" s="1">
        <v>0</v>
      </c>
      <c r="AR795" s="1">
        <v>71395410</v>
      </c>
      <c r="AS795" s="1">
        <v>31380754</v>
      </c>
      <c r="AT795" s="1">
        <v>40014656</v>
      </c>
      <c r="AU795" s="1">
        <v>13911997</v>
      </c>
      <c r="AV795" s="1">
        <v>2086799</v>
      </c>
      <c r="AW795" s="1">
        <f t="shared" si="83"/>
        <v>87394206</v>
      </c>
    </row>
    <row r="796" spans="1:49" x14ac:dyDescent="0.2">
      <c r="A796" s="1" t="str">
        <f>"00919"</f>
        <v>00919</v>
      </c>
      <c r="B796" s="1" t="str">
        <f>"اکبر"</f>
        <v>اکبر</v>
      </c>
      <c r="C796" s="1" t="str">
        <f>"آذربخش"</f>
        <v>آذربخش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15307064</v>
      </c>
      <c r="G796" s="1">
        <v>0</v>
      </c>
      <c r="H796" s="1">
        <v>0</v>
      </c>
      <c r="I796" s="1">
        <v>20856117</v>
      </c>
      <c r="J796" s="1">
        <v>0</v>
      </c>
      <c r="K796" s="1">
        <v>14655280</v>
      </c>
      <c r="L796" s="1">
        <v>0</v>
      </c>
      <c r="M796" s="1">
        <v>4620000</v>
      </c>
      <c r="N796" s="1">
        <v>0</v>
      </c>
      <c r="O796" s="1">
        <v>1000000</v>
      </c>
      <c r="P796" s="1">
        <v>2765147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8706119</v>
      </c>
      <c r="Y796" s="1">
        <v>4000000</v>
      </c>
      <c r="Z796" s="1">
        <v>2221993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2172615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12159996</v>
      </c>
      <c r="AO796" s="1">
        <v>0</v>
      </c>
      <c r="AP796" s="1">
        <v>0</v>
      </c>
      <c r="AQ796" s="1">
        <v>0</v>
      </c>
      <c r="AR796" s="1">
        <v>88464331</v>
      </c>
      <c r="AS796" s="1">
        <v>40907283</v>
      </c>
      <c r="AT796" s="1">
        <v>47557048</v>
      </c>
      <c r="AU796" s="1">
        <v>17692866</v>
      </c>
      <c r="AV796" s="1">
        <v>2653930</v>
      </c>
      <c r="AW796" s="1">
        <f t="shared" si="83"/>
        <v>108811127</v>
      </c>
    </row>
    <row r="797" spans="1:49" x14ac:dyDescent="0.2">
      <c r="A797" s="1" t="str">
        <f>"00920"</f>
        <v>00920</v>
      </c>
      <c r="B797" s="1" t="str">
        <f>"احمد"</f>
        <v>احمد</v>
      </c>
      <c r="C797" s="1" t="str">
        <f>"اسماعيلي"</f>
        <v>اسماعيلي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17478672</v>
      </c>
      <c r="G797" s="1">
        <v>0</v>
      </c>
      <c r="H797" s="1">
        <v>0</v>
      </c>
      <c r="I797" s="1">
        <v>24645500</v>
      </c>
      <c r="J797" s="1">
        <v>0</v>
      </c>
      <c r="K797" s="1">
        <v>18170072</v>
      </c>
      <c r="L797" s="1">
        <v>0</v>
      </c>
      <c r="M797" s="1">
        <v>3465000</v>
      </c>
      <c r="N797" s="1">
        <v>0</v>
      </c>
      <c r="O797" s="1">
        <v>1000000</v>
      </c>
      <c r="P797" s="1">
        <v>3525209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10287948</v>
      </c>
      <c r="Y797" s="1">
        <v>4000000</v>
      </c>
      <c r="Z797" s="1">
        <v>2537227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2769808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13666770</v>
      </c>
      <c r="AO797" s="1">
        <v>0</v>
      </c>
      <c r="AP797" s="1">
        <v>0</v>
      </c>
      <c r="AQ797" s="1">
        <v>0</v>
      </c>
      <c r="AR797" s="1">
        <v>101546206</v>
      </c>
      <c r="AS797" s="1">
        <v>19213726</v>
      </c>
      <c r="AT797" s="1">
        <v>82332480</v>
      </c>
      <c r="AU797" s="1">
        <v>20309241</v>
      </c>
      <c r="AV797" s="1">
        <v>3046386</v>
      </c>
      <c r="AW797" s="1">
        <f t="shared" si="83"/>
        <v>124901833</v>
      </c>
    </row>
    <row r="798" spans="1:49" x14ac:dyDescent="0.2">
      <c r="A798" s="1" t="str">
        <f>"00921"</f>
        <v>00921</v>
      </c>
      <c r="B798" s="1" t="str">
        <f>"حسين"</f>
        <v>حسين</v>
      </c>
      <c r="C798" s="1" t="str">
        <f>"اسماعيلي فرد"</f>
        <v>اسماعيلي فرد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32029956</v>
      </c>
      <c r="G798" s="1">
        <v>0</v>
      </c>
      <c r="H798" s="1">
        <v>0</v>
      </c>
      <c r="I798" s="1">
        <v>4053913</v>
      </c>
      <c r="J798" s="1">
        <v>0</v>
      </c>
      <c r="K798" s="1">
        <v>28121925</v>
      </c>
      <c r="L798" s="1">
        <v>0</v>
      </c>
      <c r="M798" s="1">
        <v>0</v>
      </c>
      <c r="N798" s="1">
        <v>0</v>
      </c>
      <c r="O798" s="1">
        <v>1000000</v>
      </c>
      <c r="P798" s="1">
        <v>5027701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1848000</v>
      </c>
      <c r="W798" s="1">
        <v>0</v>
      </c>
      <c r="X798" s="1">
        <v>19149911</v>
      </c>
      <c r="Y798" s="1">
        <v>4000000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3950336</v>
      </c>
      <c r="AH798" s="1">
        <v>3670854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7469727</v>
      </c>
      <c r="AO798" s="1">
        <v>0</v>
      </c>
      <c r="AP798" s="1">
        <v>0</v>
      </c>
      <c r="AQ798" s="1">
        <v>0</v>
      </c>
      <c r="AR798" s="1">
        <v>110322323</v>
      </c>
      <c r="AS798" s="1">
        <v>48022952</v>
      </c>
      <c r="AT798" s="1">
        <v>62299371</v>
      </c>
      <c r="AU798" s="1">
        <v>21330294</v>
      </c>
      <c r="AV798" s="1">
        <v>3199544</v>
      </c>
      <c r="AW798" s="1">
        <f t="shared" si="83"/>
        <v>134852161</v>
      </c>
    </row>
    <row r="799" spans="1:49" x14ac:dyDescent="0.2">
      <c r="A799" s="1" t="str">
        <f>"00922"</f>
        <v>00922</v>
      </c>
      <c r="B799" s="1" t="str">
        <f>"رضا"</f>
        <v>رضا</v>
      </c>
      <c r="C799" s="1" t="str">
        <f>"اسماعيلي نژاد"</f>
        <v>اسماعيلي نژاد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33093087</v>
      </c>
      <c r="G799" s="1">
        <v>0</v>
      </c>
      <c r="H799" s="1">
        <v>0</v>
      </c>
      <c r="I799" s="1">
        <v>7355240</v>
      </c>
      <c r="J799" s="1">
        <v>0</v>
      </c>
      <c r="K799" s="1">
        <v>31967473</v>
      </c>
      <c r="L799" s="1">
        <v>0</v>
      </c>
      <c r="M799" s="1">
        <v>0</v>
      </c>
      <c r="N799" s="1">
        <v>0</v>
      </c>
      <c r="O799" s="1">
        <v>1000000</v>
      </c>
      <c r="P799" s="1">
        <v>5399796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1848000</v>
      </c>
      <c r="W799" s="1">
        <v>0</v>
      </c>
      <c r="X799" s="1">
        <v>21508658</v>
      </c>
      <c r="Y799" s="1">
        <v>4000000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4242697</v>
      </c>
      <c r="AH799" s="1">
        <v>1835427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8022554</v>
      </c>
      <c r="AO799" s="1">
        <v>0</v>
      </c>
      <c r="AP799" s="1">
        <v>0</v>
      </c>
      <c r="AQ799" s="1">
        <v>0</v>
      </c>
      <c r="AR799" s="1">
        <v>120272932</v>
      </c>
      <c r="AS799" s="1">
        <v>52416303</v>
      </c>
      <c r="AT799" s="1">
        <v>67856629</v>
      </c>
      <c r="AU799" s="1">
        <v>23687501</v>
      </c>
      <c r="AV799" s="1">
        <v>3553125</v>
      </c>
      <c r="AW799" s="1">
        <f t="shared" si="83"/>
        <v>147513558</v>
      </c>
    </row>
    <row r="800" spans="1:49" x14ac:dyDescent="0.2">
      <c r="A800" s="1" t="str">
        <f>"00923"</f>
        <v>00923</v>
      </c>
      <c r="B800" s="1" t="str">
        <f>"قاسم"</f>
        <v>قاسم</v>
      </c>
      <c r="C800" s="1" t="str">
        <f>"اکراميان"</f>
        <v>اکراميان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20081075</v>
      </c>
      <c r="G800" s="1">
        <v>0</v>
      </c>
      <c r="H800" s="1">
        <v>0</v>
      </c>
      <c r="I800" s="1">
        <v>27966254</v>
      </c>
      <c r="J800" s="1">
        <v>0</v>
      </c>
      <c r="K800" s="1">
        <v>22288764</v>
      </c>
      <c r="L800" s="1">
        <v>0</v>
      </c>
      <c r="M800" s="1">
        <v>4620000</v>
      </c>
      <c r="N800" s="1">
        <v>0</v>
      </c>
      <c r="O800" s="1">
        <v>1000000</v>
      </c>
      <c r="P800" s="1">
        <v>4039266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1848000</v>
      </c>
      <c r="W800" s="1">
        <v>0</v>
      </c>
      <c r="X800" s="1">
        <v>13328431</v>
      </c>
      <c r="Y800" s="1">
        <v>4000000</v>
      </c>
      <c r="Z800" s="1">
        <v>2914995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3173709</v>
      </c>
      <c r="AH800" s="1">
        <v>1835427</v>
      </c>
      <c r="AI800" s="1">
        <v>4975899</v>
      </c>
      <c r="AJ800" s="1">
        <v>0</v>
      </c>
      <c r="AK800" s="1">
        <v>0</v>
      </c>
      <c r="AL800" s="1">
        <v>0</v>
      </c>
      <c r="AM800" s="1">
        <v>0</v>
      </c>
      <c r="AN800" s="1">
        <v>14679893</v>
      </c>
      <c r="AO800" s="1">
        <v>0</v>
      </c>
      <c r="AP800" s="1">
        <v>0</v>
      </c>
      <c r="AQ800" s="1">
        <v>0</v>
      </c>
      <c r="AR800" s="1">
        <v>126751713</v>
      </c>
      <c r="AS800" s="1">
        <v>57760053</v>
      </c>
      <c r="AT800" s="1">
        <v>68991660</v>
      </c>
      <c r="AU800" s="1">
        <v>24983257</v>
      </c>
      <c r="AV800" s="1">
        <v>3747489</v>
      </c>
      <c r="AW800" s="1">
        <f t="shared" si="83"/>
        <v>155482459</v>
      </c>
    </row>
    <row r="801" spans="1:49" x14ac:dyDescent="0.2">
      <c r="A801" s="1" t="str">
        <f>"00924"</f>
        <v>00924</v>
      </c>
      <c r="B801" s="1" t="str">
        <f>"بهنام"</f>
        <v>بهنام</v>
      </c>
      <c r="C801" s="1" t="str">
        <f>"اميني"</f>
        <v>اميني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18113527</v>
      </c>
      <c r="G801" s="1">
        <v>0</v>
      </c>
      <c r="H801" s="1">
        <v>0</v>
      </c>
      <c r="I801" s="1">
        <v>38187032</v>
      </c>
      <c r="J801" s="1">
        <v>0</v>
      </c>
      <c r="K801" s="1">
        <v>19868757</v>
      </c>
      <c r="L801" s="1">
        <v>0</v>
      </c>
      <c r="M801" s="1">
        <v>4620000</v>
      </c>
      <c r="N801" s="1">
        <v>0</v>
      </c>
      <c r="O801" s="1">
        <v>1000000</v>
      </c>
      <c r="P801" s="1">
        <v>3747409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10707711</v>
      </c>
      <c r="Y801" s="1">
        <v>4000000</v>
      </c>
      <c r="Z801" s="1">
        <v>2629383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2944393</v>
      </c>
      <c r="AH801" s="1">
        <v>7341708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13998305</v>
      </c>
      <c r="AO801" s="1">
        <v>0</v>
      </c>
      <c r="AP801" s="1">
        <v>0</v>
      </c>
      <c r="AQ801" s="1">
        <v>0</v>
      </c>
      <c r="AR801" s="1">
        <v>127158225</v>
      </c>
      <c r="AS801" s="1">
        <v>46047058</v>
      </c>
      <c r="AT801" s="1">
        <v>81111167</v>
      </c>
      <c r="AU801" s="1">
        <v>23963303</v>
      </c>
      <c r="AV801" s="1">
        <v>3594496</v>
      </c>
      <c r="AW801" s="1">
        <f t="shared" si="83"/>
        <v>154716024</v>
      </c>
    </row>
    <row r="802" spans="1:49" x14ac:dyDescent="0.2">
      <c r="A802" s="1" t="str">
        <f>"00925"</f>
        <v>00925</v>
      </c>
      <c r="B802" s="1" t="str">
        <f>"سياوش"</f>
        <v>سياوش</v>
      </c>
      <c r="C802" s="1" t="str">
        <f>"ايرانپور"</f>
        <v>ايرانپور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30664514</v>
      </c>
      <c r="G802" s="1">
        <v>0</v>
      </c>
      <c r="H802" s="1">
        <v>0</v>
      </c>
      <c r="I802" s="1">
        <v>43121290</v>
      </c>
      <c r="J802" s="1">
        <v>0</v>
      </c>
      <c r="K802" s="1">
        <v>31177588</v>
      </c>
      <c r="L802" s="1">
        <v>0</v>
      </c>
      <c r="M802" s="1">
        <v>5500000</v>
      </c>
      <c r="N802" s="1">
        <v>0</v>
      </c>
      <c r="O802" s="1">
        <v>1000000</v>
      </c>
      <c r="P802" s="1">
        <v>4549796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17615286</v>
      </c>
      <c r="Y802" s="1">
        <v>4000000</v>
      </c>
      <c r="Z802" s="1">
        <v>4451300</v>
      </c>
      <c r="AA802" s="1">
        <v>0</v>
      </c>
      <c r="AB802" s="1">
        <v>0</v>
      </c>
      <c r="AC802" s="1">
        <v>0</v>
      </c>
      <c r="AD802" s="1">
        <v>0</v>
      </c>
      <c r="AE802" s="1">
        <v>3892267</v>
      </c>
      <c r="AF802" s="1">
        <v>0</v>
      </c>
      <c r="AG802" s="1">
        <v>3574839</v>
      </c>
      <c r="AH802" s="1">
        <v>1835427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17648975</v>
      </c>
      <c r="AO802" s="1">
        <v>0</v>
      </c>
      <c r="AP802" s="1">
        <v>0</v>
      </c>
      <c r="AQ802" s="1">
        <v>0</v>
      </c>
      <c r="AR802" s="1">
        <v>169031282</v>
      </c>
      <c r="AS802" s="1">
        <v>60916010</v>
      </c>
      <c r="AT802" s="1">
        <v>108115272</v>
      </c>
      <c r="AU802" s="1">
        <v>27637511</v>
      </c>
      <c r="AV802" s="1">
        <v>4145627</v>
      </c>
      <c r="AW802" s="1">
        <f t="shared" si="83"/>
        <v>200814420</v>
      </c>
    </row>
    <row r="803" spans="1:49" x14ac:dyDescent="0.2">
      <c r="A803" s="1" t="str">
        <f>"00926"</f>
        <v>00926</v>
      </c>
      <c r="B803" s="1" t="str">
        <f>"حسين"</f>
        <v>حسين</v>
      </c>
      <c r="C803" s="1" t="str">
        <f>"بادسار"</f>
        <v>بادسار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16891683</v>
      </c>
      <c r="G803" s="1">
        <v>0</v>
      </c>
      <c r="H803" s="1">
        <v>0</v>
      </c>
      <c r="I803" s="1">
        <v>23456938</v>
      </c>
      <c r="J803" s="1">
        <v>0</v>
      </c>
      <c r="K803" s="1">
        <v>16463486</v>
      </c>
      <c r="L803" s="1">
        <v>0</v>
      </c>
      <c r="M803" s="1">
        <v>4620000</v>
      </c>
      <c r="N803" s="1">
        <v>0</v>
      </c>
      <c r="O803" s="1">
        <v>1000000</v>
      </c>
      <c r="P803" s="1">
        <v>3319764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1848000</v>
      </c>
      <c r="W803" s="1">
        <v>0</v>
      </c>
      <c r="X803" s="1">
        <v>10124683</v>
      </c>
      <c r="Y803" s="1">
        <v>4000000</v>
      </c>
      <c r="Z803" s="1">
        <v>2452019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2608385</v>
      </c>
      <c r="AH803" s="1">
        <v>5506281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13312435</v>
      </c>
      <c r="AO803" s="1">
        <v>0</v>
      </c>
      <c r="AP803" s="1">
        <v>0</v>
      </c>
      <c r="AQ803" s="1">
        <v>0</v>
      </c>
      <c r="AR803" s="1">
        <v>105603674</v>
      </c>
      <c r="AS803" s="1">
        <v>16394390</v>
      </c>
      <c r="AT803" s="1">
        <v>89209284</v>
      </c>
      <c r="AU803" s="1">
        <v>20019479</v>
      </c>
      <c r="AV803" s="1">
        <v>3002922</v>
      </c>
      <c r="AW803" s="1">
        <f t="shared" si="83"/>
        <v>128626075</v>
      </c>
    </row>
    <row r="804" spans="1:49" x14ac:dyDescent="0.2">
      <c r="A804" s="1" t="str">
        <f>"00927"</f>
        <v>00927</v>
      </c>
      <c r="B804" s="1" t="str">
        <f>"محمدمهدي"</f>
        <v>محمدمهدي</v>
      </c>
      <c r="C804" s="1" t="str">
        <f>"باروني"</f>
        <v>باروني</v>
      </c>
      <c r="D804" s="1" t="str">
        <f t="shared" si="86"/>
        <v>قراردادي بهره بردار</v>
      </c>
      <c r="E804" s="1" t="str">
        <f t="shared" si="87"/>
        <v>پروژه بهره برداري نيروگاه بوشهر</v>
      </c>
      <c r="F804" s="1">
        <v>15818475</v>
      </c>
      <c r="G804" s="1">
        <v>0</v>
      </c>
      <c r="H804" s="1">
        <v>0</v>
      </c>
      <c r="I804" s="1">
        <v>26337185</v>
      </c>
      <c r="J804" s="1">
        <v>0</v>
      </c>
      <c r="K804" s="1">
        <v>16704693</v>
      </c>
      <c r="L804" s="1">
        <v>0</v>
      </c>
      <c r="M804" s="1">
        <v>0</v>
      </c>
      <c r="N804" s="1">
        <v>0</v>
      </c>
      <c r="O804" s="1">
        <v>1000000</v>
      </c>
      <c r="P804" s="1">
        <v>2944141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9552269</v>
      </c>
      <c r="Y804" s="1">
        <v>4000000</v>
      </c>
      <c r="Z804" s="1">
        <v>2296230</v>
      </c>
      <c r="AA804" s="1">
        <v>0</v>
      </c>
      <c r="AB804" s="1">
        <v>0</v>
      </c>
      <c r="AC804" s="1">
        <v>0</v>
      </c>
      <c r="AD804" s="1">
        <v>0</v>
      </c>
      <c r="AE804" s="1">
        <v>1531714</v>
      </c>
      <c r="AF804" s="1">
        <v>0</v>
      </c>
      <c r="AG804" s="1">
        <v>2313254</v>
      </c>
      <c r="AH804" s="1">
        <v>3670854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12321607</v>
      </c>
      <c r="AO804" s="1">
        <v>0</v>
      </c>
      <c r="AP804" s="1">
        <v>0</v>
      </c>
      <c r="AQ804" s="1">
        <v>0</v>
      </c>
      <c r="AR804" s="1">
        <v>98490422</v>
      </c>
      <c r="AS804" s="1">
        <v>47475828</v>
      </c>
      <c r="AT804" s="1">
        <v>51014594</v>
      </c>
      <c r="AU804" s="1">
        <v>18963914</v>
      </c>
      <c r="AV804" s="1">
        <v>2844587</v>
      </c>
      <c r="AW804" s="1">
        <f t="shared" si="83"/>
        <v>120298923</v>
      </c>
    </row>
    <row r="805" spans="1:49" x14ac:dyDescent="0.2">
      <c r="A805" s="1" t="str">
        <f>"00928"</f>
        <v>00928</v>
      </c>
      <c r="B805" s="1" t="str">
        <f>"احد"</f>
        <v>احد</v>
      </c>
      <c r="C805" s="1" t="str">
        <f>"باصري"</f>
        <v>باصري</v>
      </c>
      <c r="D805" s="1" t="str">
        <f t="shared" si="86"/>
        <v>قراردادي بهره بردار</v>
      </c>
      <c r="E805" s="1" t="str">
        <f t="shared" si="87"/>
        <v>پروژه بهره برداري نيروگاه بوشهر</v>
      </c>
      <c r="F805" s="1">
        <v>32029956</v>
      </c>
      <c r="G805" s="1">
        <v>0</v>
      </c>
      <c r="H805" s="1">
        <v>0</v>
      </c>
      <c r="I805" s="1">
        <v>12587990</v>
      </c>
      <c r="J805" s="1">
        <v>0</v>
      </c>
      <c r="K805" s="1">
        <v>30105573</v>
      </c>
      <c r="L805" s="1">
        <v>0</v>
      </c>
      <c r="M805" s="1">
        <v>0</v>
      </c>
      <c r="N805" s="1">
        <v>0</v>
      </c>
      <c r="O805" s="1">
        <v>1000000</v>
      </c>
      <c r="P805" s="1">
        <v>5027701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1848000</v>
      </c>
      <c r="W805" s="1">
        <v>0</v>
      </c>
      <c r="X805" s="1">
        <v>20450330</v>
      </c>
      <c r="Y805" s="1">
        <v>4000000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3950336</v>
      </c>
      <c r="AH805" s="1">
        <v>3670854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7541551</v>
      </c>
      <c r="AO805" s="1">
        <v>0</v>
      </c>
      <c r="AP805" s="1">
        <v>0</v>
      </c>
      <c r="AQ805" s="1">
        <v>0</v>
      </c>
      <c r="AR805" s="1">
        <v>122212291</v>
      </c>
      <c r="AS805" s="1">
        <v>49224641</v>
      </c>
      <c r="AT805" s="1">
        <v>72987650</v>
      </c>
      <c r="AU805" s="1">
        <v>23708287</v>
      </c>
      <c r="AV805" s="1">
        <v>3556243</v>
      </c>
      <c r="AW805" s="1">
        <f t="shared" si="83"/>
        <v>149476821</v>
      </c>
    </row>
    <row r="806" spans="1:49" x14ac:dyDescent="0.2">
      <c r="A806" s="1" t="str">
        <f>"00929"</f>
        <v>00929</v>
      </c>
      <c r="B806" s="1" t="str">
        <f>"علي اصغر"</f>
        <v>علي اصغر</v>
      </c>
      <c r="C806" s="1" t="str">
        <f>"بوستان"</f>
        <v>بوستان</v>
      </c>
      <c r="D806" s="1" t="str">
        <f t="shared" si="86"/>
        <v>قراردادي بهره بردار</v>
      </c>
      <c r="E806" s="1" t="str">
        <f t="shared" si="87"/>
        <v>پروژه بهره برداري نيروگاه بوشهر</v>
      </c>
      <c r="F806" s="1">
        <v>18473782</v>
      </c>
      <c r="G806" s="1">
        <v>0</v>
      </c>
      <c r="H806" s="1">
        <v>0</v>
      </c>
      <c r="I806" s="1">
        <v>34568330</v>
      </c>
      <c r="J806" s="1">
        <v>0</v>
      </c>
      <c r="K806" s="1">
        <v>18315412</v>
      </c>
      <c r="L806" s="1">
        <v>0</v>
      </c>
      <c r="M806" s="1">
        <v>4620000</v>
      </c>
      <c r="N806" s="1">
        <v>0</v>
      </c>
      <c r="O806" s="1">
        <v>1000000</v>
      </c>
      <c r="P806" s="1">
        <v>3476714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13799741</v>
      </c>
      <c r="Y806" s="1">
        <v>4000000</v>
      </c>
      <c r="Z806" s="1">
        <v>2681678</v>
      </c>
      <c r="AA806" s="1">
        <v>0</v>
      </c>
      <c r="AB806" s="1">
        <v>9673129</v>
      </c>
      <c r="AC806" s="1">
        <v>0</v>
      </c>
      <c r="AD806" s="1">
        <v>0</v>
      </c>
      <c r="AE806" s="1">
        <v>0</v>
      </c>
      <c r="AF806" s="1">
        <v>0</v>
      </c>
      <c r="AG806" s="1">
        <v>2731703</v>
      </c>
      <c r="AH806" s="1">
        <v>7341708</v>
      </c>
      <c r="AI806" s="1">
        <v>22641094</v>
      </c>
      <c r="AJ806" s="1">
        <v>0</v>
      </c>
      <c r="AK806" s="1">
        <v>0</v>
      </c>
      <c r="AL806" s="1">
        <v>0</v>
      </c>
      <c r="AM806" s="1">
        <v>0</v>
      </c>
      <c r="AN806" s="1">
        <v>12992236</v>
      </c>
      <c r="AO806" s="1">
        <v>0</v>
      </c>
      <c r="AP806" s="1">
        <v>0</v>
      </c>
      <c r="AQ806" s="1">
        <v>0</v>
      </c>
      <c r="AR806" s="1">
        <v>156315527</v>
      </c>
      <c r="AS806" s="1">
        <v>46839090</v>
      </c>
      <c r="AT806" s="1">
        <v>109476437</v>
      </c>
      <c r="AU806" s="1">
        <v>27637511</v>
      </c>
      <c r="AV806" s="1">
        <v>4145627</v>
      </c>
      <c r="AW806" s="1">
        <f t="shared" si="83"/>
        <v>188098665</v>
      </c>
    </row>
    <row r="807" spans="1:49" x14ac:dyDescent="0.2">
      <c r="A807" s="1" t="str">
        <f>"00930"</f>
        <v>00930</v>
      </c>
      <c r="B807" s="1" t="str">
        <f>"فيض اله"</f>
        <v>فيض اله</v>
      </c>
      <c r="C807" s="1" t="str">
        <f>"بهي مقدم"</f>
        <v>بهي مقدم</v>
      </c>
      <c r="D807" s="1" t="str">
        <f t="shared" si="86"/>
        <v>قراردادي بهره بردار</v>
      </c>
      <c r="E807" s="1" t="str">
        <f t="shared" si="87"/>
        <v>پروژه بهره برداري نيروگاه بوشهر</v>
      </c>
      <c r="F807" s="1">
        <v>16052767</v>
      </c>
      <c r="G807" s="1">
        <v>0</v>
      </c>
      <c r="H807" s="1">
        <v>0</v>
      </c>
      <c r="I807" s="1">
        <v>22600468</v>
      </c>
      <c r="J807" s="1">
        <v>0</v>
      </c>
      <c r="K807" s="1">
        <v>16205889</v>
      </c>
      <c r="L807" s="1">
        <v>0</v>
      </c>
      <c r="M807" s="1">
        <v>4620000</v>
      </c>
      <c r="N807" s="1">
        <v>0</v>
      </c>
      <c r="O807" s="1">
        <v>1000000</v>
      </c>
      <c r="P807" s="1">
        <v>3026144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9648545</v>
      </c>
      <c r="Y807" s="1">
        <v>4000000</v>
      </c>
      <c r="Z807" s="1">
        <v>2330240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2377683</v>
      </c>
      <c r="AH807" s="1">
        <v>5506281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13119333</v>
      </c>
      <c r="AO807" s="1">
        <v>0</v>
      </c>
      <c r="AP807" s="1">
        <v>0</v>
      </c>
      <c r="AQ807" s="1">
        <v>0</v>
      </c>
      <c r="AR807" s="1">
        <v>100487350</v>
      </c>
      <c r="AS807" s="1">
        <v>28598482</v>
      </c>
      <c r="AT807" s="1">
        <v>71888868</v>
      </c>
      <c r="AU807" s="1">
        <v>18996214</v>
      </c>
      <c r="AV807" s="1">
        <v>2849432</v>
      </c>
      <c r="AW807" s="1">
        <f t="shared" si="83"/>
        <v>122332996</v>
      </c>
    </row>
    <row r="808" spans="1:49" x14ac:dyDescent="0.2">
      <c r="A808" s="1" t="str">
        <f>"00931"</f>
        <v>00931</v>
      </c>
      <c r="B808" s="1" t="str">
        <f>"محمدجواد"</f>
        <v>محمدجواد</v>
      </c>
      <c r="C808" s="1" t="str">
        <f>"پرهيزکار"</f>
        <v>پرهيزکار</v>
      </c>
      <c r="D808" s="1" t="str">
        <f t="shared" si="86"/>
        <v>قراردادي بهره بردار</v>
      </c>
      <c r="E808" s="1" t="str">
        <f t="shared" si="87"/>
        <v>پروژه بهره برداري نيروگاه بوشهر</v>
      </c>
      <c r="F808" s="1">
        <v>32380134</v>
      </c>
      <c r="G808" s="1">
        <v>0</v>
      </c>
      <c r="H808" s="1">
        <v>0</v>
      </c>
      <c r="I808" s="1">
        <v>6958004</v>
      </c>
      <c r="J808" s="1">
        <v>0</v>
      </c>
      <c r="K808" s="1">
        <v>29581456</v>
      </c>
      <c r="L808" s="1">
        <v>0</v>
      </c>
      <c r="M808" s="1">
        <v>0</v>
      </c>
      <c r="N808" s="1">
        <v>0</v>
      </c>
      <c r="O808" s="1">
        <v>1000000</v>
      </c>
      <c r="P808" s="1">
        <v>5150263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1848000</v>
      </c>
      <c r="W808" s="1">
        <v>0</v>
      </c>
      <c r="X808" s="1">
        <v>19720970</v>
      </c>
      <c r="Y808" s="1">
        <v>4000000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4046635</v>
      </c>
      <c r="AH808" s="1">
        <v>1835427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7725394</v>
      </c>
      <c r="AO808" s="1">
        <v>0</v>
      </c>
      <c r="AP808" s="1">
        <v>0</v>
      </c>
      <c r="AQ808" s="1">
        <v>0</v>
      </c>
      <c r="AR808" s="1">
        <v>114246283</v>
      </c>
      <c r="AS808" s="1">
        <v>31830397</v>
      </c>
      <c r="AT808" s="1">
        <v>82415886</v>
      </c>
      <c r="AU808" s="1">
        <v>22482171</v>
      </c>
      <c r="AV808" s="1">
        <v>3372326</v>
      </c>
      <c r="AW808" s="1">
        <f t="shared" si="83"/>
        <v>140100780</v>
      </c>
    </row>
    <row r="809" spans="1:49" x14ac:dyDescent="0.2">
      <c r="A809" s="1" t="str">
        <f>"00932"</f>
        <v>00932</v>
      </c>
      <c r="B809" s="1" t="str">
        <f>"مختار"</f>
        <v>مختار</v>
      </c>
      <c r="C809" s="1" t="str">
        <f>"جعفري"</f>
        <v>جعفري</v>
      </c>
      <c r="D809" s="1" t="str">
        <f t="shared" si="86"/>
        <v>قراردادي بهره بردار</v>
      </c>
      <c r="E809" s="1" t="str">
        <f t="shared" si="87"/>
        <v>پروژه بهره برداري نيروگاه بوشهر</v>
      </c>
      <c r="F809" s="1">
        <v>16448292</v>
      </c>
      <c r="G809" s="1">
        <v>0</v>
      </c>
      <c r="H809" s="1">
        <v>0</v>
      </c>
      <c r="I809" s="1">
        <v>20572409</v>
      </c>
      <c r="J809" s="1">
        <v>0</v>
      </c>
      <c r="K809" s="1">
        <v>16173112</v>
      </c>
      <c r="L809" s="1">
        <v>0</v>
      </c>
      <c r="M809" s="1">
        <v>4620000</v>
      </c>
      <c r="N809" s="1">
        <v>0</v>
      </c>
      <c r="O809" s="1">
        <v>1000000</v>
      </c>
      <c r="P809" s="1">
        <v>3164577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9482240</v>
      </c>
      <c r="Y809" s="1">
        <v>4000000</v>
      </c>
      <c r="Z809" s="1">
        <v>2387655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2486453</v>
      </c>
      <c r="AH809" s="1">
        <v>1835427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12982915</v>
      </c>
      <c r="AO809" s="1">
        <v>0</v>
      </c>
      <c r="AP809" s="1">
        <v>0</v>
      </c>
      <c r="AQ809" s="1">
        <v>0</v>
      </c>
      <c r="AR809" s="1">
        <v>95153080</v>
      </c>
      <c r="AS809" s="1">
        <v>28954071</v>
      </c>
      <c r="AT809" s="1">
        <v>66199009</v>
      </c>
      <c r="AU809" s="1">
        <v>18663531</v>
      </c>
      <c r="AV809" s="1">
        <v>2799530</v>
      </c>
      <c r="AW809" s="1">
        <f t="shared" si="83"/>
        <v>116616141</v>
      </c>
    </row>
    <row r="810" spans="1:49" x14ac:dyDescent="0.2">
      <c r="A810" s="1" t="str">
        <f>"00933"</f>
        <v>00933</v>
      </c>
      <c r="B810" s="1" t="str">
        <f>"پيام"</f>
        <v>پيام</v>
      </c>
      <c r="C810" s="1" t="str">
        <f>"جعفري زاده"</f>
        <v>جعفري زاده</v>
      </c>
      <c r="D810" s="1" t="str">
        <f t="shared" si="86"/>
        <v>قراردادي بهره بردار</v>
      </c>
      <c r="E810" s="1" t="str">
        <f t="shared" si="87"/>
        <v>پروژه بهره برداري نيروگاه بوشهر</v>
      </c>
      <c r="F810" s="1">
        <v>16463408</v>
      </c>
      <c r="G810" s="1">
        <v>0</v>
      </c>
      <c r="H810" s="1">
        <v>0</v>
      </c>
      <c r="I810" s="1">
        <v>21333007</v>
      </c>
      <c r="J810" s="1">
        <v>0</v>
      </c>
      <c r="K810" s="1">
        <v>16626964</v>
      </c>
      <c r="L810" s="1">
        <v>0</v>
      </c>
      <c r="M810" s="1">
        <v>4620000</v>
      </c>
      <c r="N810" s="1">
        <v>0</v>
      </c>
      <c r="O810" s="1">
        <v>1000000</v>
      </c>
      <c r="P810" s="1">
        <v>3169868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9832815</v>
      </c>
      <c r="Y810" s="1">
        <v>4000000</v>
      </c>
      <c r="Z810" s="1">
        <v>2389850</v>
      </c>
      <c r="AA810" s="1">
        <v>0</v>
      </c>
      <c r="AB810" s="1">
        <v>0</v>
      </c>
      <c r="AC810" s="1">
        <v>0</v>
      </c>
      <c r="AD810" s="1">
        <v>0</v>
      </c>
      <c r="AE810" s="1">
        <v>1531714</v>
      </c>
      <c r="AF810" s="1">
        <v>0</v>
      </c>
      <c r="AG810" s="1">
        <v>2490610</v>
      </c>
      <c r="AH810" s="1">
        <v>1835427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12867785</v>
      </c>
      <c r="AO810" s="1">
        <v>0</v>
      </c>
      <c r="AP810" s="1">
        <v>0</v>
      </c>
      <c r="AQ810" s="1">
        <v>0</v>
      </c>
      <c r="AR810" s="1">
        <v>98161448</v>
      </c>
      <c r="AS810" s="1">
        <v>37812413</v>
      </c>
      <c r="AT810" s="1">
        <v>60349035</v>
      </c>
      <c r="AU810" s="1">
        <v>19265204</v>
      </c>
      <c r="AV810" s="1">
        <v>2889781</v>
      </c>
      <c r="AW810" s="1">
        <f t="shared" si="83"/>
        <v>120316433</v>
      </c>
    </row>
    <row r="811" spans="1:49" x14ac:dyDescent="0.2">
      <c r="A811" s="1" t="str">
        <f>"00934"</f>
        <v>00934</v>
      </c>
      <c r="B811" s="1" t="str">
        <f>"اميد"</f>
        <v>اميد</v>
      </c>
      <c r="C811" s="1" t="str">
        <f>"جوکار"</f>
        <v>جوکار</v>
      </c>
      <c r="D811" s="1" t="str">
        <f t="shared" si="86"/>
        <v>قراردادي بهره بردار</v>
      </c>
      <c r="E811" s="1" t="str">
        <f t="shared" si="87"/>
        <v>پروژه بهره برداري نيروگاه بوشهر</v>
      </c>
      <c r="F811" s="1">
        <v>36642734</v>
      </c>
      <c r="G811" s="1">
        <v>0</v>
      </c>
      <c r="H811" s="1">
        <v>0</v>
      </c>
      <c r="I811" s="1">
        <v>828949</v>
      </c>
      <c r="J811" s="1">
        <v>0</v>
      </c>
      <c r="K811" s="1">
        <v>35606997</v>
      </c>
      <c r="L811" s="1">
        <v>0</v>
      </c>
      <c r="M811" s="1">
        <v>5500000</v>
      </c>
      <c r="N811" s="1">
        <v>0</v>
      </c>
      <c r="O811" s="1">
        <v>1000000</v>
      </c>
      <c r="P811" s="1">
        <v>6642173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1848000</v>
      </c>
      <c r="W811" s="1">
        <v>0</v>
      </c>
      <c r="X811" s="1">
        <v>23494781</v>
      </c>
      <c r="Y811" s="1">
        <v>4000000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5218850</v>
      </c>
      <c r="AH811" s="1">
        <v>3670854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9868371</v>
      </c>
      <c r="AO811" s="1">
        <v>0</v>
      </c>
      <c r="AP811" s="1">
        <v>0</v>
      </c>
      <c r="AQ811" s="1">
        <v>0</v>
      </c>
      <c r="AR811" s="1">
        <v>134321709</v>
      </c>
      <c r="AS811" s="1">
        <v>30865512</v>
      </c>
      <c r="AT811" s="1">
        <v>103456197</v>
      </c>
      <c r="AU811" s="1">
        <v>26130171</v>
      </c>
      <c r="AV811" s="1">
        <v>3919526</v>
      </c>
      <c r="AW811" s="1">
        <f t="shared" si="83"/>
        <v>164371406</v>
      </c>
    </row>
    <row r="812" spans="1:49" x14ac:dyDescent="0.2">
      <c r="A812" s="1" t="str">
        <f>"00935"</f>
        <v>00935</v>
      </c>
      <c r="B812" s="1" t="str">
        <f>"حسين"</f>
        <v>حسين</v>
      </c>
      <c r="C812" s="1" t="str">
        <f>"چغادکي نژاد"</f>
        <v>چغادکي نژاد</v>
      </c>
      <c r="D812" s="1" t="str">
        <f t="shared" si="86"/>
        <v>قراردادي بهره بردار</v>
      </c>
      <c r="E812" s="1" t="str">
        <f t="shared" si="87"/>
        <v>پروژه بهره برداري نيروگاه بوشهر</v>
      </c>
      <c r="F812" s="1">
        <v>16944588</v>
      </c>
      <c r="G812" s="1">
        <v>0</v>
      </c>
      <c r="H812" s="1">
        <v>0</v>
      </c>
      <c r="I812" s="1">
        <v>21783716</v>
      </c>
      <c r="J812" s="1">
        <v>0</v>
      </c>
      <c r="K812" s="1">
        <v>17734964</v>
      </c>
      <c r="L812" s="1">
        <v>0</v>
      </c>
      <c r="M812" s="1">
        <v>4620000</v>
      </c>
      <c r="N812" s="1">
        <v>0</v>
      </c>
      <c r="O812" s="1">
        <v>1000000</v>
      </c>
      <c r="P812" s="1">
        <v>3338280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10040556</v>
      </c>
      <c r="Y812" s="1">
        <v>4000000</v>
      </c>
      <c r="Z812" s="1">
        <v>2459698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2622935</v>
      </c>
      <c r="AH812" s="1">
        <v>3670854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13632507</v>
      </c>
      <c r="AO812" s="1">
        <v>0</v>
      </c>
      <c r="AP812" s="1">
        <v>0</v>
      </c>
      <c r="AQ812" s="1">
        <v>0</v>
      </c>
      <c r="AR812" s="1">
        <v>101848098</v>
      </c>
      <c r="AS812" s="1">
        <v>30298499</v>
      </c>
      <c r="AT812" s="1">
        <v>71549599</v>
      </c>
      <c r="AU812" s="1">
        <v>19635449</v>
      </c>
      <c r="AV812" s="1">
        <v>2945317</v>
      </c>
      <c r="AW812" s="1">
        <f t="shared" si="83"/>
        <v>124428864</v>
      </c>
    </row>
    <row r="813" spans="1:49" x14ac:dyDescent="0.2">
      <c r="A813" s="1" t="str">
        <f>"00936"</f>
        <v>00936</v>
      </c>
      <c r="B813" s="1" t="str">
        <f>"سيدمحمد"</f>
        <v>سيدمحمد</v>
      </c>
      <c r="C813" s="1" t="str">
        <f>"حسيني"</f>
        <v>حسيني</v>
      </c>
      <c r="D813" s="1" t="str">
        <f t="shared" si="86"/>
        <v>قراردادي بهره بردار</v>
      </c>
      <c r="E813" s="1" t="str">
        <f t="shared" si="87"/>
        <v>پروژه بهره برداري نيروگاه بوشهر</v>
      </c>
      <c r="F813" s="1">
        <v>33947118</v>
      </c>
      <c r="G813" s="1">
        <v>0</v>
      </c>
      <c r="H813" s="1">
        <v>0</v>
      </c>
      <c r="I813" s="1">
        <v>15244198</v>
      </c>
      <c r="J813" s="1">
        <v>0</v>
      </c>
      <c r="K813" s="1">
        <v>33136979</v>
      </c>
      <c r="L813" s="1">
        <v>0</v>
      </c>
      <c r="M813" s="1">
        <v>5500000</v>
      </c>
      <c r="N813" s="1">
        <v>0</v>
      </c>
      <c r="O813" s="1">
        <v>1000000</v>
      </c>
      <c r="P813" s="1">
        <v>5698707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1848000</v>
      </c>
      <c r="W813" s="1">
        <v>0</v>
      </c>
      <c r="X813" s="1">
        <v>22289023</v>
      </c>
      <c r="Y813" s="1">
        <v>4000000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4477555</v>
      </c>
      <c r="AH813" s="1">
        <v>3670854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8466651</v>
      </c>
      <c r="AO813" s="1">
        <v>0</v>
      </c>
      <c r="AP813" s="1">
        <v>0</v>
      </c>
      <c r="AQ813" s="1">
        <v>0</v>
      </c>
      <c r="AR813" s="1">
        <v>139279085</v>
      </c>
      <c r="AS813" s="1">
        <v>55120969</v>
      </c>
      <c r="AT813" s="1">
        <v>84158116</v>
      </c>
      <c r="AU813" s="1">
        <v>27121646</v>
      </c>
      <c r="AV813" s="1">
        <v>4068247</v>
      </c>
      <c r="AW813" s="1">
        <f t="shared" si="83"/>
        <v>170468978</v>
      </c>
    </row>
    <row r="814" spans="1:49" x14ac:dyDescent="0.2">
      <c r="A814" s="1" t="str">
        <f>"00937"</f>
        <v>00937</v>
      </c>
      <c r="B814" s="1" t="str">
        <f>"سيدمسلم"</f>
        <v>سيدمسلم</v>
      </c>
      <c r="C814" s="1" t="str">
        <f>"حسيني"</f>
        <v>حسيني</v>
      </c>
      <c r="D814" s="1" t="str">
        <f t="shared" si="86"/>
        <v>قراردادي بهره بردار</v>
      </c>
      <c r="E814" s="1" t="str">
        <f t="shared" si="87"/>
        <v>پروژه بهره برداري نيروگاه بوشهر</v>
      </c>
      <c r="F814" s="1">
        <v>16629679</v>
      </c>
      <c r="G814" s="1">
        <v>0</v>
      </c>
      <c r="H814" s="1">
        <v>0</v>
      </c>
      <c r="I814" s="1">
        <v>23019714</v>
      </c>
      <c r="J814" s="1">
        <v>0</v>
      </c>
      <c r="K814" s="1">
        <v>16267801</v>
      </c>
      <c r="L814" s="1">
        <v>0</v>
      </c>
      <c r="M814" s="1">
        <v>0</v>
      </c>
      <c r="N814" s="1">
        <v>0</v>
      </c>
      <c r="O814" s="1">
        <v>1000000</v>
      </c>
      <c r="P814" s="1">
        <v>3228062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9718636</v>
      </c>
      <c r="Y814" s="1">
        <v>4000000</v>
      </c>
      <c r="Z814" s="1">
        <v>2413986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2536334</v>
      </c>
      <c r="AH814" s="1">
        <v>3670854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13170852</v>
      </c>
      <c r="AO814" s="1">
        <v>0</v>
      </c>
      <c r="AP814" s="1">
        <v>0</v>
      </c>
      <c r="AQ814" s="1">
        <v>0</v>
      </c>
      <c r="AR814" s="1">
        <v>95655918</v>
      </c>
      <c r="AS814" s="1">
        <v>30329717</v>
      </c>
      <c r="AT814" s="1">
        <v>65326201</v>
      </c>
      <c r="AU814" s="1">
        <v>18397013</v>
      </c>
      <c r="AV814" s="1">
        <v>2759552</v>
      </c>
      <c r="AW814" s="1">
        <f t="shared" si="83"/>
        <v>116812483</v>
      </c>
    </row>
    <row r="815" spans="1:49" x14ac:dyDescent="0.2">
      <c r="A815" s="1" t="str">
        <f>"00938"</f>
        <v>00938</v>
      </c>
      <c r="B815" s="1" t="str">
        <f>"فرشاد"</f>
        <v>فرشاد</v>
      </c>
      <c r="C815" s="1" t="str">
        <f>"خدري"</f>
        <v>خدري</v>
      </c>
      <c r="D815" s="1" t="str">
        <f t="shared" si="86"/>
        <v>قراردادي بهره بردار</v>
      </c>
      <c r="E815" s="1" t="str">
        <f t="shared" si="87"/>
        <v>پروژه بهره برداري نيروگاه بوشهر</v>
      </c>
      <c r="F815" s="1">
        <v>17846485</v>
      </c>
      <c r="G815" s="1">
        <v>0</v>
      </c>
      <c r="H815" s="1">
        <v>0</v>
      </c>
      <c r="I815" s="1">
        <v>25515800</v>
      </c>
      <c r="J815" s="1">
        <v>0</v>
      </c>
      <c r="K815" s="1">
        <v>19001968</v>
      </c>
      <c r="L815" s="1">
        <v>0</v>
      </c>
      <c r="M815" s="1">
        <v>4620000</v>
      </c>
      <c r="N815" s="1">
        <v>0</v>
      </c>
      <c r="O815" s="1">
        <v>1000000</v>
      </c>
      <c r="P815" s="1">
        <v>3653944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1848000</v>
      </c>
      <c r="W815" s="1">
        <v>0</v>
      </c>
      <c r="X815" s="1">
        <v>11013346</v>
      </c>
      <c r="Y815" s="1">
        <v>4000000</v>
      </c>
      <c r="Z815" s="1">
        <v>2590619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2870957</v>
      </c>
      <c r="AH815" s="1">
        <v>3670854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13838836</v>
      </c>
      <c r="AO815" s="1">
        <v>0</v>
      </c>
      <c r="AP815" s="1">
        <v>0</v>
      </c>
      <c r="AQ815" s="1">
        <v>0</v>
      </c>
      <c r="AR815" s="1">
        <v>111470809</v>
      </c>
      <c r="AS815" s="1">
        <v>22162239</v>
      </c>
      <c r="AT815" s="1">
        <v>89308570</v>
      </c>
      <c r="AU815" s="1">
        <v>21559991</v>
      </c>
      <c r="AV815" s="1">
        <v>3233999</v>
      </c>
      <c r="AW815" s="1">
        <f t="shared" si="83"/>
        <v>136264799</v>
      </c>
    </row>
    <row r="816" spans="1:49" x14ac:dyDescent="0.2">
      <c r="A816" s="1" t="str">
        <f>"00939"</f>
        <v>00939</v>
      </c>
      <c r="B816" s="1" t="str">
        <f>"مهدي"</f>
        <v>مهدي</v>
      </c>
      <c r="C816" s="1" t="str">
        <f>"خليلي"</f>
        <v>خليلي</v>
      </c>
      <c r="D816" s="1" t="str">
        <f t="shared" si="86"/>
        <v>قراردادي بهره بردار</v>
      </c>
      <c r="E816" s="1" t="str">
        <f t="shared" si="87"/>
        <v>پروژه بهره برداري نيروگاه بوشهر</v>
      </c>
      <c r="F816" s="1">
        <v>16984896</v>
      </c>
      <c r="G816" s="1">
        <v>0</v>
      </c>
      <c r="H816" s="1">
        <v>0</v>
      </c>
      <c r="I816" s="1">
        <v>21520442</v>
      </c>
      <c r="J816" s="1">
        <v>0</v>
      </c>
      <c r="K816" s="1">
        <v>17188346</v>
      </c>
      <c r="L816" s="1">
        <v>0</v>
      </c>
      <c r="M816" s="1">
        <v>4620000</v>
      </c>
      <c r="N816" s="1">
        <v>0</v>
      </c>
      <c r="O816" s="1">
        <v>1000000</v>
      </c>
      <c r="P816" s="1">
        <v>3352389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10032086</v>
      </c>
      <c r="Y816" s="1">
        <v>4000000</v>
      </c>
      <c r="Z816" s="1">
        <v>2465549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2634019</v>
      </c>
      <c r="AH816" s="1">
        <v>5506281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13344808</v>
      </c>
      <c r="AO816" s="1">
        <v>0</v>
      </c>
      <c r="AP816" s="1">
        <v>0</v>
      </c>
      <c r="AQ816" s="1">
        <v>0</v>
      </c>
      <c r="AR816" s="1">
        <v>102648816</v>
      </c>
      <c r="AS816" s="1">
        <v>38060834</v>
      </c>
      <c r="AT816" s="1">
        <v>64587982</v>
      </c>
      <c r="AU816" s="1">
        <v>19428507</v>
      </c>
      <c r="AV816" s="1">
        <v>2914276</v>
      </c>
      <c r="AW816" s="1">
        <f t="shared" si="83"/>
        <v>124991599</v>
      </c>
    </row>
    <row r="817" spans="1:49" x14ac:dyDescent="0.2">
      <c r="A817" s="1" t="str">
        <f>"00940"</f>
        <v>00940</v>
      </c>
      <c r="B817" s="1" t="str">
        <f>"رسول"</f>
        <v>رسول</v>
      </c>
      <c r="C817" s="1" t="str">
        <f>"خورسند نژاد"</f>
        <v>خورسند نژاد</v>
      </c>
      <c r="D817" s="1" t="str">
        <f t="shared" si="86"/>
        <v>قراردادي بهره بردار</v>
      </c>
      <c r="E817" s="1" t="str">
        <f t="shared" si="87"/>
        <v>پروژه بهره برداري نيروگاه بوشهر</v>
      </c>
      <c r="F817" s="1">
        <v>33367687</v>
      </c>
      <c r="G817" s="1">
        <v>0</v>
      </c>
      <c r="H817" s="1">
        <v>0</v>
      </c>
      <c r="I817" s="1">
        <v>43789424</v>
      </c>
      <c r="J817" s="1">
        <v>0</v>
      </c>
      <c r="K817" s="1">
        <v>35236402</v>
      </c>
      <c r="L817" s="1">
        <v>0</v>
      </c>
      <c r="M817" s="1">
        <v>0</v>
      </c>
      <c r="N817" s="1">
        <v>0</v>
      </c>
      <c r="O817" s="1">
        <v>1000000</v>
      </c>
      <c r="P817" s="1">
        <v>5495906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19641970</v>
      </c>
      <c r="Y817" s="1">
        <v>4000000</v>
      </c>
      <c r="Z817" s="1">
        <v>4843697</v>
      </c>
      <c r="AA817" s="1">
        <v>0</v>
      </c>
      <c r="AB817" s="1">
        <v>0</v>
      </c>
      <c r="AC817" s="1">
        <v>0</v>
      </c>
      <c r="AD817" s="1">
        <v>0</v>
      </c>
      <c r="AE817" s="1">
        <v>3401010</v>
      </c>
      <c r="AF817" s="1">
        <v>0</v>
      </c>
      <c r="AG817" s="1">
        <v>4318212</v>
      </c>
      <c r="AH817" s="1">
        <v>3670854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20216989</v>
      </c>
      <c r="AO817" s="1">
        <v>0</v>
      </c>
      <c r="AP817" s="1">
        <v>0</v>
      </c>
      <c r="AQ817" s="1">
        <v>0</v>
      </c>
      <c r="AR817" s="1">
        <v>178982151</v>
      </c>
      <c r="AS817" s="1">
        <v>64484441</v>
      </c>
      <c r="AT817" s="1">
        <v>114497710</v>
      </c>
      <c r="AU817" s="1">
        <v>27637511</v>
      </c>
      <c r="AV817" s="1">
        <v>4145627</v>
      </c>
      <c r="AW817" s="1">
        <f t="shared" si="83"/>
        <v>210765289</v>
      </c>
    </row>
    <row r="818" spans="1:49" x14ac:dyDescent="0.2">
      <c r="A818" s="1" t="str">
        <f>"00941"</f>
        <v>00941</v>
      </c>
      <c r="B818" s="1" t="str">
        <f>"عباس"</f>
        <v>عباس</v>
      </c>
      <c r="C818" s="1" t="str">
        <f>"دريسي"</f>
        <v>دريسي</v>
      </c>
      <c r="D818" s="1" t="str">
        <f t="shared" si="86"/>
        <v>قراردادي بهره بردار</v>
      </c>
      <c r="E818" s="1" t="str">
        <f t="shared" si="87"/>
        <v>پروژه بهره برداري نيروگاه بوشهر</v>
      </c>
      <c r="F818" s="1">
        <v>16931991</v>
      </c>
      <c r="G818" s="1">
        <v>0</v>
      </c>
      <c r="H818" s="1">
        <v>0</v>
      </c>
      <c r="I818" s="1">
        <v>25413343</v>
      </c>
      <c r="J818" s="1">
        <v>0</v>
      </c>
      <c r="K818" s="1">
        <v>17116725</v>
      </c>
      <c r="L818" s="1">
        <v>0</v>
      </c>
      <c r="M818" s="1">
        <v>4620000</v>
      </c>
      <c r="N818" s="1">
        <v>0</v>
      </c>
      <c r="O818" s="1">
        <v>1000000</v>
      </c>
      <c r="P818" s="1">
        <v>3333871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1848000</v>
      </c>
      <c r="W818" s="1">
        <v>0</v>
      </c>
      <c r="X818" s="1">
        <v>9864020</v>
      </c>
      <c r="Y818" s="1">
        <v>4000000</v>
      </c>
      <c r="Z818" s="1">
        <v>2457870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2619470</v>
      </c>
      <c r="AH818" s="1">
        <v>1835427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13316970</v>
      </c>
      <c r="AO818" s="1">
        <v>0</v>
      </c>
      <c r="AP818" s="1">
        <v>0</v>
      </c>
      <c r="AQ818" s="1">
        <v>0</v>
      </c>
      <c r="AR818" s="1">
        <v>104357687</v>
      </c>
      <c r="AS818" s="1">
        <v>43720468</v>
      </c>
      <c r="AT818" s="1">
        <v>60637219</v>
      </c>
      <c r="AU818" s="1">
        <v>20504452</v>
      </c>
      <c r="AV818" s="1">
        <v>3075668</v>
      </c>
      <c r="AW818" s="1">
        <f t="shared" si="83"/>
        <v>127937807</v>
      </c>
    </row>
    <row r="819" spans="1:49" x14ac:dyDescent="0.2">
      <c r="A819" s="1" t="str">
        <f>"00942"</f>
        <v>00942</v>
      </c>
      <c r="B819" s="1" t="str">
        <f>"سعيد"</f>
        <v>سعيد</v>
      </c>
      <c r="C819" s="1" t="str">
        <f>"دشتي"</f>
        <v>دشتي</v>
      </c>
      <c r="D819" s="1" t="str">
        <f t="shared" si="86"/>
        <v>قراردادي بهره بردار</v>
      </c>
      <c r="E819" s="1" t="str">
        <f t="shared" si="87"/>
        <v>پروژه بهره برداري نيروگاه بوشهر</v>
      </c>
      <c r="F819" s="1">
        <v>20521946</v>
      </c>
      <c r="G819" s="1">
        <v>0</v>
      </c>
      <c r="H819" s="1">
        <v>0</v>
      </c>
      <c r="I819" s="1">
        <v>30818841</v>
      </c>
      <c r="J819" s="1">
        <v>0</v>
      </c>
      <c r="K819" s="1">
        <v>24417815</v>
      </c>
      <c r="L819" s="1">
        <v>0</v>
      </c>
      <c r="M819" s="1">
        <v>4620000</v>
      </c>
      <c r="N819" s="1">
        <v>0</v>
      </c>
      <c r="O819" s="1">
        <v>1000000</v>
      </c>
      <c r="P819" s="1">
        <v>4193572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1848000</v>
      </c>
      <c r="W819" s="1">
        <v>0</v>
      </c>
      <c r="X819" s="1">
        <v>13302290</v>
      </c>
      <c r="Y819" s="1">
        <v>4000000</v>
      </c>
      <c r="Z819" s="1">
        <v>1744463</v>
      </c>
      <c r="AA819" s="1">
        <v>0</v>
      </c>
      <c r="AB819" s="1">
        <v>0</v>
      </c>
      <c r="AC819" s="1">
        <v>0</v>
      </c>
      <c r="AD819" s="1">
        <v>0</v>
      </c>
      <c r="AE819" s="1">
        <v>1531714</v>
      </c>
      <c r="AF819" s="1">
        <v>0</v>
      </c>
      <c r="AG819" s="1">
        <v>3294949</v>
      </c>
      <c r="AH819" s="1">
        <v>3670854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15142808</v>
      </c>
      <c r="AO819" s="1">
        <v>0</v>
      </c>
      <c r="AP819" s="1">
        <v>0</v>
      </c>
      <c r="AQ819" s="1">
        <v>0</v>
      </c>
      <c r="AR819" s="1">
        <v>130107252</v>
      </c>
      <c r="AS819" s="1">
        <v>42821118</v>
      </c>
      <c r="AT819" s="1">
        <v>87286134</v>
      </c>
      <c r="AU819" s="1">
        <v>25287280</v>
      </c>
      <c r="AV819" s="1">
        <v>3793092</v>
      </c>
      <c r="AW819" s="1">
        <f t="shared" si="83"/>
        <v>159187624</v>
      </c>
    </row>
    <row r="820" spans="1:49" x14ac:dyDescent="0.2">
      <c r="A820" s="1" t="str">
        <f>"00943"</f>
        <v>00943</v>
      </c>
      <c r="B820" s="1" t="str">
        <f>"يحيي"</f>
        <v>يحيي</v>
      </c>
      <c r="C820" s="1" t="str">
        <f>"دهقان"</f>
        <v>دهقان</v>
      </c>
      <c r="D820" s="1" t="str">
        <f t="shared" si="86"/>
        <v>قراردادي بهره بردار</v>
      </c>
      <c r="E820" s="1" t="str">
        <f t="shared" si="87"/>
        <v>پروژه بهره برداري نيروگاه بوشهر</v>
      </c>
      <c r="F820" s="1">
        <v>31987129</v>
      </c>
      <c r="G820" s="1">
        <v>0</v>
      </c>
      <c r="H820" s="1">
        <v>0</v>
      </c>
      <c r="I820" s="1">
        <v>0</v>
      </c>
      <c r="J820" s="1">
        <v>0</v>
      </c>
      <c r="K820" s="1">
        <v>29036352</v>
      </c>
      <c r="L820" s="1">
        <v>0</v>
      </c>
      <c r="M820" s="1">
        <v>5500000</v>
      </c>
      <c r="N820" s="1">
        <v>0</v>
      </c>
      <c r="O820" s="1">
        <v>1000000</v>
      </c>
      <c r="P820" s="1">
        <v>5012711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1848000</v>
      </c>
      <c r="W820" s="1">
        <v>0</v>
      </c>
      <c r="X820" s="1">
        <v>19355552</v>
      </c>
      <c r="Y820" s="1">
        <v>4000000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3938558</v>
      </c>
      <c r="AH820" s="1">
        <v>3670854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7447457</v>
      </c>
      <c r="AO820" s="1">
        <v>0</v>
      </c>
      <c r="AP820" s="1">
        <v>0</v>
      </c>
      <c r="AQ820" s="1">
        <v>0</v>
      </c>
      <c r="AR820" s="1">
        <v>112796613</v>
      </c>
      <c r="AS820" s="1">
        <v>50374614</v>
      </c>
      <c r="AT820" s="1">
        <v>62421999</v>
      </c>
      <c r="AU820" s="1">
        <v>21825152</v>
      </c>
      <c r="AV820" s="1">
        <v>3273773</v>
      </c>
      <c r="AW820" s="1">
        <f t="shared" si="83"/>
        <v>137895538</v>
      </c>
    </row>
    <row r="821" spans="1:49" x14ac:dyDescent="0.2">
      <c r="A821" s="1" t="str">
        <f>"00944"</f>
        <v>00944</v>
      </c>
      <c r="B821" s="1" t="str">
        <f>"علي"</f>
        <v>علي</v>
      </c>
      <c r="C821" s="1" t="str">
        <f>"دهقاني"</f>
        <v>دهقاني</v>
      </c>
      <c r="D821" s="1" t="str">
        <f t="shared" si="86"/>
        <v>قراردادي بهره بردار</v>
      </c>
      <c r="E821" s="1" t="str">
        <f t="shared" si="87"/>
        <v>پروژه بهره برداري نيروگاه بوشهر</v>
      </c>
      <c r="F821" s="1">
        <v>15768090</v>
      </c>
      <c r="G821" s="1">
        <v>0</v>
      </c>
      <c r="H821" s="1">
        <v>0</v>
      </c>
      <c r="I821" s="1">
        <v>21637629</v>
      </c>
      <c r="J821" s="1">
        <v>0</v>
      </c>
      <c r="K821" s="1">
        <v>15336606</v>
      </c>
      <c r="L821" s="1">
        <v>0</v>
      </c>
      <c r="M821" s="1">
        <v>9240000</v>
      </c>
      <c r="N821" s="1">
        <v>0</v>
      </c>
      <c r="O821" s="1">
        <v>1000000</v>
      </c>
      <c r="P821" s="1">
        <v>2926506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9032351</v>
      </c>
      <c r="Y821" s="1">
        <v>4000000</v>
      </c>
      <c r="Z821" s="1">
        <v>2288916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2299398</v>
      </c>
      <c r="AH821" s="1">
        <v>1835427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12492917</v>
      </c>
      <c r="AO821" s="1">
        <v>0</v>
      </c>
      <c r="AP821" s="1">
        <v>0</v>
      </c>
      <c r="AQ821" s="1">
        <v>0</v>
      </c>
      <c r="AR821" s="1">
        <v>97857840</v>
      </c>
      <c r="AS821" s="1">
        <v>34978424</v>
      </c>
      <c r="AT821" s="1">
        <v>62879416</v>
      </c>
      <c r="AU821" s="1">
        <v>19204483</v>
      </c>
      <c r="AV821" s="1">
        <v>2880672</v>
      </c>
      <c r="AW821" s="1">
        <f t="shared" si="83"/>
        <v>119942995</v>
      </c>
    </row>
    <row r="822" spans="1:49" x14ac:dyDescent="0.2">
      <c r="A822" s="1" t="str">
        <f>"00945"</f>
        <v>00945</v>
      </c>
      <c r="B822" s="1" t="str">
        <f>"محسن"</f>
        <v>محسن</v>
      </c>
      <c r="C822" s="1" t="str">
        <f>"رجبي کرهرودي"</f>
        <v>رجبي کرهرودي</v>
      </c>
      <c r="D822" s="1" t="str">
        <f t="shared" si="86"/>
        <v>قراردادي بهره بردار</v>
      </c>
      <c r="E822" s="1" t="str">
        <f t="shared" si="87"/>
        <v>پروژه بهره برداري نيروگاه بوشهر</v>
      </c>
      <c r="F822" s="1">
        <v>15458220</v>
      </c>
      <c r="G822" s="1">
        <v>0</v>
      </c>
      <c r="H822" s="1">
        <v>0</v>
      </c>
      <c r="I822" s="1">
        <v>19912783</v>
      </c>
      <c r="J822" s="1">
        <v>0</v>
      </c>
      <c r="K822" s="1">
        <v>15917482</v>
      </c>
      <c r="L822" s="1">
        <v>0</v>
      </c>
      <c r="M822" s="1">
        <v>0</v>
      </c>
      <c r="N822" s="1">
        <v>0</v>
      </c>
      <c r="O822" s="1">
        <v>1000000</v>
      </c>
      <c r="P822" s="1">
        <v>2818052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1848000</v>
      </c>
      <c r="W822" s="1">
        <v>0</v>
      </c>
      <c r="X822" s="1">
        <v>8755976</v>
      </c>
      <c r="Y822" s="1">
        <v>4000000</v>
      </c>
      <c r="Z822" s="1">
        <v>2243935</v>
      </c>
      <c r="AA822" s="1">
        <v>0</v>
      </c>
      <c r="AB822" s="1">
        <v>0</v>
      </c>
      <c r="AC822" s="1">
        <v>0</v>
      </c>
      <c r="AD822" s="1">
        <v>0</v>
      </c>
      <c r="AE822" s="1">
        <v>1531714</v>
      </c>
      <c r="AF822" s="1">
        <v>0</v>
      </c>
      <c r="AG822" s="1">
        <v>2214183</v>
      </c>
      <c r="AH822" s="1">
        <v>1835427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12094495</v>
      </c>
      <c r="AO822" s="1">
        <v>0</v>
      </c>
      <c r="AP822" s="1">
        <v>0</v>
      </c>
      <c r="AQ822" s="1">
        <v>0</v>
      </c>
      <c r="AR822" s="1">
        <v>89630267</v>
      </c>
      <c r="AS822" s="1">
        <v>36760248</v>
      </c>
      <c r="AT822" s="1">
        <v>52870019</v>
      </c>
      <c r="AU822" s="1">
        <v>17558968</v>
      </c>
      <c r="AV822" s="1">
        <v>2633845</v>
      </c>
      <c r="AW822" s="1">
        <f t="shared" si="83"/>
        <v>109823080</v>
      </c>
    </row>
    <row r="823" spans="1:49" x14ac:dyDescent="0.2">
      <c r="A823" s="1" t="str">
        <f>"00946"</f>
        <v>00946</v>
      </c>
      <c r="B823" s="1" t="str">
        <f>"فتح اله"</f>
        <v>فتح اله</v>
      </c>
      <c r="C823" s="1" t="str">
        <f>"روانان"</f>
        <v>روانان</v>
      </c>
      <c r="D823" s="1" t="str">
        <f t="shared" si="86"/>
        <v>قراردادي بهره بردار</v>
      </c>
      <c r="E823" s="1" t="str">
        <f t="shared" si="87"/>
        <v>پروژه بهره برداري نيروگاه بوشهر</v>
      </c>
      <c r="F823" s="1">
        <v>15846187</v>
      </c>
      <c r="G823" s="1">
        <v>0</v>
      </c>
      <c r="H823" s="1">
        <v>0</v>
      </c>
      <c r="I823" s="1">
        <v>21792714</v>
      </c>
      <c r="J823" s="1">
        <v>0</v>
      </c>
      <c r="K823" s="1">
        <v>15921324</v>
      </c>
      <c r="L823" s="1">
        <v>0</v>
      </c>
      <c r="M823" s="1">
        <v>4620000</v>
      </c>
      <c r="N823" s="1">
        <v>0</v>
      </c>
      <c r="O823" s="1">
        <v>1000000</v>
      </c>
      <c r="P823" s="1">
        <v>2953840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8678592</v>
      </c>
      <c r="Y823" s="1">
        <v>4000000</v>
      </c>
      <c r="Z823" s="1">
        <v>2300253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2320875</v>
      </c>
      <c r="AH823" s="1">
        <v>1835427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12549727</v>
      </c>
      <c r="AO823" s="1">
        <v>0</v>
      </c>
      <c r="AP823" s="1">
        <v>0</v>
      </c>
      <c r="AQ823" s="1">
        <v>0</v>
      </c>
      <c r="AR823" s="1">
        <v>93818939</v>
      </c>
      <c r="AS823" s="1">
        <v>24810548</v>
      </c>
      <c r="AT823" s="1">
        <v>69008391</v>
      </c>
      <c r="AU823" s="1">
        <v>18396702</v>
      </c>
      <c r="AV823" s="1">
        <v>2759505</v>
      </c>
      <c r="AW823" s="1">
        <f t="shared" si="83"/>
        <v>114975146</v>
      </c>
    </row>
    <row r="824" spans="1:49" x14ac:dyDescent="0.2">
      <c r="A824" s="1" t="str">
        <f>"00947"</f>
        <v>00947</v>
      </c>
      <c r="B824" s="1" t="str">
        <f>"عليرضا"</f>
        <v>عليرضا</v>
      </c>
      <c r="C824" s="1" t="str">
        <f>"زارع پور"</f>
        <v>زارع پور</v>
      </c>
      <c r="D824" s="1" t="str">
        <f t="shared" si="86"/>
        <v>قراردادي بهره بردار</v>
      </c>
      <c r="E824" s="1" t="str">
        <f t="shared" si="87"/>
        <v>پروژه بهره برداري نيروگاه بوشهر</v>
      </c>
      <c r="F824" s="1">
        <v>19295063</v>
      </c>
      <c r="G824" s="1">
        <v>0</v>
      </c>
      <c r="H824" s="1">
        <v>0</v>
      </c>
      <c r="I824" s="1">
        <v>28193455</v>
      </c>
      <c r="J824" s="1">
        <v>0</v>
      </c>
      <c r="K824" s="1">
        <v>21813020</v>
      </c>
      <c r="L824" s="1">
        <v>0</v>
      </c>
      <c r="M824" s="1">
        <v>4620000</v>
      </c>
      <c r="N824" s="1">
        <v>0</v>
      </c>
      <c r="O824" s="1">
        <v>1000000</v>
      </c>
      <c r="P824" s="1">
        <v>3764163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12169099</v>
      </c>
      <c r="Y824" s="1">
        <v>4000000</v>
      </c>
      <c r="Z824" s="1">
        <v>2800896</v>
      </c>
      <c r="AA824" s="1">
        <v>0</v>
      </c>
      <c r="AB824" s="1">
        <v>0</v>
      </c>
      <c r="AC824" s="1">
        <v>0</v>
      </c>
      <c r="AD824" s="1">
        <v>0</v>
      </c>
      <c r="AE824" s="1">
        <v>1531714</v>
      </c>
      <c r="AF824" s="1">
        <v>0</v>
      </c>
      <c r="AG824" s="1">
        <v>2957556</v>
      </c>
      <c r="AH824" s="1">
        <v>3670854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13854581</v>
      </c>
      <c r="AO824" s="1">
        <v>0</v>
      </c>
      <c r="AP824" s="1">
        <v>0</v>
      </c>
      <c r="AQ824" s="1">
        <v>0</v>
      </c>
      <c r="AR824" s="1">
        <v>119670401</v>
      </c>
      <c r="AS824" s="1">
        <v>49588843</v>
      </c>
      <c r="AT824" s="1">
        <v>70081558</v>
      </c>
      <c r="AU824" s="1">
        <v>23199909</v>
      </c>
      <c r="AV824" s="1">
        <v>3479986</v>
      </c>
      <c r="AW824" s="1">
        <f t="shared" si="83"/>
        <v>146350296</v>
      </c>
    </row>
    <row r="825" spans="1:49" x14ac:dyDescent="0.2">
      <c r="A825" s="1" t="str">
        <f>"00948"</f>
        <v>00948</v>
      </c>
      <c r="B825" s="1" t="str">
        <f>"سعيد"</f>
        <v>سعيد</v>
      </c>
      <c r="C825" s="1" t="str">
        <f>"زارعي"</f>
        <v>زارعي</v>
      </c>
      <c r="D825" s="1" t="str">
        <f t="shared" ref="D825:D858" si="88">"قراردادي بهره بردار"</f>
        <v>قراردادي بهره بردار</v>
      </c>
      <c r="E825" s="1" t="str">
        <f t="shared" ref="E825:E858" si="89">"پروژه بهره برداري نيروگاه بوشهر"</f>
        <v>پروژه بهره برداري نيروگاه بوشهر</v>
      </c>
      <c r="F825" s="1">
        <v>18284837</v>
      </c>
      <c r="G825" s="1">
        <v>0</v>
      </c>
      <c r="H825" s="1">
        <v>0</v>
      </c>
      <c r="I825" s="1">
        <v>34885711</v>
      </c>
      <c r="J825" s="1">
        <v>0</v>
      </c>
      <c r="K825" s="1">
        <v>17831324</v>
      </c>
      <c r="L825" s="1">
        <v>0</v>
      </c>
      <c r="M825" s="1">
        <v>4620000</v>
      </c>
      <c r="N825" s="1">
        <v>0</v>
      </c>
      <c r="O825" s="1">
        <v>1000000</v>
      </c>
      <c r="P825" s="1">
        <v>3410583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1848000</v>
      </c>
      <c r="W825" s="1">
        <v>0</v>
      </c>
      <c r="X825" s="1">
        <v>10007700</v>
      </c>
      <c r="Y825" s="1">
        <v>4000000</v>
      </c>
      <c r="Z825" s="1">
        <v>2654251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2679744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11167909</v>
      </c>
      <c r="AO825" s="1">
        <v>0</v>
      </c>
      <c r="AP825" s="1">
        <v>0</v>
      </c>
      <c r="AQ825" s="1">
        <v>0</v>
      </c>
      <c r="AR825" s="1">
        <v>112390059</v>
      </c>
      <c r="AS825" s="1">
        <v>33727682</v>
      </c>
      <c r="AT825" s="1">
        <v>78662377</v>
      </c>
      <c r="AU825" s="1">
        <v>22478012</v>
      </c>
      <c r="AV825" s="1">
        <v>3371702</v>
      </c>
      <c r="AW825" s="1">
        <f t="shared" si="83"/>
        <v>138239773</v>
      </c>
    </row>
    <row r="826" spans="1:49" x14ac:dyDescent="0.2">
      <c r="A826" s="1" t="str">
        <f>"00949"</f>
        <v>00949</v>
      </c>
      <c r="B826" s="1" t="str">
        <f>"رضا"</f>
        <v>رضا</v>
      </c>
      <c r="C826" s="1" t="str">
        <f>"زبردست"</f>
        <v>زبردست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16768239</v>
      </c>
      <c r="G826" s="1">
        <v>0</v>
      </c>
      <c r="H826" s="1">
        <v>0</v>
      </c>
      <c r="I826" s="1">
        <v>30309783</v>
      </c>
      <c r="J826" s="1">
        <v>0</v>
      </c>
      <c r="K826" s="1">
        <v>18673472</v>
      </c>
      <c r="L826" s="1">
        <v>0</v>
      </c>
      <c r="M826" s="1">
        <v>3465000</v>
      </c>
      <c r="N826" s="1">
        <v>0</v>
      </c>
      <c r="O826" s="1">
        <v>1000000</v>
      </c>
      <c r="P826" s="1">
        <v>3276558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10316597</v>
      </c>
      <c r="Y826" s="1">
        <v>4000000</v>
      </c>
      <c r="Z826" s="1">
        <v>2434099</v>
      </c>
      <c r="AA826" s="1">
        <v>0</v>
      </c>
      <c r="AB826" s="1">
        <v>0</v>
      </c>
      <c r="AC826" s="1">
        <v>0</v>
      </c>
      <c r="AD826" s="1">
        <v>0</v>
      </c>
      <c r="AE826" s="1">
        <v>1531714</v>
      </c>
      <c r="AF826" s="1">
        <v>0</v>
      </c>
      <c r="AG826" s="1">
        <v>2574438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12940969</v>
      </c>
      <c r="AO826" s="1">
        <v>0</v>
      </c>
      <c r="AP826" s="1">
        <v>0</v>
      </c>
      <c r="AQ826" s="1">
        <v>0</v>
      </c>
      <c r="AR826" s="1">
        <v>107290869</v>
      </c>
      <c r="AS826" s="1">
        <v>37143718</v>
      </c>
      <c r="AT826" s="1">
        <v>70147151</v>
      </c>
      <c r="AU826" s="1">
        <v>21458174</v>
      </c>
      <c r="AV826" s="1">
        <v>3218726</v>
      </c>
      <c r="AW826" s="1">
        <f t="shared" si="83"/>
        <v>131967769</v>
      </c>
    </row>
    <row r="827" spans="1:49" x14ac:dyDescent="0.2">
      <c r="A827" s="1" t="str">
        <f>"00950"</f>
        <v>00950</v>
      </c>
      <c r="B827" s="1" t="str">
        <f>"قاسم"</f>
        <v>قاسم</v>
      </c>
      <c r="C827" s="1" t="str">
        <f>"زنده بودي"</f>
        <v>زنده بودي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15934362</v>
      </c>
      <c r="G827" s="1">
        <v>0</v>
      </c>
      <c r="H827" s="1">
        <v>0</v>
      </c>
      <c r="I827" s="1">
        <v>20288639</v>
      </c>
      <c r="J827" s="1">
        <v>0</v>
      </c>
      <c r="K827" s="1">
        <v>16319385</v>
      </c>
      <c r="L827" s="1">
        <v>0</v>
      </c>
      <c r="M827" s="1">
        <v>4620000</v>
      </c>
      <c r="N827" s="1">
        <v>0</v>
      </c>
      <c r="O827" s="1">
        <v>1000000</v>
      </c>
      <c r="P827" s="1">
        <v>2984702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1848000</v>
      </c>
      <c r="W827" s="1">
        <v>0</v>
      </c>
      <c r="X827" s="1">
        <v>9351443</v>
      </c>
      <c r="Y827" s="1">
        <v>4000000</v>
      </c>
      <c r="Z827" s="1">
        <v>2313053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2345122</v>
      </c>
      <c r="AH827" s="1">
        <v>1835427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12964777</v>
      </c>
      <c r="AO827" s="1">
        <v>0</v>
      </c>
      <c r="AP827" s="1">
        <v>0</v>
      </c>
      <c r="AQ827" s="1">
        <v>0</v>
      </c>
      <c r="AR827" s="1">
        <v>95804910</v>
      </c>
      <c r="AS827" s="1">
        <v>30260481</v>
      </c>
      <c r="AT827" s="1">
        <v>65544429</v>
      </c>
      <c r="AU827" s="1">
        <v>18793897</v>
      </c>
      <c r="AV827" s="1">
        <v>2819084</v>
      </c>
      <c r="AW827" s="1">
        <f t="shared" si="83"/>
        <v>117417891</v>
      </c>
    </row>
    <row r="828" spans="1:49" x14ac:dyDescent="0.2">
      <c r="A828" s="1" t="str">
        <f>"00951"</f>
        <v>00951</v>
      </c>
      <c r="B828" s="1" t="str">
        <f>"شهرام"</f>
        <v>شهرام</v>
      </c>
      <c r="C828" s="1" t="str">
        <f>"زنگنه"</f>
        <v>زنگنه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19939996</v>
      </c>
      <c r="G828" s="1">
        <v>0</v>
      </c>
      <c r="H828" s="1">
        <v>0</v>
      </c>
      <c r="I828" s="1">
        <v>28346856</v>
      </c>
      <c r="J828" s="1">
        <v>0</v>
      </c>
      <c r="K828" s="1">
        <v>21963498</v>
      </c>
      <c r="L828" s="1">
        <v>0</v>
      </c>
      <c r="M828" s="1">
        <v>4620000</v>
      </c>
      <c r="N828" s="1">
        <v>0</v>
      </c>
      <c r="O828" s="1">
        <v>1000000</v>
      </c>
      <c r="P828" s="1">
        <v>3989889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12235310</v>
      </c>
      <c r="Y828" s="1">
        <v>4000000</v>
      </c>
      <c r="Z828" s="1">
        <v>2894516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3134912</v>
      </c>
      <c r="AH828" s="1">
        <v>5506281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14531760</v>
      </c>
      <c r="AO828" s="1">
        <v>0</v>
      </c>
      <c r="AP828" s="1">
        <v>0</v>
      </c>
      <c r="AQ828" s="1">
        <v>0</v>
      </c>
      <c r="AR828" s="1">
        <v>122163018</v>
      </c>
      <c r="AS828" s="1">
        <v>52545527</v>
      </c>
      <c r="AT828" s="1">
        <v>69617491</v>
      </c>
      <c r="AU828" s="1">
        <v>23331347</v>
      </c>
      <c r="AV828" s="1">
        <v>3499702</v>
      </c>
      <c r="AW828" s="1">
        <f t="shared" si="83"/>
        <v>148994067</v>
      </c>
    </row>
    <row r="829" spans="1:49" x14ac:dyDescent="0.2">
      <c r="A829" s="1" t="str">
        <f>"00952"</f>
        <v>00952</v>
      </c>
      <c r="B829" s="1" t="str">
        <f>"علي"</f>
        <v>علي</v>
      </c>
      <c r="C829" s="1" t="str">
        <f>"ساعي"</f>
        <v>ساعي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32881469</v>
      </c>
      <c r="G829" s="1">
        <v>0</v>
      </c>
      <c r="H829" s="1">
        <v>0</v>
      </c>
      <c r="I829" s="1">
        <v>16690159</v>
      </c>
      <c r="J829" s="1">
        <v>0</v>
      </c>
      <c r="K829" s="1">
        <v>30731980</v>
      </c>
      <c r="L829" s="1">
        <v>0</v>
      </c>
      <c r="M829" s="1">
        <v>0</v>
      </c>
      <c r="N829" s="1">
        <v>0</v>
      </c>
      <c r="O829" s="1">
        <v>1000000</v>
      </c>
      <c r="P829" s="1">
        <v>5325730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1848000</v>
      </c>
      <c r="W829" s="1">
        <v>0</v>
      </c>
      <c r="X829" s="1">
        <v>17439139</v>
      </c>
      <c r="Y829" s="1">
        <v>4000000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4184502</v>
      </c>
      <c r="AH829" s="1">
        <v>1835427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7988595</v>
      </c>
      <c r="AO829" s="1">
        <v>0</v>
      </c>
      <c r="AP829" s="1">
        <v>0</v>
      </c>
      <c r="AQ829" s="1">
        <v>0</v>
      </c>
      <c r="AR829" s="1">
        <v>123925001</v>
      </c>
      <c r="AS829" s="1">
        <v>57264125</v>
      </c>
      <c r="AT829" s="1">
        <v>66660876</v>
      </c>
      <c r="AU829" s="1">
        <v>24417915</v>
      </c>
      <c r="AV829" s="1">
        <v>3662687</v>
      </c>
      <c r="AW829" s="1">
        <f t="shared" si="83"/>
        <v>152005603</v>
      </c>
    </row>
    <row r="830" spans="1:49" x14ac:dyDescent="0.2">
      <c r="A830" s="1" t="str">
        <f>"00953"</f>
        <v>00953</v>
      </c>
      <c r="B830" s="1" t="str">
        <f>"علي اکبر"</f>
        <v>علي اکبر</v>
      </c>
      <c r="C830" s="1" t="str">
        <f>"سلماني مشکاني"</f>
        <v>سلماني مشکاني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21008165</v>
      </c>
      <c r="G830" s="1">
        <v>0</v>
      </c>
      <c r="H830" s="1">
        <v>0</v>
      </c>
      <c r="I830" s="1">
        <v>9158482</v>
      </c>
      <c r="J830" s="1">
        <v>0</v>
      </c>
      <c r="K830" s="1">
        <v>21389267</v>
      </c>
      <c r="L830" s="1">
        <v>0</v>
      </c>
      <c r="M830" s="1">
        <v>4620000</v>
      </c>
      <c r="N830" s="1">
        <v>0</v>
      </c>
      <c r="O830" s="1">
        <v>1000000</v>
      </c>
      <c r="P830" s="1">
        <v>3834702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1848000</v>
      </c>
      <c r="W830" s="1">
        <v>0</v>
      </c>
      <c r="X830" s="1">
        <v>5618562</v>
      </c>
      <c r="Y830" s="1">
        <v>4000000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3012980</v>
      </c>
      <c r="AH830" s="1">
        <v>3670854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6940504</v>
      </c>
      <c r="AO830" s="1">
        <v>0</v>
      </c>
      <c r="AP830" s="1">
        <v>0</v>
      </c>
      <c r="AQ830" s="1">
        <v>0</v>
      </c>
      <c r="AR830" s="1">
        <v>86101516</v>
      </c>
      <c r="AS830" s="1">
        <v>11506873</v>
      </c>
      <c r="AT830" s="1">
        <v>74594643</v>
      </c>
      <c r="AU830" s="1">
        <v>16486132</v>
      </c>
      <c r="AV830" s="1">
        <v>2472920</v>
      </c>
      <c r="AW830" s="1">
        <f t="shared" si="83"/>
        <v>105060568</v>
      </c>
    </row>
    <row r="831" spans="1:49" x14ac:dyDescent="0.2">
      <c r="A831" s="1" t="str">
        <f>"00954"</f>
        <v>00954</v>
      </c>
      <c r="B831" s="1" t="str">
        <f>"کامران"</f>
        <v>کامران</v>
      </c>
      <c r="C831" s="1" t="str">
        <f>"صادقي"</f>
        <v>صادقي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18957482</v>
      </c>
      <c r="G831" s="1">
        <v>0</v>
      </c>
      <c r="H831" s="1">
        <v>0</v>
      </c>
      <c r="I831" s="1">
        <v>35612575</v>
      </c>
      <c r="J831" s="1">
        <v>0</v>
      </c>
      <c r="K831" s="1">
        <v>19001256</v>
      </c>
      <c r="L831" s="1">
        <v>0</v>
      </c>
      <c r="M831" s="1">
        <v>0</v>
      </c>
      <c r="N831" s="1">
        <v>0</v>
      </c>
      <c r="O831" s="1">
        <v>1000000</v>
      </c>
      <c r="P831" s="1">
        <v>3646009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10719530</v>
      </c>
      <c r="Y831" s="1">
        <v>4000000</v>
      </c>
      <c r="Z831" s="1">
        <v>2751893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2864721</v>
      </c>
      <c r="AH831" s="1">
        <v>1835427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11216406</v>
      </c>
      <c r="AO831" s="1">
        <v>0</v>
      </c>
      <c r="AP831" s="1">
        <v>0</v>
      </c>
      <c r="AQ831" s="1">
        <v>0</v>
      </c>
      <c r="AR831" s="1">
        <v>111605299</v>
      </c>
      <c r="AS831" s="1">
        <v>43512894</v>
      </c>
      <c r="AT831" s="1">
        <v>68092405</v>
      </c>
      <c r="AU831" s="1">
        <v>21953974</v>
      </c>
      <c r="AV831" s="1">
        <v>3293096</v>
      </c>
      <c r="AW831" s="1">
        <f t="shared" si="83"/>
        <v>136852369</v>
      </c>
    </row>
    <row r="832" spans="1:49" x14ac:dyDescent="0.2">
      <c r="A832" s="1" t="str">
        <f>"00956"</f>
        <v>00956</v>
      </c>
      <c r="B832" s="1" t="str">
        <f>"امين"</f>
        <v>امين</v>
      </c>
      <c r="C832" s="1" t="str">
        <f>"ظاهري عبده وند"</f>
        <v>ظاهري عبده وند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17088186</v>
      </c>
      <c r="G832" s="1">
        <v>0</v>
      </c>
      <c r="H832" s="1">
        <v>0</v>
      </c>
      <c r="I832" s="1">
        <v>25355832</v>
      </c>
      <c r="J832" s="1">
        <v>0</v>
      </c>
      <c r="K832" s="1">
        <v>19152193</v>
      </c>
      <c r="L832" s="1">
        <v>0</v>
      </c>
      <c r="M832" s="1">
        <v>4620000</v>
      </c>
      <c r="N832" s="1">
        <v>0</v>
      </c>
      <c r="O832" s="1">
        <v>1000000</v>
      </c>
      <c r="P832" s="1">
        <v>3388540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10584467</v>
      </c>
      <c r="Y832" s="1">
        <v>4000000</v>
      </c>
      <c r="Z832" s="1">
        <v>2480543</v>
      </c>
      <c r="AA832" s="1">
        <v>0</v>
      </c>
      <c r="AB832" s="1">
        <v>0</v>
      </c>
      <c r="AC832" s="1">
        <v>0</v>
      </c>
      <c r="AD832" s="1">
        <v>0</v>
      </c>
      <c r="AE832" s="1">
        <v>1531714</v>
      </c>
      <c r="AF832" s="1">
        <v>0</v>
      </c>
      <c r="AG832" s="1">
        <v>2662424</v>
      </c>
      <c r="AH832" s="1">
        <v>1835427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13390281</v>
      </c>
      <c r="AO832" s="1">
        <v>0</v>
      </c>
      <c r="AP832" s="1">
        <v>0</v>
      </c>
      <c r="AQ832" s="1">
        <v>0</v>
      </c>
      <c r="AR832" s="1">
        <v>107089607</v>
      </c>
      <c r="AS832" s="1">
        <v>46170748</v>
      </c>
      <c r="AT832" s="1">
        <v>60918859</v>
      </c>
      <c r="AU832" s="1">
        <v>21050836</v>
      </c>
      <c r="AV832" s="1">
        <v>3157625</v>
      </c>
      <c r="AW832" s="1">
        <f t="shared" si="83"/>
        <v>131298068</v>
      </c>
    </row>
    <row r="833" spans="1:49" x14ac:dyDescent="0.2">
      <c r="A833" s="1" t="str">
        <f>"00957"</f>
        <v>00957</v>
      </c>
      <c r="B833" s="1" t="str">
        <f>"محمود"</f>
        <v>محمود</v>
      </c>
      <c r="C833" s="1" t="str">
        <f>"عابدي"</f>
        <v>عابدي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17826331</v>
      </c>
      <c r="G833" s="1">
        <v>0</v>
      </c>
      <c r="H833" s="1">
        <v>0</v>
      </c>
      <c r="I833" s="1">
        <v>25641951</v>
      </c>
      <c r="J833" s="1">
        <v>0</v>
      </c>
      <c r="K833" s="1">
        <v>19613574</v>
      </c>
      <c r="L833" s="1">
        <v>0</v>
      </c>
      <c r="M833" s="1">
        <v>4620000</v>
      </c>
      <c r="N833" s="1">
        <v>0</v>
      </c>
      <c r="O833" s="1">
        <v>1000000</v>
      </c>
      <c r="P833" s="1">
        <v>3646891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1848000</v>
      </c>
      <c r="W833" s="1">
        <v>0</v>
      </c>
      <c r="X833" s="1">
        <v>10825713</v>
      </c>
      <c r="Y833" s="1">
        <v>4000000</v>
      </c>
      <c r="Z833" s="1">
        <v>2587693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2865414</v>
      </c>
      <c r="AH833" s="1">
        <v>1835427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13784923</v>
      </c>
      <c r="AO833" s="1">
        <v>0</v>
      </c>
      <c r="AP833" s="1">
        <v>0</v>
      </c>
      <c r="AQ833" s="1">
        <v>0</v>
      </c>
      <c r="AR833" s="1">
        <v>110095917</v>
      </c>
      <c r="AS833" s="1">
        <v>42205500</v>
      </c>
      <c r="AT833" s="1">
        <v>67890417</v>
      </c>
      <c r="AU833" s="1">
        <v>21652098</v>
      </c>
      <c r="AV833" s="1">
        <v>3247815</v>
      </c>
      <c r="AW833" s="1">
        <f t="shared" si="83"/>
        <v>134995830</v>
      </c>
    </row>
    <row r="834" spans="1:49" x14ac:dyDescent="0.2">
      <c r="A834" s="1" t="str">
        <f>"00958"</f>
        <v>00958</v>
      </c>
      <c r="B834" s="1" t="str">
        <f>"هادي"</f>
        <v>هادي</v>
      </c>
      <c r="C834" s="1" t="str">
        <f>"عباسي"</f>
        <v>عباسي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16075441</v>
      </c>
      <c r="G834" s="1">
        <v>0</v>
      </c>
      <c r="H834" s="1">
        <v>0</v>
      </c>
      <c r="I834" s="1">
        <v>24553493</v>
      </c>
      <c r="J834" s="1">
        <v>0</v>
      </c>
      <c r="K834" s="1">
        <v>16237121</v>
      </c>
      <c r="L834" s="1">
        <v>0</v>
      </c>
      <c r="M834" s="1">
        <v>0</v>
      </c>
      <c r="N834" s="1">
        <v>0</v>
      </c>
      <c r="O834" s="1">
        <v>1000000</v>
      </c>
      <c r="P834" s="1">
        <v>3034079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1848000</v>
      </c>
      <c r="W834" s="1">
        <v>0</v>
      </c>
      <c r="X834" s="1">
        <v>9365960</v>
      </c>
      <c r="Y834" s="1">
        <v>4000000</v>
      </c>
      <c r="Z834" s="1">
        <v>2333532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2383919</v>
      </c>
      <c r="AH834" s="1">
        <v>1835427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12896252</v>
      </c>
      <c r="AO834" s="1">
        <v>0</v>
      </c>
      <c r="AP834" s="1">
        <v>0</v>
      </c>
      <c r="AQ834" s="1">
        <v>0</v>
      </c>
      <c r="AR834" s="1">
        <v>95563224</v>
      </c>
      <c r="AS834" s="1">
        <v>39145434</v>
      </c>
      <c r="AT834" s="1">
        <v>56417790</v>
      </c>
      <c r="AU834" s="1">
        <v>18745559</v>
      </c>
      <c r="AV834" s="1">
        <v>2811834</v>
      </c>
      <c r="AW834" s="1">
        <f t="shared" si="83"/>
        <v>117120617</v>
      </c>
    </row>
    <row r="835" spans="1:49" x14ac:dyDescent="0.2">
      <c r="A835" s="1" t="str">
        <f>"00959"</f>
        <v>00959</v>
      </c>
      <c r="B835" s="1" t="str">
        <f>"فرج اله"</f>
        <v>فرج اله</v>
      </c>
      <c r="C835" s="1" t="str">
        <f>"عرب انصاري"</f>
        <v>عرب انصاري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32889026</v>
      </c>
      <c r="G835" s="1">
        <v>0</v>
      </c>
      <c r="H835" s="1">
        <v>0</v>
      </c>
      <c r="I835" s="1">
        <v>7344724</v>
      </c>
      <c r="J835" s="1">
        <v>0</v>
      </c>
      <c r="K835" s="1">
        <v>31636451</v>
      </c>
      <c r="L835" s="1">
        <v>0</v>
      </c>
      <c r="M835" s="1">
        <v>0</v>
      </c>
      <c r="N835" s="1">
        <v>0</v>
      </c>
      <c r="O835" s="1">
        <v>1000000</v>
      </c>
      <c r="P835" s="1">
        <v>5328375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1848000</v>
      </c>
      <c r="W835" s="1">
        <v>0</v>
      </c>
      <c r="X835" s="1">
        <v>22128356</v>
      </c>
      <c r="Y835" s="1">
        <v>4000000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4186580</v>
      </c>
      <c r="AH835" s="1">
        <v>3670854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7916443</v>
      </c>
      <c r="AO835" s="1">
        <v>0</v>
      </c>
      <c r="AP835" s="1">
        <v>0</v>
      </c>
      <c r="AQ835" s="1">
        <v>0</v>
      </c>
      <c r="AR835" s="1">
        <v>121948809</v>
      </c>
      <c r="AS835" s="1">
        <v>54716246</v>
      </c>
      <c r="AT835" s="1">
        <v>67232563</v>
      </c>
      <c r="AU835" s="1">
        <v>23655591</v>
      </c>
      <c r="AV835" s="1">
        <v>3548339</v>
      </c>
      <c r="AW835" s="1">
        <f t="shared" ref="AW835:AW898" si="90">AR835+AU835+AV835</f>
        <v>149152739</v>
      </c>
    </row>
    <row r="836" spans="1:49" x14ac:dyDescent="0.2">
      <c r="A836" s="1" t="str">
        <f>"00960"</f>
        <v>00960</v>
      </c>
      <c r="B836" s="1" t="str">
        <f>"کورش"</f>
        <v>کورش</v>
      </c>
      <c r="C836" s="1" t="str">
        <f>"عفيفيان"</f>
        <v>عفيفيان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31251503</v>
      </c>
      <c r="G836" s="1">
        <v>0</v>
      </c>
      <c r="H836" s="1">
        <v>0</v>
      </c>
      <c r="I836" s="1">
        <v>41484636</v>
      </c>
      <c r="J836" s="1">
        <v>0</v>
      </c>
      <c r="K836" s="1">
        <v>32058952</v>
      </c>
      <c r="L836" s="1">
        <v>0</v>
      </c>
      <c r="M836" s="1">
        <v>5500000</v>
      </c>
      <c r="N836" s="1">
        <v>0</v>
      </c>
      <c r="O836" s="1">
        <v>1000000</v>
      </c>
      <c r="P836" s="1">
        <v>4755242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1848000</v>
      </c>
      <c r="W836" s="1">
        <v>0</v>
      </c>
      <c r="X836" s="1">
        <v>17514296</v>
      </c>
      <c r="Y836" s="1">
        <v>4000000</v>
      </c>
      <c r="Z836" s="1">
        <v>4536509</v>
      </c>
      <c r="AA836" s="1">
        <v>0</v>
      </c>
      <c r="AB836" s="1">
        <v>0</v>
      </c>
      <c r="AC836" s="1">
        <v>0</v>
      </c>
      <c r="AD836" s="1">
        <v>0</v>
      </c>
      <c r="AE836" s="1">
        <v>3401010</v>
      </c>
      <c r="AF836" s="1">
        <v>0</v>
      </c>
      <c r="AG836" s="1">
        <v>3736262</v>
      </c>
      <c r="AH836" s="1">
        <v>3670854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18206614</v>
      </c>
      <c r="AO836" s="1">
        <v>0</v>
      </c>
      <c r="AP836" s="1">
        <v>0</v>
      </c>
      <c r="AQ836" s="1">
        <v>0</v>
      </c>
      <c r="AR836" s="1">
        <v>172963878</v>
      </c>
      <c r="AS836" s="1">
        <v>61460357</v>
      </c>
      <c r="AT836" s="1">
        <v>111503521</v>
      </c>
      <c r="AU836" s="1">
        <v>27637511</v>
      </c>
      <c r="AV836" s="1">
        <v>4145627</v>
      </c>
      <c r="AW836" s="1">
        <f t="shared" si="90"/>
        <v>204747016</v>
      </c>
    </row>
    <row r="837" spans="1:49" x14ac:dyDescent="0.2">
      <c r="A837" s="1" t="str">
        <f>"00961"</f>
        <v>00961</v>
      </c>
      <c r="B837" s="1" t="str">
        <f>"احمد"</f>
        <v>احمد</v>
      </c>
      <c r="C837" s="1" t="str">
        <f>"علي زاده"</f>
        <v>علي زاده</v>
      </c>
      <c r="D837" s="1" t="str">
        <f t="shared" si="88"/>
        <v>قراردادي بهره بردار</v>
      </c>
      <c r="E837" s="1" t="str">
        <f t="shared" si="89"/>
        <v>پروژه بهره برداري نيروگاه بوشهر</v>
      </c>
      <c r="F837" s="1">
        <v>17450960</v>
      </c>
      <c r="G837" s="1">
        <v>0</v>
      </c>
      <c r="H837" s="1">
        <v>0</v>
      </c>
      <c r="I837" s="1">
        <v>24994622</v>
      </c>
      <c r="J837" s="1">
        <v>0</v>
      </c>
      <c r="K837" s="1">
        <v>19069756</v>
      </c>
      <c r="L837" s="1">
        <v>0</v>
      </c>
      <c r="M837" s="1">
        <v>4620000</v>
      </c>
      <c r="N837" s="1">
        <v>0</v>
      </c>
      <c r="O837" s="1">
        <v>1000000</v>
      </c>
      <c r="P837" s="1">
        <v>3515511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1848000</v>
      </c>
      <c r="W837" s="1">
        <v>0</v>
      </c>
      <c r="X837" s="1">
        <v>10433684</v>
      </c>
      <c r="Y837" s="1">
        <v>4000000</v>
      </c>
      <c r="Z837" s="1">
        <v>2533204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2762187</v>
      </c>
      <c r="AH837" s="1">
        <v>3670854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13599883</v>
      </c>
      <c r="AO837" s="1">
        <v>0</v>
      </c>
      <c r="AP837" s="1">
        <v>0</v>
      </c>
      <c r="AQ837" s="1">
        <v>0</v>
      </c>
      <c r="AR837" s="1">
        <v>109498661</v>
      </c>
      <c r="AS837" s="1">
        <v>37871618</v>
      </c>
      <c r="AT837" s="1">
        <v>71627043</v>
      </c>
      <c r="AU837" s="1">
        <v>21165561</v>
      </c>
      <c r="AV837" s="1">
        <v>3174834</v>
      </c>
      <c r="AW837" s="1">
        <f t="shared" si="90"/>
        <v>133839056</v>
      </c>
    </row>
    <row r="838" spans="1:49" x14ac:dyDescent="0.2">
      <c r="A838" s="1" t="str">
        <f>"00962"</f>
        <v>00962</v>
      </c>
      <c r="B838" s="1" t="str">
        <f>"کيانوش"</f>
        <v>کيانوش</v>
      </c>
      <c r="C838" s="1" t="str">
        <f>"غذباني"</f>
        <v>غذباني</v>
      </c>
      <c r="D838" s="1" t="str">
        <f t="shared" si="88"/>
        <v>قراردادي بهره بردار</v>
      </c>
      <c r="E838" s="1" t="str">
        <f t="shared" si="89"/>
        <v>پروژه بهره برداري نيروگاه بوشهر</v>
      </c>
      <c r="F838" s="1">
        <v>16921914</v>
      </c>
      <c r="G838" s="1">
        <v>0</v>
      </c>
      <c r="H838" s="1">
        <v>0</v>
      </c>
      <c r="I838" s="1">
        <v>23889604</v>
      </c>
      <c r="J838" s="1">
        <v>0</v>
      </c>
      <c r="K838" s="1">
        <v>17403139</v>
      </c>
      <c r="L838" s="1">
        <v>0</v>
      </c>
      <c r="M838" s="1">
        <v>4620000</v>
      </c>
      <c r="N838" s="1">
        <v>0</v>
      </c>
      <c r="O838" s="1">
        <v>1000000</v>
      </c>
      <c r="P838" s="1">
        <v>3330344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1848000</v>
      </c>
      <c r="W838" s="1">
        <v>0</v>
      </c>
      <c r="X838" s="1">
        <v>10311434</v>
      </c>
      <c r="Y838" s="1">
        <v>4000000</v>
      </c>
      <c r="Z838" s="1">
        <v>2456407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2616700</v>
      </c>
      <c r="AH838" s="1">
        <v>3670854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13293792</v>
      </c>
      <c r="AO838" s="1">
        <v>0</v>
      </c>
      <c r="AP838" s="1">
        <v>0</v>
      </c>
      <c r="AQ838" s="1">
        <v>0</v>
      </c>
      <c r="AR838" s="1">
        <v>105362188</v>
      </c>
      <c r="AS838" s="1">
        <v>44878163</v>
      </c>
      <c r="AT838" s="1">
        <v>60484025</v>
      </c>
      <c r="AU838" s="1">
        <v>20338267</v>
      </c>
      <c r="AV838" s="1">
        <v>3050740</v>
      </c>
      <c r="AW838" s="1">
        <f t="shared" si="90"/>
        <v>128751195</v>
      </c>
    </row>
    <row r="839" spans="1:49" x14ac:dyDescent="0.2">
      <c r="A839" s="1" t="str">
        <f>"00963"</f>
        <v>00963</v>
      </c>
      <c r="B839" s="1" t="str">
        <f>"پشوتن"</f>
        <v>پشوتن</v>
      </c>
      <c r="C839" s="1" t="str">
        <f>"قائدي"</f>
        <v>قائدي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21219783</v>
      </c>
      <c r="G839" s="1">
        <v>0</v>
      </c>
      <c r="H839" s="1">
        <v>0</v>
      </c>
      <c r="I839" s="1">
        <v>28182524</v>
      </c>
      <c r="J839" s="1">
        <v>0</v>
      </c>
      <c r="K839" s="1">
        <v>24754056</v>
      </c>
      <c r="L839" s="1">
        <v>0</v>
      </c>
      <c r="M839" s="1">
        <v>4620000</v>
      </c>
      <c r="N839" s="1">
        <v>0</v>
      </c>
      <c r="O839" s="1">
        <v>1000000</v>
      </c>
      <c r="P839" s="1">
        <v>4437814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1848000</v>
      </c>
      <c r="W839" s="1">
        <v>0</v>
      </c>
      <c r="X839" s="1">
        <v>13431503</v>
      </c>
      <c r="Y839" s="1">
        <v>4000000</v>
      </c>
      <c r="Z839" s="1">
        <v>3080291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3486854</v>
      </c>
      <c r="AH839" s="1">
        <v>3670854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15875537</v>
      </c>
      <c r="AO839" s="1">
        <v>0</v>
      </c>
      <c r="AP839" s="1">
        <v>0</v>
      </c>
      <c r="AQ839" s="1">
        <v>0</v>
      </c>
      <c r="AR839" s="1">
        <v>129607216</v>
      </c>
      <c r="AS839" s="1">
        <v>31614312</v>
      </c>
      <c r="AT839" s="1">
        <v>97992904</v>
      </c>
      <c r="AU839" s="1">
        <v>25187272</v>
      </c>
      <c r="AV839" s="1">
        <v>3778091</v>
      </c>
      <c r="AW839" s="1">
        <f t="shared" si="90"/>
        <v>158572579</v>
      </c>
    </row>
    <row r="840" spans="1:49" x14ac:dyDescent="0.2">
      <c r="A840" s="1" t="str">
        <f>"00964"</f>
        <v>00964</v>
      </c>
      <c r="B840" s="1" t="str">
        <f>"داوود"</f>
        <v>داوود</v>
      </c>
      <c r="C840" s="1" t="str">
        <f>"قايدي"</f>
        <v>قايدي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19211928</v>
      </c>
      <c r="G840" s="1">
        <v>0</v>
      </c>
      <c r="H840" s="1">
        <v>0</v>
      </c>
      <c r="I840" s="1">
        <v>26502746</v>
      </c>
      <c r="J840" s="1">
        <v>0</v>
      </c>
      <c r="K840" s="1">
        <v>19653530</v>
      </c>
      <c r="L840" s="1">
        <v>0</v>
      </c>
      <c r="M840" s="1">
        <v>0</v>
      </c>
      <c r="N840" s="1">
        <v>0</v>
      </c>
      <c r="O840" s="1">
        <v>1000000</v>
      </c>
      <c r="P840" s="1">
        <v>3735065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11189130</v>
      </c>
      <c r="Y840" s="1">
        <v>4000000</v>
      </c>
      <c r="Z840" s="1">
        <v>2788828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2934694</v>
      </c>
      <c r="AH840" s="1">
        <v>1835427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14140140</v>
      </c>
      <c r="AO840" s="1">
        <v>0</v>
      </c>
      <c r="AP840" s="1">
        <v>0</v>
      </c>
      <c r="AQ840" s="1">
        <v>0</v>
      </c>
      <c r="AR840" s="1">
        <v>106991488</v>
      </c>
      <c r="AS840" s="1">
        <v>24108887</v>
      </c>
      <c r="AT840" s="1">
        <v>82882601</v>
      </c>
      <c r="AU840" s="1">
        <v>21031212</v>
      </c>
      <c r="AV840" s="1">
        <v>3154682</v>
      </c>
      <c r="AW840" s="1">
        <f t="shared" si="90"/>
        <v>131177382</v>
      </c>
    </row>
    <row r="841" spans="1:49" x14ac:dyDescent="0.2">
      <c r="A841" s="1" t="str">
        <f>"00965"</f>
        <v>00965</v>
      </c>
      <c r="B841" s="1" t="str">
        <f>"اسدالله"</f>
        <v>اسدالله</v>
      </c>
      <c r="C841" s="1" t="str">
        <f>"قبادي فر"</f>
        <v>قبادي فر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22177104</v>
      </c>
      <c r="G841" s="1">
        <v>0</v>
      </c>
      <c r="H841" s="1">
        <v>0</v>
      </c>
      <c r="I841" s="1">
        <v>30342625</v>
      </c>
      <c r="J841" s="1">
        <v>0</v>
      </c>
      <c r="K841" s="1">
        <v>22532592</v>
      </c>
      <c r="L841" s="1">
        <v>0</v>
      </c>
      <c r="M841" s="1">
        <v>4620000</v>
      </c>
      <c r="N841" s="1">
        <v>0</v>
      </c>
      <c r="O841" s="1">
        <v>1000000</v>
      </c>
      <c r="P841" s="1">
        <v>4243831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13096742</v>
      </c>
      <c r="Y841" s="1">
        <v>4000000</v>
      </c>
      <c r="Z841" s="1">
        <v>3219257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3334439</v>
      </c>
      <c r="AH841" s="1">
        <v>1835427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15747055</v>
      </c>
      <c r="AO841" s="1">
        <v>0</v>
      </c>
      <c r="AP841" s="1">
        <v>0</v>
      </c>
      <c r="AQ841" s="1">
        <v>0</v>
      </c>
      <c r="AR841" s="1">
        <v>126149072</v>
      </c>
      <c r="AS841" s="1">
        <v>73974469</v>
      </c>
      <c r="AT841" s="1">
        <v>52174603</v>
      </c>
      <c r="AU841" s="1">
        <v>24862729</v>
      </c>
      <c r="AV841" s="1">
        <v>3729409</v>
      </c>
      <c r="AW841" s="1">
        <f t="shared" si="90"/>
        <v>154741210</v>
      </c>
    </row>
    <row r="842" spans="1:49" x14ac:dyDescent="0.2">
      <c r="A842" s="1" t="str">
        <f>"00966"</f>
        <v>00966</v>
      </c>
      <c r="B842" s="1" t="str">
        <f>"جواد"</f>
        <v>جواد</v>
      </c>
      <c r="C842" s="1" t="str">
        <f>"قربان پور"</f>
        <v>قربان پور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19851821</v>
      </c>
      <c r="G842" s="1">
        <v>0</v>
      </c>
      <c r="H842" s="1">
        <v>0</v>
      </c>
      <c r="I842" s="1">
        <v>31676687</v>
      </c>
      <c r="J842" s="1">
        <v>0</v>
      </c>
      <c r="K842" s="1">
        <v>19367073</v>
      </c>
      <c r="L842" s="1">
        <v>0</v>
      </c>
      <c r="M842" s="1">
        <v>4620000</v>
      </c>
      <c r="N842" s="1">
        <v>0</v>
      </c>
      <c r="O842" s="1">
        <v>1000000</v>
      </c>
      <c r="P842" s="1">
        <v>3959028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11148396</v>
      </c>
      <c r="Y842" s="1">
        <v>4000000</v>
      </c>
      <c r="Z842" s="1">
        <v>2881716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3110665</v>
      </c>
      <c r="AH842" s="1">
        <v>1835427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11625156</v>
      </c>
      <c r="AO842" s="1">
        <v>0</v>
      </c>
      <c r="AP842" s="1">
        <v>0</v>
      </c>
      <c r="AQ842" s="1">
        <v>0</v>
      </c>
      <c r="AR842" s="1">
        <v>115075969</v>
      </c>
      <c r="AS842" s="1">
        <v>44174164</v>
      </c>
      <c r="AT842" s="1">
        <v>70901805</v>
      </c>
      <c r="AU842" s="1">
        <v>22648108</v>
      </c>
      <c r="AV842" s="1">
        <v>3397216</v>
      </c>
      <c r="AW842" s="1">
        <f t="shared" si="90"/>
        <v>141121293</v>
      </c>
    </row>
    <row r="843" spans="1:49" x14ac:dyDescent="0.2">
      <c r="A843" s="1" t="str">
        <f>"00967"</f>
        <v>00967</v>
      </c>
      <c r="B843" s="1" t="str">
        <f>"حميد"</f>
        <v>حميد</v>
      </c>
      <c r="C843" s="1" t="str">
        <f>"قياسوند"</f>
        <v>قياسوند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28167921</v>
      </c>
      <c r="G843" s="1">
        <v>0</v>
      </c>
      <c r="H843" s="1">
        <v>0</v>
      </c>
      <c r="I843" s="1">
        <v>9752699</v>
      </c>
      <c r="J843" s="1">
        <v>0</v>
      </c>
      <c r="K843" s="1">
        <v>30465145</v>
      </c>
      <c r="L843" s="1">
        <v>0</v>
      </c>
      <c r="M843" s="1">
        <v>0</v>
      </c>
      <c r="N843" s="1">
        <v>0</v>
      </c>
      <c r="O843" s="1">
        <v>1000000</v>
      </c>
      <c r="P843" s="1">
        <v>4486310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1848000</v>
      </c>
      <c r="W843" s="1">
        <v>0</v>
      </c>
      <c r="X843" s="1">
        <v>14873717</v>
      </c>
      <c r="Y843" s="1">
        <v>4000000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3892267</v>
      </c>
      <c r="AF843" s="1">
        <v>0</v>
      </c>
      <c r="AG843" s="1">
        <v>3524958</v>
      </c>
      <c r="AH843" s="1">
        <v>5506281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6729466</v>
      </c>
      <c r="AO843" s="1">
        <v>0</v>
      </c>
      <c r="AP843" s="1">
        <v>0</v>
      </c>
      <c r="AQ843" s="1">
        <v>0</v>
      </c>
      <c r="AR843" s="1">
        <v>114246764</v>
      </c>
      <c r="AS843" s="1">
        <v>53676570</v>
      </c>
      <c r="AT843" s="1">
        <v>60570194</v>
      </c>
      <c r="AU843" s="1">
        <v>21748097</v>
      </c>
      <c r="AV843" s="1">
        <v>3262214</v>
      </c>
      <c r="AW843" s="1">
        <f t="shared" si="90"/>
        <v>139257075</v>
      </c>
    </row>
    <row r="844" spans="1:49" x14ac:dyDescent="0.2">
      <c r="A844" s="1" t="str">
        <f>"00968"</f>
        <v>00968</v>
      </c>
      <c r="B844" s="1" t="str">
        <f>"پيمان"</f>
        <v>پيمان</v>
      </c>
      <c r="C844" s="1" t="str">
        <f>"كمري قنواتي"</f>
        <v>كمري قنواتي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16239193</v>
      </c>
      <c r="G844" s="1">
        <v>0</v>
      </c>
      <c r="H844" s="1">
        <v>0</v>
      </c>
      <c r="I844" s="1">
        <v>20853060</v>
      </c>
      <c r="J844" s="1">
        <v>0</v>
      </c>
      <c r="K844" s="1">
        <v>16042769</v>
      </c>
      <c r="L844" s="1">
        <v>0</v>
      </c>
      <c r="M844" s="1">
        <v>4620000</v>
      </c>
      <c r="N844" s="1">
        <v>0</v>
      </c>
      <c r="O844" s="1">
        <v>1000000</v>
      </c>
      <c r="P844" s="1">
        <v>3091392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9720975</v>
      </c>
      <c r="Y844" s="1">
        <v>4000000</v>
      </c>
      <c r="Z844" s="1">
        <v>2357302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2428951</v>
      </c>
      <c r="AH844" s="1">
        <v>3670854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14042897</v>
      </c>
      <c r="AO844" s="1">
        <v>0</v>
      </c>
      <c r="AP844" s="1">
        <v>0</v>
      </c>
      <c r="AQ844" s="1">
        <v>0</v>
      </c>
      <c r="AR844" s="1">
        <v>98067393</v>
      </c>
      <c r="AS844" s="1">
        <v>33363096</v>
      </c>
      <c r="AT844" s="1">
        <v>64704297</v>
      </c>
      <c r="AU844" s="1">
        <v>18879308</v>
      </c>
      <c r="AV844" s="1">
        <v>2831896</v>
      </c>
      <c r="AW844" s="1">
        <f t="shared" si="90"/>
        <v>119778597</v>
      </c>
    </row>
    <row r="845" spans="1:49" x14ac:dyDescent="0.2">
      <c r="A845" s="1" t="str">
        <f>"00969"</f>
        <v>00969</v>
      </c>
      <c r="B845" s="1" t="str">
        <f>"فرشيد"</f>
        <v>فرشيد</v>
      </c>
      <c r="C845" s="1" t="str">
        <f>"كولاني"</f>
        <v>كولاني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30064928</v>
      </c>
      <c r="G845" s="1">
        <v>0</v>
      </c>
      <c r="H845" s="1">
        <v>0</v>
      </c>
      <c r="I845" s="1">
        <v>6042723</v>
      </c>
      <c r="J845" s="1">
        <v>0</v>
      </c>
      <c r="K845" s="1">
        <v>27485768</v>
      </c>
      <c r="L845" s="1">
        <v>0</v>
      </c>
      <c r="M845" s="1">
        <v>0</v>
      </c>
      <c r="N845" s="1">
        <v>0</v>
      </c>
      <c r="O845" s="1">
        <v>1000000</v>
      </c>
      <c r="P845" s="1">
        <v>4339941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1848000</v>
      </c>
      <c r="W845" s="1">
        <v>0</v>
      </c>
      <c r="X845" s="1">
        <v>13823521</v>
      </c>
      <c r="Y845" s="1">
        <v>4000000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3409954</v>
      </c>
      <c r="AH845" s="1">
        <v>3670854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6509911</v>
      </c>
      <c r="AO845" s="1">
        <v>0</v>
      </c>
      <c r="AP845" s="1">
        <v>0</v>
      </c>
      <c r="AQ845" s="1">
        <v>0</v>
      </c>
      <c r="AR845" s="1">
        <v>102195600</v>
      </c>
      <c r="AS845" s="1">
        <v>24673901</v>
      </c>
      <c r="AT845" s="1">
        <v>77521699</v>
      </c>
      <c r="AU845" s="1">
        <v>19704949</v>
      </c>
      <c r="AV845" s="1">
        <v>2955742</v>
      </c>
      <c r="AW845" s="1">
        <f t="shared" si="90"/>
        <v>124856291</v>
      </c>
    </row>
    <row r="846" spans="1:49" x14ac:dyDescent="0.2">
      <c r="A846" s="1" t="str">
        <f>"00970"</f>
        <v>00970</v>
      </c>
      <c r="B846" s="1" t="str">
        <f>"داود"</f>
        <v>داود</v>
      </c>
      <c r="C846" s="1" t="str">
        <f>"لحصائي"</f>
        <v>لحصائي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17047878</v>
      </c>
      <c r="G846" s="1">
        <v>0</v>
      </c>
      <c r="H846" s="1">
        <v>0</v>
      </c>
      <c r="I846" s="1">
        <v>24235197</v>
      </c>
      <c r="J846" s="1">
        <v>0</v>
      </c>
      <c r="K846" s="1">
        <v>18185775</v>
      </c>
      <c r="L846" s="1">
        <v>0</v>
      </c>
      <c r="M846" s="1">
        <v>0</v>
      </c>
      <c r="N846" s="1">
        <v>0</v>
      </c>
      <c r="O846" s="1">
        <v>1000000</v>
      </c>
      <c r="P846" s="1">
        <v>3374432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1848000</v>
      </c>
      <c r="W846" s="1">
        <v>0</v>
      </c>
      <c r="X846" s="1">
        <v>10231798</v>
      </c>
      <c r="Y846" s="1">
        <v>4000000</v>
      </c>
      <c r="Z846" s="1">
        <v>2474692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2651339</v>
      </c>
      <c r="AH846" s="1">
        <v>3670854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13310167</v>
      </c>
      <c r="AO846" s="1">
        <v>0</v>
      </c>
      <c r="AP846" s="1">
        <v>0</v>
      </c>
      <c r="AQ846" s="1">
        <v>0</v>
      </c>
      <c r="AR846" s="1">
        <v>102030132</v>
      </c>
      <c r="AS846" s="1">
        <v>42774132</v>
      </c>
      <c r="AT846" s="1">
        <v>59256000</v>
      </c>
      <c r="AU846" s="1">
        <v>19671856</v>
      </c>
      <c r="AV846" s="1">
        <v>2950778</v>
      </c>
      <c r="AW846" s="1">
        <f t="shared" si="90"/>
        <v>124652766</v>
      </c>
    </row>
    <row r="847" spans="1:49" x14ac:dyDescent="0.2">
      <c r="A847" s="1" t="str">
        <f>"00971"</f>
        <v>00971</v>
      </c>
      <c r="B847" s="1" t="str">
        <f>"مجتبي"</f>
        <v>مجتبي</v>
      </c>
      <c r="C847" s="1" t="str">
        <f>"مصيبي"</f>
        <v>مصيبي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16239193</v>
      </c>
      <c r="G847" s="1">
        <v>0</v>
      </c>
      <c r="H847" s="1">
        <v>0</v>
      </c>
      <c r="I847" s="1">
        <v>22712675</v>
      </c>
      <c r="J847" s="1">
        <v>0</v>
      </c>
      <c r="K847" s="1">
        <v>16746530</v>
      </c>
      <c r="L847" s="1">
        <v>0</v>
      </c>
      <c r="M847" s="1">
        <v>4620000</v>
      </c>
      <c r="N847" s="1">
        <v>0</v>
      </c>
      <c r="O847" s="1">
        <v>1000000</v>
      </c>
      <c r="P847" s="1">
        <v>3091392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9481115</v>
      </c>
      <c r="Y847" s="1">
        <v>4000000</v>
      </c>
      <c r="Z847" s="1">
        <v>2357302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2428951</v>
      </c>
      <c r="AH847" s="1">
        <v>1835427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12743206</v>
      </c>
      <c r="AO847" s="1">
        <v>0</v>
      </c>
      <c r="AP847" s="1">
        <v>0</v>
      </c>
      <c r="AQ847" s="1">
        <v>0</v>
      </c>
      <c r="AR847" s="1">
        <v>97255791</v>
      </c>
      <c r="AS847" s="1">
        <v>37086669</v>
      </c>
      <c r="AT847" s="1">
        <v>60169122</v>
      </c>
      <c r="AU847" s="1">
        <v>19084073</v>
      </c>
      <c r="AV847" s="1">
        <v>2862611</v>
      </c>
      <c r="AW847" s="1">
        <f t="shared" si="90"/>
        <v>119202475</v>
      </c>
    </row>
    <row r="848" spans="1:49" x14ac:dyDescent="0.2">
      <c r="A848" s="1" t="str">
        <f>"00972"</f>
        <v>00972</v>
      </c>
      <c r="B848" s="1" t="str">
        <f>"رضا"</f>
        <v>رضا</v>
      </c>
      <c r="C848" s="1" t="str">
        <f>"مقدم"</f>
        <v>مقدم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34272104</v>
      </c>
      <c r="G848" s="1">
        <v>0</v>
      </c>
      <c r="H848" s="1">
        <v>0</v>
      </c>
      <c r="I848" s="1">
        <v>24703261</v>
      </c>
      <c r="J848" s="1">
        <v>0</v>
      </c>
      <c r="K848" s="1">
        <v>36706168</v>
      </c>
      <c r="L848" s="1">
        <v>0</v>
      </c>
      <c r="M848" s="1">
        <v>5500000</v>
      </c>
      <c r="N848" s="1">
        <v>0</v>
      </c>
      <c r="O848" s="1">
        <v>1000000</v>
      </c>
      <c r="P848" s="1">
        <v>5812452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1848000</v>
      </c>
      <c r="W848" s="1">
        <v>0</v>
      </c>
      <c r="X848" s="1">
        <v>21627513</v>
      </c>
      <c r="Y848" s="1">
        <v>4000000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6235185</v>
      </c>
      <c r="AF848" s="1">
        <v>0</v>
      </c>
      <c r="AG848" s="1">
        <v>4566926</v>
      </c>
      <c r="AH848" s="1">
        <v>3670854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7473152</v>
      </c>
      <c r="AO848" s="1">
        <v>0</v>
      </c>
      <c r="AP848" s="1">
        <v>0</v>
      </c>
      <c r="AQ848" s="1">
        <v>0</v>
      </c>
      <c r="AR848" s="1">
        <v>157415615</v>
      </c>
      <c r="AS848" s="1">
        <v>56406778</v>
      </c>
      <c r="AT848" s="1">
        <v>101008837</v>
      </c>
      <c r="AU848" s="1">
        <v>27637511</v>
      </c>
      <c r="AV848" s="1">
        <v>4145627</v>
      </c>
      <c r="AW848" s="1">
        <f t="shared" si="90"/>
        <v>189198753</v>
      </c>
    </row>
    <row r="849" spans="1:49" x14ac:dyDescent="0.2">
      <c r="A849" s="1" t="str">
        <f>"00973"</f>
        <v>00973</v>
      </c>
      <c r="B849" s="1" t="str">
        <f>"مجيد"</f>
        <v>مجيد</v>
      </c>
      <c r="C849" s="1" t="str">
        <f>"ملک زاده"</f>
        <v>ملک زاده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17216668</v>
      </c>
      <c r="G849" s="1">
        <v>0</v>
      </c>
      <c r="H849" s="1">
        <v>0</v>
      </c>
      <c r="I849" s="1">
        <v>25388146</v>
      </c>
      <c r="J849" s="1">
        <v>0</v>
      </c>
      <c r="K849" s="1">
        <v>19040451</v>
      </c>
      <c r="L849" s="1">
        <v>0</v>
      </c>
      <c r="M849" s="1">
        <v>4620000</v>
      </c>
      <c r="N849" s="1">
        <v>0</v>
      </c>
      <c r="O849" s="1">
        <v>1000000</v>
      </c>
      <c r="P849" s="1">
        <v>3433508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10718559</v>
      </c>
      <c r="Y849" s="1">
        <v>4000000</v>
      </c>
      <c r="Z849" s="1">
        <v>2499194</v>
      </c>
      <c r="AA849" s="1">
        <v>0</v>
      </c>
      <c r="AB849" s="1">
        <v>0</v>
      </c>
      <c r="AC849" s="1">
        <v>0</v>
      </c>
      <c r="AD849" s="1">
        <v>0</v>
      </c>
      <c r="AE849" s="1">
        <v>1531714</v>
      </c>
      <c r="AF849" s="1">
        <v>0</v>
      </c>
      <c r="AG849" s="1">
        <v>2697756</v>
      </c>
      <c r="AH849" s="1">
        <v>3670854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13245549</v>
      </c>
      <c r="AO849" s="1">
        <v>0</v>
      </c>
      <c r="AP849" s="1">
        <v>0</v>
      </c>
      <c r="AQ849" s="1">
        <v>0</v>
      </c>
      <c r="AR849" s="1">
        <v>109062399</v>
      </c>
      <c r="AS849" s="1">
        <v>36643984</v>
      </c>
      <c r="AT849" s="1">
        <v>72418415</v>
      </c>
      <c r="AU849" s="1">
        <v>21078309</v>
      </c>
      <c r="AV849" s="1">
        <v>3161746</v>
      </c>
      <c r="AW849" s="1">
        <f t="shared" si="90"/>
        <v>133302454</v>
      </c>
    </row>
    <row r="850" spans="1:49" x14ac:dyDescent="0.2">
      <c r="A850" s="1" t="str">
        <f>"00974"</f>
        <v>00974</v>
      </c>
      <c r="B850" s="1" t="str">
        <f>"سيدحسين"</f>
        <v>سيدحسين</v>
      </c>
      <c r="C850" s="1" t="str">
        <f>"موسوي"</f>
        <v>موسوي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16624641</v>
      </c>
      <c r="G850" s="1">
        <v>0</v>
      </c>
      <c r="H850" s="1">
        <v>0</v>
      </c>
      <c r="I850" s="1">
        <v>23300624</v>
      </c>
      <c r="J850" s="1">
        <v>0</v>
      </c>
      <c r="K850" s="1">
        <v>17017083</v>
      </c>
      <c r="L850" s="1">
        <v>0</v>
      </c>
      <c r="M850" s="1">
        <v>3465000</v>
      </c>
      <c r="N850" s="1">
        <v>0</v>
      </c>
      <c r="O850" s="1">
        <v>1000000</v>
      </c>
      <c r="P850" s="1">
        <v>3226299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9837233</v>
      </c>
      <c r="Y850" s="1">
        <v>4000000</v>
      </c>
      <c r="Z850" s="1">
        <v>2413254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2534950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13062272</v>
      </c>
      <c r="AO850" s="1">
        <v>0</v>
      </c>
      <c r="AP850" s="1">
        <v>0</v>
      </c>
      <c r="AQ850" s="1">
        <v>0</v>
      </c>
      <c r="AR850" s="1">
        <v>96481356</v>
      </c>
      <c r="AS850" s="1">
        <v>34645940</v>
      </c>
      <c r="AT850" s="1">
        <v>61835416</v>
      </c>
      <c r="AU850" s="1">
        <v>19296271</v>
      </c>
      <c r="AV850" s="1">
        <v>2894441</v>
      </c>
      <c r="AW850" s="1">
        <f t="shared" si="90"/>
        <v>118672068</v>
      </c>
    </row>
    <row r="851" spans="1:49" x14ac:dyDescent="0.2">
      <c r="A851" s="1" t="str">
        <f>"00975"</f>
        <v>00975</v>
      </c>
      <c r="B851" s="1" t="str">
        <f>"سيدعلي"</f>
        <v>سيدعلي</v>
      </c>
      <c r="C851" s="1" t="str">
        <f>"موسوي"</f>
        <v>موسوي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16833740</v>
      </c>
      <c r="G851" s="1">
        <v>0</v>
      </c>
      <c r="H851" s="1">
        <v>0</v>
      </c>
      <c r="I851" s="1">
        <v>24727062</v>
      </c>
      <c r="J851" s="1">
        <v>0</v>
      </c>
      <c r="K851" s="1">
        <v>18300701</v>
      </c>
      <c r="L851" s="1">
        <v>0</v>
      </c>
      <c r="M851" s="1">
        <v>4620000</v>
      </c>
      <c r="N851" s="1">
        <v>0</v>
      </c>
      <c r="O851" s="1">
        <v>1000000</v>
      </c>
      <c r="P851" s="1">
        <v>3299484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1848000</v>
      </c>
      <c r="W851" s="1">
        <v>0</v>
      </c>
      <c r="X851" s="1">
        <v>10321996</v>
      </c>
      <c r="Y851" s="1">
        <v>4000000</v>
      </c>
      <c r="Z851" s="1">
        <v>2443607</v>
      </c>
      <c r="AA851" s="1">
        <v>0</v>
      </c>
      <c r="AB851" s="1">
        <v>0</v>
      </c>
      <c r="AC851" s="1">
        <v>0</v>
      </c>
      <c r="AD851" s="1">
        <v>0</v>
      </c>
      <c r="AE851" s="1">
        <v>1531714</v>
      </c>
      <c r="AF851" s="1">
        <v>0</v>
      </c>
      <c r="AG851" s="1">
        <v>2592451</v>
      </c>
      <c r="AH851" s="1">
        <v>3670854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13236479</v>
      </c>
      <c r="AO851" s="1">
        <v>0</v>
      </c>
      <c r="AP851" s="1">
        <v>0</v>
      </c>
      <c r="AQ851" s="1">
        <v>0</v>
      </c>
      <c r="AR851" s="1">
        <v>108426088</v>
      </c>
      <c r="AS851" s="1">
        <v>46159209</v>
      </c>
      <c r="AT851" s="1">
        <v>62266879</v>
      </c>
      <c r="AU851" s="1">
        <v>20951047</v>
      </c>
      <c r="AV851" s="1">
        <v>3142657</v>
      </c>
      <c r="AW851" s="1">
        <f t="shared" si="90"/>
        <v>132519792</v>
      </c>
    </row>
    <row r="852" spans="1:49" x14ac:dyDescent="0.2">
      <c r="A852" s="1" t="str">
        <f>"00977"</f>
        <v>00977</v>
      </c>
      <c r="B852" s="1" t="str">
        <f>"عادل"</f>
        <v>عادل</v>
      </c>
      <c r="C852" s="1" t="str">
        <f>"نامداري"</f>
        <v>نامداري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19894649</v>
      </c>
      <c r="G852" s="1">
        <v>0</v>
      </c>
      <c r="H852" s="1">
        <v>0</v>
      </c>
      <c r="I852" s="1">
        <v>26469730</v>
      </c>
      <c r="J852" s="1">
        <v>0</v>
      </c>
      <c r="K852" s="1">
        <v>22724390</v>
      </c>
      <c r="L852" s="1">
        <v>0</v>
      </c>
      <c r="M852" s="1">
        <v>4620000</v>
      </c>
      <c r="N852" s="1">
        <v>0</v>
      </c>
      <c r="O852" s="1">
        <v>1000000</v>
      </c>
      <c r="P852" s="1">
        <v>3974017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1848000</v>
      </c>
      <c r="W852" s="1">
        <v>0</v>
      </c>
      <c r="X852" s="1">
        <v>12339273</v>
      </c>
      <c r="Y852" s="1">
        <v>4000000</v>
      </c>
      <c r="Z852" s="1">
        <v>2887933</v>
      </c>
      <c r="AA852" s="1">
        <v>0</v>
      </c>
      <c r="AB852" s="1">
        <v>0</v>
      </c>
      <c r="AC852" s="1">
        <v>0</v>
      </c>
      <c r="AD852" s="1">
        <v>0</v>
      </c>
      <c r="AE852" s="1">
        <v>1531714</v>
      </c>
      <c r="AF852" s="1">
        <v>0</v>
      </c>
      <c r="AG852" s="1">
        <v>3122442</v>
      </c>
      <c r="AH852" s="1">
        <v>1835427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14562243</v>
      </c>
      <c r="AO852" s="1">
        <v>0</v>
      </c>
      <c r="AP852" s="1">
        <v>0</v>
      </c>
      <c r="AQ852" s="1">
        <v>0</v>
      </c>
      <c r="AR852" s="1">
        <v>120809818</v>
      </c>
      <c r="AS852" s="1">
        <v>44779174</v>
      </c>
      <c r="AT852" s="1">
        <v>76030644</v>
      </c>
      <c r="AU852" s="1">
        <v>23794878</v>
      </c>
      <c r="AV852" s="1">
        <v>3569232</v>
      </c>
      <c r="AW852" s="1">
        <f t="shared" si="90"/>
        <v>148173928</v>
      </c>
    </row>
    <row r="853" spans="1:49" x14ac:dyDescent="0.2">
      <c r="A853" s="1" t="str">
        <f>"00978"</f>
        <v>00978</v>
      </c>
      <c r="B853" s="1" t="str">
        <f>"محسن"</f>
        <v>محسن</v>
      </c>
      <c r="C853" s="1" t="str">
        <f>"نجفي سيار"</f>
        <v>نجفي سيار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20093671</v>
      </c>
      <c r="G853" s="1">
        <v>0</v>
      </c>
      <c r="H853" s="1">
        <v>0</v>
      </c>
      <c r="I853" s="1">
        <v>35479746</v>
      </c>
      <c r="J853" s="1">
        <v>0</v>
      </c>
      <c r="K853" s="1">
        <v>23386699</v>
      </c>
      <c r="L853" s="1">
        <v>0</v>
      </c>
      <c r="M853" s="1">
        <v>4620000</v>
      </c>
      <c r="N853" s="1">
        <v>0</v>
      </c>
      <c r="O853" s="1">
        <v>1000000</v>
      </c>
      <c r="P853" s="1">
        <v>4043675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1848000</v>
      </c>
      <c r="W853" s="1">
        <v>0</v>
      </c>
      <c r="X853" s="1">
        <v>12883265</v>
      </c>
      <c r="Y853" s="1">
        <v>4000000</v>
      </c>
      <c r="Z853" s="1">
        <v>2916823</v>
      </c>
      <c r="AA853" s="1">
        <v>0</v>
      </c>
      <c r="AB853" s="1">
        <v>0</v>
      </c>
      <c r="AC853" s="1">
        <v>0</v>
      </c>
      <c r="AD853" s="1">
        <v>0</v>
      </c>
      <c r="AE853" s="1">
        <v>1531714</v>
      </c>
      <c r="AF853" s="1">
        <v>0</v>
      </c>
      <c r="AG853" s="1">
        <v>3177173</v>
      </c>
      <c r="AH853" s="1">
        <v>1835427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14693119</v>
      </c>
      <c r="AO853" s="1">
        <v>0</v>
      </c>
      <c r="AP853" s="1">
        <v>0</v>
      </c>
      <c r="AQ853" s="1">
        <v>0</v>
      </c>
      <c r="AR853" s="1">
        <v>131509312</v>
      </c>
      <c r="AS853" s="1">
        <v>51236541</v>
      </c>
      <c r="AT853" s="1">
        <v>80272771</v>
      </c>
      <c r="AU853" s="1">
        <v>25934777</v>
      </c>
      <c r="AV853" s="1">
        <v>3890217</v>
      </c>
      <c r="AW853" s="1">
        <f t="shared" si="90"/>
        <v>161334306</v>
      </c>
    </row>
    <row r="854" spans="1:49" x14ac:dyDescent="0.2">
      <c r="A854" s="1" t="str">
        <f>"00979"</f>
        <v>00979</v>
      </c>
      <c r="B854" s="1" t="str">
        <f>"محسن"</f>
        <v>محسن</v>
      </c>
      <c r="C854" s="1" t="str">
        <f>"نوروزي"</f>
        <v>نوروزي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15380123</v>
      </c>
      <c r="G854" s="1">
        <v>0</v>
      </c>
      <c r="H854" s="1">
        <v>0</v>
      </c>
      <c r="I854" s="1">
        <v>26212468</v>
      </c>
      <c r="J854" s="1">
        <v>0</v>
      </c>
      <c r="K854" s="1">
        <v>13772178</v>
      </c>
      <c r="L854" s="1">
        <v>0</v>
      </c>
      <c r="M854" s="1">
        <v>0</v>
      </c>
      <c r="N854" s="1">
        <v>0</v>
      </c>
      <c r="O854" s="1">
        <v>1000000</v>
      </c>
      <c r="P854" s="1">
        <v>2790718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1848000</v>
      </c>
      <c r="W854" s="1">
        <v>0</v>
      </c>
      <c r="X854" s="1">
        <v>8260966</v>
      </c>
      <c r="Y854" s="1">
        <v>4000000</v>
      </c>
      <c r="Z854" s="1">
        <v>2232599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2192706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9922762</v>
      </c>
      <c r="AO854" s="1">
        <v>0</v>
      </c>
      <c r="AP854" s="1">
        <v>0</v>
      </c>
      <c r="AQ854" s="1">
        <v>0</v>
      </c>
      <c r="AR854" s="1">
        <v>87612520</v>
      </c>
      <c r="AS854" s="1">
        <v>30376880</v>
      </c>
      <c r="AT854" s="1">
        <v>57235640</v>
      </c>
      <c r="AU854" s="1">
        <v>17522504</v>
      </c>
      <c r="AV854" s="1">
        <v>2628376</v>
      </c>
      <c r="AW854" s="1">
        <f t="shared" si="90"/>
        <v>107763400</v>
      </c>
    </row>
    <row r="855" spans="1:49" x14ac:dyDescent="0.2">
      <c r="A855" s="1" t="str">
        <f>"00980"</f>
        <v>00980</v>
      </c>
      <c r="B855" s="1" t="str">
        <f>"سيدجواد"</f>
        <v>سيدجواد</v>
      </c>
      <c r="C855" s="1" t="str">
        <f>"هاشمي"</f>
        <v>هاشمي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16511274</v>
      </c>
      <c r="G855" s="1">
        <v>0</v>
      </c>
      <c r="H855" s="1">
        <v>0</v>
      </c>
      <c r="I855" s="1">
        <v>23811563</v>
      </c>
      <c r="J855" s="1">
        <v>0</v>
      </c>
      <c r="K855" s="1">
        <v>17127782</v>
      </c>
      <c r="L855" s="1">
        <v>0</v>
      </c>
      <c r="M855" s="1">
        <v>4620000</v>
      </c>
      <c r="N855" s="1">
        <v>0</v>
      </c>
      <c r="O855" s="1">
        <v>1000000</v>
      </c>
      <c r="P855" s="1">
        <v>3186620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1848000</v>
      </c>
      <c r="W855" s="1">
        <v>0</v>
      </c>
      <c r="X855" s="1">
        <v>9939832</v>
      </c>
      <c r="Y855" s="1">
        <v>4000000</v>
      </c>
      <c r="Z855" s="1">
        <v>2396798</v>
      </c>
      <c r="AA855" s="1">
        <v>0</v>
      </c>
      <c r="AB855" s="1">
        <v>0</v>
      </c>
      <c r="AC855" s="1">
        <v>0</v>
      </c>
      <c r="AD855" s="1">
        <v>0</v>
      </c>
      <c r="AE855" s="1">
        <v>1531714</v>
      </c>
      <c r="AF855" s="1">
        <v>0</v>
      </c>
      <c r="AG855" s="1">
        <v>2503773</v>
      </c>
      <c r="AH855" s="1">
        <v>3670854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12867659</v>
      </c>
      <c r="AO855" s="1">
        <v>0</v>
      </c>
      <c r="AP855" s="1">
        <v>0</v>
      </c>
      <c r="AQ855" s="1">
        <v>0</v>
      </c>
      <c r="AR855" s="1">
        <v>105015869</v>
      </c>
      <c r="AS855" s="1">
        <v>37961445</v>
      </c>
      <c r="AT855" s="1">
        <v>67054424</v>
      </c>
      <c r="AU855" s="1">
        <v>20269003</v>
      </c>
      <c r="AV855" s="1">
        <v>3040350</v>
      </c>
      <c r="AW855" s="1">
        <f t="shared" si="90"/>
        <v>128325222</v>
      </c>
    </row>
    <row r="856" spans="1:49" x14ac:dyDescent="0.2">
      <c r="A856" s="1" t="str">
        <f>"00981"</f>
        <v>00981</v>
      </c>
      <c r="B856" s="1" t="str">
        <f>"حسين"</f>
        <v>حسين</v>
      </c>
      <c r="C856" s="1" t="str">
        <f>"هاشمي پور"</f>
        <v>هاشمي پور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17677694</v>
      </c>
      <c r="G856" s="1">
        <v>0</v>
      </c>
      <c r="H856" s="1">
        <v>0</v>
      </c>
      <c r="I856" s="1">
        <v>1225520</v>
      </c>
      <c r="J856" s="1">
        <v>0</v>
      </c>
      <c r="K856" s="1">
        <v>17553220</v>
      </c>
      <c r="L856" s="1">
        <v>0</v>
      </c>
      <c r="M856" s="1">
        <v>4620000</v>
      </c>
      <c r="N856" s="1">
        <v>0</v>
      </c>
      <c r="O856" s="1">
        <v>1000000</v>
      </c>
      <c r="P856" s="1">
        <v>3594867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1848000</v>
      </c>
      <c r="W856" s="1">
        <v>0</v>
      </c>
      <c r="X856" s="1">
        <v>9140718</v>
      </c>
      <c r="Y856" s="1">
        <v>4000000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2824539</v>
      </c>
      <c r="AH856" s="1">
        <v>3670854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7100175</v>
      </c>
      <c r="AO856" s="1">
        <v>0</v>
      </c>
      <c r="AP856" s="1">
        <v>0</v>
      </c>
      <c r="AQ856" s="1">
        <v>0</v>
      </c>
      <c r="AR856" s="1">
        <v>74255587</v>
      </c>
      <c r="AS856" s="1">
        <v>14894062</v>
      </c>
      <c r="AT856" s="1">
        <v>59361525</v>
      </c>
      <c r="AU856" s="1">
        <v>14116947</v>
      </c>
      <c r="AV856" s="1">
        <v>2117542</v>
      </c>
      <c r="AW856" s="1">
        <f t="shared" si="90"/>
        <v>90490076</v>
      </c>
    </row>
    <row r="857" spans="1:49" x14ac:dyDescent="0.2">
      <c r="A857" s="1" t="str">
        <f>"00982"</f>
        <v>00982</v>
      </c>
      <c r="B857" s="1" t="str">
        <f>"سياوش"</f>
        <v>سياوش</v>
      </c>
      <c r="C857" s="1" t="str">
        <f>"جهانديده"</f>
        <v>جهانديده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13520904</v>
      </c>
      <c r="G857" s="1">
        <v>0</v>
      </c>
      <c r="H857" s="1">
        <v>0</v>
      </c>
      <c r="I857" s="1">
        <v>16592523</v>
      </c>
      <c r="J857" s="1">
        <v>0</v>
      </c>
      <c r="K857" s="1">
        <v>13024705</v>
      </c>
      <c r="L857" s="1">
        <v>0</v>
      </c>
      <c r="M857" s="1">
        <v>4620000</v>
      </c>
      <c r="N857" s="1">
        <v>0</v>
      </c>
      <c r="O857" s="1">
        <v>1000000</v>
      </c>
      <c r="P857" s="1">
        <v>2404514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7117835</v>
      </c>
      <c r="Y857" s="1">
        <v>4000000</v>
      </c>
      <c r="Z857" s="1">
        <v>1962712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1889261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11030231</v>
      </c>
      <c r="AO857" s="1">
        <v>0</v>
      </c>
      <c r="AP857" s="1">
        <v>0</v>
      </c>
      <c r="AQ857" s="1">
        <v>0</v>
      </c>
      <c r="AR857" s="1">
        <v>77162685</v>
      </c>
      <c r="AS857" s="1">
        <v>25480710</v>
      </c>
      <c r="AT857" s="1">
        <v>51681975</v>
      </c>
      <c r="AU857" s="1">
        <v>15432537</v>
      </c>
      <c r="AV857" s="1">
        <v>2314881</v>
      </c>
      <c r="AW857" s="1">
        <f t="shared" si="90"/>
        <v>94910103</v>
      </c>
    </row>
    <row r="858" spans="1:49" x14ac:dyDescent="0.2">
      <c r="A858" s="1" t="str">
        <f>"00983"</f>
        <v>00983</v>
      </c>
      <c r="B858" s="1" t="str">
        <f>"جليل"</f>
        <v>جليل</v>
      </c>
      <c r="C858" s="1" t="str">
        <f>"جليليان"</f>
        <v>جليليان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17740676</v>
      </c>
      <c r="G858" s="1">
        <v>0</v>
      </c>
      <c r="H858" s="1">
        <v>0</v>
      </c>
      <c r="I858" s="1">
        <v>38639316</v>
      </c>
      <c r="J858" s="1">
        <v>0</v>
      </c>
      <c r="K858" s="1">
        <v>17906479</v>
      </c>
      <c r="L858" s="1">
        <v>0</v>
      </c>
      <c r="M858" s="1">
        <v>0</v>
      </c>
      <c r="N858" s="1">
        <v>0</v>
      </c>
      <c r="O858" s="1">
        <v>1000000</v>
      </c>
      <c r="P858" s="1">
        <v>3220127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10021595</v>
      </c>
      <c r="Y858" s="1">
        <v>4000000</v>
      </c>
      <c r="Z858" s="1">
        <v>2575259</v>
      </c>
      <c r="AA858" s="1">
        <v>0</v>
      </c>
      <c r="AB858" s="1">
        <v>8345714</v>
      </c>
      <c r="AC858" s="1">
        <v>0</v>
      </c>
      <c r="AD858" s="1">
        <v>0</v>
      </c>
      <c r="AE858" s="1">
        <v>0</v>
      </c>
      <c r="AF858" s="1">
        <v>0</v>
      </c>
      <c r="AG858" s="1">
        <v>2530099</v>
      </c>
      <c r="AH858" s="1">
        <v>3670854</v>
      </c>
      <c r="AI858" s="1">
        <v>8416175</v>
      </c>
      <c r="AJ858" s="1">
        <v>0</v>
      </c>
      <c r="AK858" s="1">
        <v>0</v>
      </c>
      <c r="AL858" s="1">
        <v>0</v>
      </c>
      <c r="AM858" s="1">
        <v>0</v>
      </c>
      <c r="AN858" s="1">
        <v>13174757</v>
      </c>
      <c r="AO858" s="1">
        <v>0</v>
      </c>
      <c r="AP858" s="1">
        <v>0</v>
      </c>
      <c r="AQ858" s="1">
        <v>0</v>
      </c>
      <c r="AR858" s="1">
        <v>131241051</v>
      </c>
      <c r="AS858" s="1">
        <v>43661279</v>
      </c>
      <c r="AT858" s="1">
        <v>87579772</v>
      </c>
      <c r="AU858" s="1">
        <v>23844897</v>
      </c>
      <c r="AV858" s="1">
        <v>3576734</v>
      </c>
      <c r="AW858" s="1">
        <f t="shared" si="90"/>
        <v>158662682</v>
      </c>
    </row>
    <row r="859" spans="1:49" x14ac:dyDescent="0.2">
      <c r="A859" s="1" t="str">
        <f>"01129"</f>
        <v>01129</v>
      </c>
      <c r="B859" s="1" t="str">
        <f>"علي"</f>
        <v>علي</v>
      </c>
      <c r="C859" s="1" t="str">
        <f>"نيک"</f>
        <v>نيک</v>
      </c>
      <c r="D859" s="1" t="str">
        <f>"قراردادي کارگري"</f>
        <v>قراردادي کارگري</v>
      </c>
      <c r="E859" s="1" t="str">
        <f>"پروژه تعميرات نيروگاه بوشهر"</f>
        <v>پروژه تعميرات نيروگاه بوشهر</v>
      </c>
      <c r="F859" s="1">
        <v>0</v>
      </c>
      <c r="G859" s="1">
        <v>6910785</v>
      </c>
      <c r="H859" s="1">
        <v>3593608</v>
      </c>
      <c r="I859" s="1">
        <v>17155694</v>
      </c>
      <c r="J859" s="1">
        <v>0</v>
      </c>
      <c r="K859" s="1">
        <v>8718646</v>
      </c>
      <c r="L859" s="1">
        <v>0</v>
      </c>
      <c r="M859" s="1">
        <v>0</v>
      </c>
      <c r="N859" s="1">
        <v>11521166</v>
      </c>
      <c r="O859" s="1">
        <v>2000000</v>
      </c>
      <c r="P859" s="1">
        <v>5528628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2640000</v>
      </c>
      <c r="W859" s="1">
        <v>0</v>
      </c>
      <c r="X859" s="1">
        <v>4247283</v>
      </c>
      <c r="Y859" s="1">
        <v>4000000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1835427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68151237</v>
      </c>
      <c r="AS859" s="1">
        <v>14701557</v>
      </c>
      <c r="AT859" s="1">
        <v>53449680</v>
      </c>
      <c r="AU859" s="1">
        <v>13263162</v>
      </c>
      <c r="AV859" s="1">
        <v>1989474</v>
      </c>
      <c r="AW859" s="1">
        <f t="shared" si="90"/>
        <v>83403873</v>
      </c>
    </row>
    <row r="860" spans="1:49" x14ac:dyDescent="0.2">
      <c r="A860" s="1" t="str">
        <f>"01130"</f>
        <v>01130</v>
      </c>
      <c r="B860" s="1" t="str">
        <f>"علي"</f>
        <v>علي</v>
      </c>
      <c r="C860" s="1" t="str">
        <f>"فرريزي"</f>
        <v>فرريزي</v>
      </c>
      <c r="D860" s="1" t="str">
        <f>"قراردادي کارگري"</f>
        <v>قراردادي کارگري</v>
      </c>
      <c r="E860" s="1" t="str">
        <f>"پروژه تعميرات نيروگاه بوشهر"</f>
        <v>پروژه تعميرات نيروگاه بوشهر</v>
      </c>
      <c r="F860" s="1">
        <v>0</v>
      </c>
      <c r="G860" s="1">
        <v>5385452</v>
      </c>
      <c r="H860" s="1">
        <v>2692726</v>
      </c>
      <c r="I860" s="1">
        <v>7641096</v>
      </c>
      <c r="J860" s="1">
        <v>0</v>
      </c>
      <c r="K860" s="1">
        <v>4846907</v>
      </c>
      <c r="L860" s="1">
        <v>0</v>
      </c>
      <c r="M860" s="1">
        <v>0</v>
      </c>
      <c r="N860" s="1">
        <v>11521166</v>
      </c>
      <c r="O860" s="1">
        <v>2000000</v>
      </c>
      <c r="P860" s="1">
        <v>4308361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2640000</v>
      </c>
      <c r="W860" s="1">
        <v>0</v>
      </c>
      <c r="X860" s="1">
        <v>7340468</v>
      </c>
      <c r="Y860" s="1">
        <v>4000000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1835427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54211603</v>
      </c>
      <c r="AS860" s="1">
        <v>7972860</v>
      </c>
      <c r="AT860" s="1">
        <v>46238743</v>
      </c>
      <c r="AU860" s="1">
        <v>10475235</v>
      </c>
      <c r="AV860" s="1">
        <v>1571285</v>
      </c>
      <c r="AW860" s="1">
        <f t="shared" si="90"/>
        <v>66258123</v>
      </c>
    </row>
    <row r="861" spans="1:49" x14ac:dyDescent="0.2">
      <c r="A861" s="1" t="str">
        <f>"01131"</f>
        <v>01131</v>
      </c>
      <c r="B861" s="1" t="str">
        <f>"يونس"</f>
        <v>يونس</v>
      </c>
      <c r="C861" s="1" t="str">
        <f>"جمالي"</f>
        <v>جمالي</v>
      </c>
      <c r="D861" s="1" t="str">
        <f>"قراردادي کارگري"</f>
        <v>قراردادي کارگري</v>
      </c>
      <c r="E861" s="1" t="str">
        <f>"پروژه تعميرات نيروگاه بوشهر"</f>
        <v>پروژه تعميرات نيروگاه بوشهر</v>
      </c>
      <c r="F861" s="1">
        <v>0</v>
      </c>
      <c r="G861" s="1">
        <v>4650860</v>
      </c>
      <c r="H861" s="1">
        <v>2418447</v>
      </c>
      <c r="I861" s="1">
        <v>0</v>
      </c>
      <c r="J861" s="1">
        <v>0</v>
      </c>
      <c r="K861" s="1">
        <v>4382970</v>
      </c>
      <c r="L861" s="1">
        <v>0</v>
      </c>
      <c r="M861" s="1">
        <v>0</v>
      </c>
      <c r="N861" s="1">
        <v>11572430</v>
      </c>
      <c r="O861" s="1">
        <v>2000000</v>
      </c>
      <c r="P861" s="1">
        <v>3720688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2640000</v>
      </c>
      <c r="W861" s="1">
        <v>0</v>
      </c>
      <c r="X861" s="1">
        <v>10295436</v>
      </c>
      <c r="Y861" s="1">
        <v>4000000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5506281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51187112</v>
      </c>
      <c r="AS861" s="1">
        <v>12017327</v>
      </c>
      <c r="AT861" s="1">
        <v>39169785</v>
      </c>
      <c r="AU861" s="1">
        <v>9136166</v>
      </c>
      <c r="AV861" s="1">
        <v>1370425</v>
      </c>
      <c r="AW861" s="1">
        <f t="shared" si="90"/>
        <v>61693703</v>
      </c>
    </row>
    <row r="862" spans="1:49" x14ac:dyDescent="0.2">
      <c r="A862" s="1" t="str">
        <f>"01132"</f>
        <v>01132</v>
      </c>
      <c r="B862" s="1" t="str">
        <f>"بهبود"</f>
        <v>بهبود</v>
      </c>
      <c r="C862" s="1" t="str">
        <f>"ايازي"</f>
        <v>ايازي</v>
      </c>
      <c r="D862" s="1" t="str">
        <f>"قراردادي بهره بردار"</f>
        <v>قراردادي بهره بردار</v>
      </c>
      <c r="E862" s="1" t="str">
        <f>"پروژه بهره برداري نيروگاه بوشهر"</f>
        <v>پروژه بهره برداري نيروگاه بوشهر</v>
      </c>
      <c r="F862" s="1">
        <v>33450823</v>
      </c>
      <c r="G862" s="1">
        <v>0</v>
      </c>
      <c r="H862" s="1">
        <v>0</v>
      </c>
      <c r="I862" s="1">
        <v>15448176</v>
      </c>
      <c r="J862" s="1">
        <v>0</v>
      </c>
      <c r="K862" s="1">
        <v>27246036</v>
      </c>
      <c r="L862" s="1">
        <v>0</v>
      </c>
      <c r="M862" s="1">
        <v>5500000</v>
      </c>
      <c r="N862" s="1">
        <v>0</v>
      </c>
      <c r="O862" s="1">
        <v>1000000</v>
      </c>
      <c r="P862" s="1">
        <v>5525004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1848000</v>
      </c>
      <c r="W862" s="1">
        <v>0</v>
      </c>
      <c r="X862" s="1">
        <v>21309677</v>
      </c>
      <c r="Y862" s="1">
        <v>4000000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4341075</v>
      </c>
      <c r="AH862" s="1">
        <v>1835427</v>
      </c>
      <c r="AI862" s="1">
        <v>1007707</v>
      </c>
      <c r="AJ862" s="1">
        <v>0</v>
      </c>
      <c r="AK862" s="1">
        <v>0</v>
      </c>
      <c r="AL862" s="1">
        <v>0</v>
      </c>
      <c r="AM862" s="1">
        <v>0</v>
      </c>
      <c r="AN862" s="1">
        <v>6630004</v>
      </c>
      <c r="AO862" s="1">
        <v>0</v>
      </c>
      <c r="AP862" s="1">
        <v>0</v>
      </c>
      <c r="AQ862" s="1">
        <v>0</v>
      </c>
      <c r="AR862" s="1">
        <v>129141929</v>
      </c>
      <c r="AS862" s="1">
        <v>54072615</v>
      </c>
      <c r="AT862" s="1">
        <v>75069314</v>
      </c>
      <c r="AU862" s="1">
        <v>25461300</v>
      </c>
      <c r="AV862" s="1">
        <v>3819195</v>
      </c>
      <c r="AW862" s="1">
        <f t="shared" si="90"/>
        <v>158422424</v>
      </c>
    </row>
    <row r="863" spans="1:49" x14ac:dyDescent="0.2">
      <c r="A863" s="1" t="str">
        <f>"01133"</f>
        <v>01133</v>
      </c>
      <c r="B863" s="1" t="str">
        <f>"وحيد"</f>
        <v>وحيد</v>
      </c>
      <c r="C863" s="1" t="str">
        <f>"فولادي تنها"</f>
        <v>فولادي تنها</v>
      </c>
      <c r="D863" s="1" t="str">
        <f>"قراردادي کارگري"</f>
        <v>قراردادي کارگري</v>
      </c>
      <c r="E863" s="1" t="str">
        <f>"پروژه تعميرات نيروگاه بوشهر"</f>
        <v>پروژه تعميرات نيروگاه بوشهر</v>
      </c>
      <c r="F863" s="1">
        <v>0</v>
      </c>
      <c r="G863" s="1">
        <v>5081322</v>
      </c>
      <c r="H863" s="1">
        <v>2540661</v>
      </c>
      <c r="I863" s="1">
        <v>3704895</v>
      </c>
      <c r="J863" s="1">
        <v>0</v>
      </c>
      <c r="K863" s="1">
        <v>4573189</v>
      </c>
      <c r="L863" s="1">
        <v>0</v>
      </c>
      <c r="M863" s="1">
        <v>0</v>
      </c>
      <c r="N863" s="1">
        <v>11521166</v>
      </c>
      <c r="O863" s="1">
        <v>2000000</v>
      </c>
      <c r="P863" s="1">
        <v>4065057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2640000</v>
      </c>
      <c r="W863" s="1">
        <v>0</v>
      </c>
      <c r="X863" s="1">
        <v>7221046</v>
      </c>
      <c r="Y863" s="1">
        <v>4000000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1835427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49182763</v>
      </c>
      <c r="AS863" s="1">
        <v>6552425</v>
      </c>
      <c r="AT863" s="1">
        <v>42630338</v>
      </c>
      <c r="AU863" s="1">
        <v>9469467</v>
      </c>
      <c r="AV863" s="1">
        <v>1420420</v>
      </c>
      <c r="AW863" s="1">
        <f t="shared" si="90"/>
        <v>60072650</v>
      </c>
    </row>
    <row r="864" spans="1:49" x14ac:dyDescent="0.2">
      <c r="A864" s="1" t="str">
        <f>"01135"</f>
        <v>01135</v>
      </c>
      <c r="B864" s="1" t="str">
        <f>"سامان"</f>
        <v>سامان</v>
      </c>
      <c r="C864" s="1" t="str">
        <f>"تجلي"</f>
        <v>تجلي</v>
      </c>
      <c r="D864" s="1" t="str">
        <f t="shared" ref="D864:D869" si="91">"قراردادي بهره بردار"</f>
        <v>قراردادي بهره بردار</v>
      </c>
      <c r="E864" s="1" t="str">
        <f>"پروژه بهره برداري نيروگاه بوشهر"</f>
        <v>پروژه بهره برداري نيروگاه بوشهر</v>
      </c>
      <c r="F864" s="1">
        <v>21103897</v>
      </c>
      <c r="G864" s="1">
        <v>0</v>
      </c>
      <c r="H864" s="1">
        <v>0</v>
      </c>
      <c r="I864" s="1">
        <v>3224477</v>
      </c>
      <c r="J864" s="1">
        <v>0</v>
      </c>
      <c r="K864" s="1">
        <v>15096639</v>
      </c>
      <c r="L864" s="1">
        <v>0</v>
      </c>
      <c r="M864" s="1">
        <v>4125000</v>
      </c>
      <c r="N864" s="1">
        <v>0</v>
      </c>
      <c r="O864" s="1">
        <v>1000000</v>
      </c>
      <c r="P864" s="1">
        <v>3524328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1848000</v>
      </c>
      <c r="W864" s="1">
        <v>0</v>
      </c>
      <c r="X864" s="1">
        <v>8713115</v>
      </c>
      <c r="Y864" s="1">
        <v>4000000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2769115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5912215</v>
      </c>
      <c r="AO864" s="1">
        <v>0</v>
      </c>
      <c r="AP864" s="1">
        <v>0</v>
      </c>
      <c r="AQ864" s="1">
        <v>0</v>
      </c>
      <c r="AR864" s="1">
        <v>71316786</v>
      </c>
      <c r="AS864" s="1">
        <v>22577001</v>
      </c>
      <c r="AT864" s="1">
        <v>48739785</v>
      </c>
      <c r="AU864" s="1">
        <v>14263357</v>
      </c>
      <c r="AV864" s="1">
        <v>2139504</v>
      </c>
      <c r="AW864" s="1">
        <f t="shared" si="90"/>
        <v>87719647</v>
      </c>
    </row>
    <row r="865" spans="1:49" x14ac:dyDescent="0.2">
      <c r="A865" s="1" t="str">
        <f>"01136"</f>
        <v>01136</v>
      </c>
      <c r="B865" s="1" t="str">
        <f>"مجتبي"</f>
        <v>مجتبي</v>
      </c>
      <c r="C865" s="1" t="str">
        <f>"جان احمدي"</f>
        <v>جان احمدي</v>
      </c>
      <c r="D865" s="1" t="str">
        <f t="shared" si="91"/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21237418</v>
      </c>
      <c r="G865" s="1">
        <v>0</v>
      </c>
      <c r="H865" s="1">
        <v>0</v>
      </c>
      <c r="I865" s="1">
        <v>6195448</v>
      </c>
      <c r="J865" s="1">
        <v>0</v>
      </c>
      <c r="K865" s="1">
        <v>15910386</v>
      </c>
      <c r="L865" s="1">
        <v>0</v>
      </c>
      <c r="M865" s="1">
        <v>5500000</v>
      </c>
      <c r="N865" s="1">
        <v>0</v>
      </c>
      <c r="O865" s="1">
        <v>1000000</v>
      </c>
      <c r="P865" s="1">
        <v>3359442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1848000</v>
      </c>
      <c r="W865" s="1">
        <v>0</v>
      </c>
      <c r="X865" s="1">
        <v>9345482</v>
      </c>
      <c r="Y865" s="1">
        <v>4000000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2639562</v>
      </c>
      <c r="AH865" s="1">
        <v>1835427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6039942</v>
      </c>
      <c r="AO865" s="1">
        <v>0</v>
      </c>
      <c r="AP865" s="1">
        <v>0</v>
      </c>
      <c r="AQ865" s="1">
        <v>0</v>
      </c>
      <c r="AR865" s="1">
        <v>78911107</v>
      </c>
      <c r="AS865" s="1">
        <v>25869284</v>
      </c>
      <c r="AT865" s="1">
        <v>53041823</v>
      </c>
      <c r="AU865" s="1">
        <v>15415136</v>
      </c>
      <c r="AV865" s="1">
        <v>2312270</v>
      </c>
      <c r="AW865" s="1">
        <f t="shared" si="90"/>
        <v>96638513</v>
      </c>
    </row>
    <row r="866" spans="1:49" x14ac:dyDescent="0.2">
      <c r="A866" s="1" t="str">
        <f>"01137"</f>
        <v>01137</v>
      </c>
      <c r="B866" s="1" t="str">
        <f>"سيد حسن"</f>
        <v>سيد حسن</v>
      </c>
      <c r="C866" s="1" t="str">
        <f>"موسوي"</f>
        <v>موسوي</v>
      </c>
      <c r="D866" s="1" t="str">
        <f t="shared" si="91"/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25091896</v>
      </c>
      <c r="G866" s="1">
        <v>0</v>
      </c>
      <c r="H866" s="1">
        <v>0</v>
      </c>
      <c r="I866" s="1">
        <v>11783807</v>
      </c>
      <c r="J866" s="1">
        <v>0</v>
      </c>
      <c r="K866" s="1">
        <v>23014652</v>
      </c>
      <c r="L866" s="1">
        <v>0</v>
      </c>
      <c r="M866" s="1">
        <v>5500000</v>
      </c>
      <c r="N866" s="1">
        <v>0</v>
      </c>
      <c r="O866" s="1">
        <v>1000000</v>
      </c>
      <c r="P866" s="1">
        <v>3690096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1848000</v>
      </c>
      <c r="W866" s="1">
        <v>0</v>
      </c>
      <c r="X866" s="1">
        <v>6072487</v>
      </c>
      <c r="Y866" s="1">
        <v>4000000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2899361</v>
      </c>
      <c r="AH866" s="1">
        <v>1835427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6028857</v>
      </c>
      <c r="AO866" s="1">
        <v>0</v>
      </c>
      <c r="AP866" s="1">
        <v>0</v>
      </c>
      <c r="AQ866" s="1">
        <v>0</v>
      </c>
      <c r="AR866" s="1">
        <v>92764583</v>
      </c>
      <c r="AS866" s="1">
        <v>45266834</v>
      </c>
      <c r="AT866" s="1">
        <v>47497749</v>
      </c>
      <c r="AU866" s="1">
        <v>18185831</v>
      </c>
      <c r="AV866" s="1">
        <v>2727875</v>
      </c>
      <c r="AW866" s="1">
        <f t="shared" si="90"/>
        <v>113678289</v>
      </c>
    </row>
    <row r="867" spans="1:49" x14ac:dyDescent="0.2">
      <c r="A867" s="1" t="str">
        <f>"01138"</f>
        <v>01138</v>
      </c>
      <c r="B867" s="1" t="str">
        <f>"آرمان"</f>
        <v>آرمان</v>
      </c>
      <c r="C867" s="1" t="str">
        <f>"زنده بودي"</f>
        <v>زنده بودي</v>
      </c>
      <c r="D867" s="1" t="str">
        <f t="shared" si="91"/>
        <v>قراردادي بهره بردار</v>
      </c>
      <c r="E867" s="1" t="str">
        <f>"پروژه تعميرات نيروگاه بوشهر"</f>
        <v>پروژه تعميرات نيروگاه بوشهر</v>
      </c>
      <c r="F867" s="1">
        <v>21275207</v>
      </c>
      <c r="G867" s="1">
        <v>0</v>
      </c>
      <c r="H867" s="1">
        <v>0</v>
      </c>
      <c r="I867" s="1">
        <v>7144288</v>
      </c>
      <c r="J867" s="1">
        <v>0</v>
      </c>
      <c r="K867" s="1">
        <v>19136117</v>
      </c>
      <c r="L867" s="1">
        <v>0</v>
      </c>
      <c r="M867" s="1">
        <v>5500000</v>
      </c>
      <c r="N867" s="1">
        <v>0</v>
      </c>
      <c r="O867" s="1">
        <v>1000000</v>
      </c>
      <c r="P867" s="1">
        <v>3584287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1848000</v>
      </c>
      <c r="W867" s="1">
        <v>0</v>
      </c>
      <c r="X867" s="1">
        <v>15374628</v>
      </c>
      <c r="Y867" s="1">
        <v>4000000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2816225</v>
      </c>
      <c r="AH867" s="1">
        <v>1835427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10131231</v>
      </c>
      <c r="AO867" s="1">
        <v>0</v>
      </c>
      <c r="AP867" s="1">
        <v>0</v>
      </c>
      <c r="AQ867" s="1">
        <v>0</v>
      </c>
      <c r="AR867" s="1">
        <v>93645410</v>
      </c>
      <c r="AS867" s="1">
        <v>39909704</v>
      </c>
      <c r="AT867" s="1">
        <v>53735706</v>
      </c>
      <c r="AU867" s="1">
        <v>18361997</v>
      </c>
      <c r="AV867" s="1">
        <v>2754299</v>
      </c>
      <c r="AW867" s="1">
        <f t="shared" si="90"/>
        <v>114761706</v>
      </c>
    </row>
    <row r="868" spans="1:49" x14ac:dyDescent="0.2">
      <c r="A868" s="1" t="str">
        <f>"01139"</f>
        <v>01139</v>
      </c>
      <c r="B868" s="1" t="str">
        <f>"جواد"</f>
        <v>جواد</v>
      </c>
      <c r="C868" s="1" t="str">
        <f>"كمالي"</f>
        <v>كمالي</v>
      </c>
      <c r="D868" s="1" t="str">
        <f t="shared" si="91"/>
        <v>قراردادي بهره بردار</v>
      </c>
      <c r="E868" s="1" t="str">
        <f>"پروژه تعميرات نيروگاه بوشهر"</f>
        <v>پروژه تعميرات نيروگاه بوشهر</v>
      </c>
      <c r="F868" s="1">
        <v>20814181</v>
      </c>
      <c r="G868" s="1">
        <v>0</v>
      </c>
      <c r="H868" s="1">
        <v>0</v>
      </c>
      <c r="I868" s="1">
        <v>0</v>
      </c>
      <c r="J868" s="1">
        <v>0</v>
      </c>
      <c r="K868" s="1">
        <v>15931153</v>
      </c>
      <c r="L868" s="1">
        <v>0</v>
      </c>
      <c r="M868" s="1">
        <v>4125000</v>
      </c>
      <c r="N868" s="1">
        <v>0</v>
      </c>
      <c r="O868" s="1">
        <v>1000000</v>
      </c>
      <c r="P868" s="1">
        <v>3422928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1848000</v>
      </c>
      <c r="W868" s="1">
        <v>0</v>
      </c>
      <c r="X868" s="1">
        <v>8712833</v>
      </c>
      <c r="Y868" s="1">
        <v>4000000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2689443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5546921</v>
      </c>
      <c r="AO868" s="1">
        <v>0</v>
      </c>
      <c r="AP868" s="1">
        <v>0</v>
      </c>
      <c r="AQ868" s="1">
        <v>0</v>
      </c>
      <c r="AR868" s="1">
        <v>68090459</v>
      </c>
      <c r="AS868" s="1">
        <v>24400350</v>
      </c>
      <c r="AT868" s="1">
        <v>43690109</v>
      </c>
      <c r="AU868" s="1">
        <v>13618092</v>
      </c>
      <c r="AV868" s="1">
        <v>2042714</v>
      </c>
      <c r="AW868" s="1">
        <f t="shared" si="90"/>
        <v>83751265</v>
      </c>
    </row>
    <row r="869" spans="1:49" x14ac:dyDescent="0.2">
      <c r="A869" s="1" t="str">
        <f>"01140"</f>
        <v>01140</v>
      </c>
      <c r="B869" s="1" t="str">
        <f>"سعيد"</f>
        <v>سعيد</v>
      </c>
      <c r="C869" s="1" t="str">
        <f>"كارگر"</f>
        <v>كارگر</v>
      </c>
      <c r="D869" s="1" t="str">
        <f t="shared" si="91"/>
        <v>قراردادي بهره بردار</v>
      </c>
      <c r="E869" s="1" t="str">
        <f>"پروژه تعميرات نيروگاه بوشهر"</f>
        <v>پروژه تعميرات نيروگاه بوشهر</v>
      </c>
      <c r="F869" s="1">
        <v>20401021</v>
      </c>
      <c r="G869" s="1">
        <v>0</v>
      </c>
      <c r="H869" s="1">
        <v>0</v>
      </c>
      <c r="I869" s="1">
        <v>3238059</v>
      </c>
      <c r="J869" s="1">
        <v>0</v>
      </c>
      <c r="K869" s="1">
        <v>16906579</v>
      </c>
      <c r="L869" s="1">
        <v>0</v>
      </c>
      <c r="M869" s="1">
        <v>5500000</v>
      </c>
      <c r="N869" s="1">
        <v>0</v>
      </c>
      <c r="O869" s="1">
        <v>1000000</v>
      </c>
      <c r="P869" s="1">
        <v>3278321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1848000</v>
      </c>
      <c r="W869" s="1">
        <v>0</v>
      </c>
      <c r="X869" s="1">
        <v>15512822</v>
      </c>
      <c r="Y869" s="1">
        <v>4000000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2575824</v>
      </c>
      <c r="AH869" s="1">
        <v>1835427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6879613</v>
      </c>
      <c r="AO869" s="1">
        <v>0</v>
      </c>
      <c r="AP869" s="1">
        <v>0</v>
      </c>
      <c r="AQ869" s="1">
        <v>0</v>
      </c>
      <c r="AR869" s="1">
        <v>82975666</v>
      </c>
      <c r="AS869" s="1">
        <v>27343108</v>
      </c>
      <c r="AT869" s="1">
        <v>55632558</v>
      </c>
      <c r="AU869" s="1">
        <v>16228048</v>
      </c>
      <c r="AV869" s="1">
        <v>2434207</v>
      </c>
      <c r="AW869" s="1">
        <f t="shared" si="90"/>
        <v>101637921</v>
      </c>
    </row>
    <row r="870" spans="1:49" x14ac:dyDescent="0.2">
      <c r="A870" s="1" t="str">
        <f>"01142"</f>
        <v>01142</v>
      </c>
      <c r="B870" s="1" t="str">
        <f>"حبيب"</f>
        <v>حبيب</v>
      </c>
      <c r="C870" s="1" t="str">
        <f>"دهقاني"</f>
        <v>دهقاني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0</v>
      </c>
      <c r="G870" s="1">
        <v>7046474</v>
      </c>
      <c r="H870" s="1">
        <v>3523237</v>
      </c>
      <c r="I870" s="1">
        <v>0</v>
      </c>
      <c r="J870" s="1">
        <v>0</v>
      </c>
      <c r="K870" s="1">
        <v>6341826</v>
      </c>
      <c r="L870" s="1">
        <v>0</v>
      </c>
      <c r="M870" s="1">
        <v>0</v>
      </c>
      <c r="N870" s="1">
        <v>11521166</v>
      </c>
      <c r="O870" s="1">
        <v>2000000</v>
      </c>
      <c r="P870" s="1">
        <v>5637178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2640000</v>
      </c>
      <c r="W870" s="1">
        <v>0</v>
      </c>
      <c r="X870" s="1">
        <v>12080965</v>
      </c>
      <c r="Y870" s="1">
        <v>4000000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5506281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60297127</v>
      </c>
      <c r="AS870" s="1">
        <v>11760137</v>
      </c>
      <c r="AT870" s="1">
        <v>48536990</v>
      </c>
      <c r="AU870" s="1">
        <v>10958169</v>
      </c>
      <c r="AV870" s="1">
        <v>1643725</v>
      </c>
      <c r="AW870" s="1">
        <f t="shared" si="90"/>
        <v>72899021</v>
      </c>
    </row>
    <row r="871" spans="1:49" x14ac:dyDescent="0.2">
      <c r="A871" s="1" t="str">
        <f>"01144"</f>
        <v>01144</v>
      </c>
      <c r="B871" s="1" t="str">
        <f>"آزاده"</f>
        <v>آزاده</v>
      </c>
      <c r="C871" s="1" t="str">
        <f>"دهقان"</f>
        <v>دهقان</v>
      </c>
      <c r="D871" s="1" t="str">
        <f t="shared" ref="D871:D905" si="92">"قراردادي بهره بردار"</f>
        <v>قراردادي بهره بردار</v>
      </c>
      <c r="E871" s="1" t="str">
        <f t="shared" ref="E871:E905" si="93">"پروژه بهره برداري نيروگاه بوشهر"</f>
        <v>پروژه بهره برداري نيروگاه بوشهر</v>
      </c>
      <c r="F871" s="1">
        <v>18556918</v>
      </c>
      <c r="G871" s="1">
        <v>0</v>
      </c>
      <c r="H871" s="1">
        <v>0</v>
      </c>
      <c r="I871" s="1">
        <v>310306</v>
      </c>
      <c r="J871" s="1">
        <v>0</v>
      </c>
      <c r="K871" s="1">
        <v>12032891</v>
      </c>
      <c r="L871" s="1">
        <v>2530000</v>
      </c>
      <c r="M871" s="1">
        <v>5500000</v>
      </c>
      <c r="N871" s="1">
        <v>0</v>
      </c>
      <c r="O871" s="1">
        <v>1000000</v>
      </c>
      <c r="P871" s="1">
        <v>2831278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1848000</v>
      </c>
      <c r="W871" s="1">
        <v>0</v>
      </c>
      <c r="X871" s="1">
        <v>3997704</v>
      </c>
      <c r="Y871" s="1">
        <v>4000000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2224576</v>
      </c>
      <c r="AH871" s="1">
        <v>1835427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4331375</v>
      </c>
      <c r="AO871" s="1">
        <v>0</v>
      </c>
      <c r="AP871" s="1">
        <v>0</v>
      </c>
      <c r="AQ871" s="1">
        <v>0</v>
      </c>
      <c r="AR871" s="1">
        <v>60998475</v>
      </c>
      <c r="AS871" s="1">
        <v>18309288</v>
      </c>
      <c r="AT871" s="1">
        <v>42689187</v>
      </c>
      <c r="AU871" s="1">
        <v>11326610</v>
      </c>
      <c r="AV871" s="1">
        <v>1698991</v>
      </c>
      <c r="AW871" s="1">
        <f t="shared" si="90"/>
        <v>74024076</v>
      </c>
    </row>
    <row r="872" spans="1:49" x14ac:dyDescent="0.2">
      <c r="A872" s="1" t="str">
        <f>"01145"</f>
        <v>01145</v>
      </c>
      <c r="B872" s="1" t="str">
        <f>"مسعود"</f>
        <v>مسعود</v>
      </c>
      <c r="C872" s="1" t="str">
        <f>"عبدالهي"</f>
        <v>عبدالهي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14893905</v>
      </c>
      <c r="G872" s="1">
        <v>0</v>
      </c>
      <c r="H872" s="1">
        <v>0</v>
      </c>
      <c r="I872" s="1">
        <v>300005</v>
      </c>
      <c r="J872" s="1">
        <v>0</v>
      </c>
      <c r="K872" s="1">
        <v>11673497</v>
      </c>
      <c r="L872" s="1">
        <v>0</v>
      </c>
      <c r="M872" s="1">
        <v>4620000</v>
      </c>
      <c r="N872" s="1">
        <v>0</v>
      </c>
      <c r="O872" s="1">
        <v>1000000</v>
      </c>
      <c r="P872" s="1">
        <v>2620542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1848000</v>
      </c>
      <c r="W872" s="1">
        <v>0</v>
      </c>
      <c r="X872" s="1">
        <v>3865006</v>
      </c>
      <c r="Y872" s="1">
        <v>4000000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3229700</v>
      </c>
      <c r="AF872" s="1">
        <v>0</v>
      </c>
      <c r="AG872" s="1">
        <v>2058996</v>
      </c>
      <c r="AH872" s="1">
        <v>3670854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4173417</v>
      </c>
      <c r="AO872" s="1">
        <v>0</v>
      </c>
      <c r="AP872" s="1">
        <v>0</v>
      </c>
      <c r="AQ872" s="1">
        <v>0</v>
      </c>
      <c r="AR872" s="1">
        <v>57953922</v>
      </c>
      <c r="AS872" s="1">
        <v>26734224</v>
      </c>
      <c r="AT872" s="1">
        <v>31219698</v>
      </c>
      <c r="AU872" s="1">
        <v>10856614</v>
      </c>
      <c r="AV872" s="1">
        <v>1628492</v>
      </c>
      <c r="AW872" s="1">
        <f t="shared" si="90"/>
        <v>70439028</v>
      </c>
    </row>
    <row r="873" spans="1:49" x14ac:dyDescent="0.2">
      <c r="A873" s="1" t="str">
        <f>"01146"</f>
        <v>01146</v>
      </c>
      <c r="B873" s="1" t="str">
        <f>"محمدرضا"</f>
        <v>محمدرضا</v>
      </c>
      <c r="C873" s="1" t="str">
        <f>"بشيري"</f>
        <v>بشيري</v>
      </c>
      <c r="D873" s="1" t="str">
        <f t="shared" si="92"/>
        <v>قراردادي بهره بردار</v>
      </c>
      <c r="E873" s="1" t="str">
        <f t="shared" si="93"/>
        <v>پروژه بهره برداري نيروگاه بوشهر</v>
      </c>
      <c r="F873" s="1">
        <v>21877312</v>
      </c>
      <c r="G873" s="1">
        <v>0</v>
      </c>
      <c r="H873" s="1">
        <v>0</v>
      </c>
      <c r="I873" s="1">
        <v>3993735</v>
      </c>
      <c r="J873" s="1">
        <v>0</v>
      </c>
      <c r="K873" s="1">
        <v>16601226</v>
      </c>
      <c r="L873" s="1">
        <v>0</v>
      </c>
      <c r="M873" s="1">
        <v>4125000</v>
      </c>
      <c r="N873" s="1">
        <v>0</v>
      </c>
      <c r="O873" s="1">
        <v>1000000</v>
      </c>
      <c r="P873" s="1">
        <v>3795023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1848000</v>
      </c>
      <c r="W873" s="1">
        <v>0</v>
      </c>
      <c r="X873" s="1">
        <v>5145175</v>
      </c>
      <c r="Y873" s="1">
        <v>4000000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2981804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6196389</v>
      </c>
      <c r="AO873" s="1">
        <v>0</v>
      </c>
      <c r="AP873" s="1">
        <v>0</v>
      </c>
      <c r="AQ873" s="1">
        <v>0</v>
      </c>
      <c r="AR873" s="1">
        <v>71563664</v>
      </c>
      <c r="AS873" s="1">
        <v>38142777</v>
      </c>
      <c r="AT873" s="1">
        <v>33420887</v>
      </c>
      <c r="AU873" s="1">
        <v>14312733</v>
      </c>
      <c r="AV873" s="1">
        <v>2146910</v>
      </c>
      <c r="AW873" s="1">
        <f t="shared" si="90"/>
        <v>88023307</v>
      </c>
    </row>
    <row r="874" spans="1:49" x14ac:dyDescent="0.2">
      <c r="A874" s="1" t="str">
        <f>"01148"</f>
        <v>01148</v>
      </c>
      <c r="B874" s="1" t="str">
        <f>"حسن"</f>
        <v>حسن</v>
      </c>
      <c r="C874" s="1" t="str">
        <f>"محمدي"</f>
        <v>محمدي</v>
      </c>
      <c r="D874" s="1" t="str">
        <f t="shared" si="92"/>
        <v>قراردادي بهره بردار</v>
      </c>
      <c r="E874" s="1" t="str">
        <f t="shared" si="93"/>
        <v>پروژه بهره برداري نيروگاه بوشهر</v>
      </c>
      <c r="F874" s="1">
        <v>19859379</v>
      </c>
      <c r="G874" s="1">
        <v>0</v>
      </c>
      <c r="H874" s="1">
        <v>0</v>
      </c>
      <c r="I874" s="1">
        <v>1634022</v>
      </c>
      <c r="J874" s="1">
        <v>0</v>
      </c>
      <c r="K874" s="1">
        <v>11250099</v>
      </c>
      <c r="L874" s="1">
        <v>0</v>
      </c>
      <c r="M874" s="1">
        <v>5500000</v>
      </c>
      <c r="N874" s="1">
        <v>0</v>
      </c>
      <c r="O874" s="1">
        <v>1000000</v>
      </c>
      <c r="P874" s="1">
        <v>2877129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1848000</v>
      </c>
      <c r="W874" s="1">
        <v>0</v>
      </c>
      <c r="X874" s="1">
        <v>4210259</v>
      </c>
      <c r="Y874" s="1">
        <v>4000000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2260601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5855380</v>
      </c>
      <c r="AO874" s="1">
        <v>0</v>
      </c>
      <c r="AP874" s="1">
        <v>0</v>
      </c>
      <c r="AQ874" s="1">
        <v>0</v>
      </c>
      <c r="AR874" s="1">
        <v>60294869</v>
      </c>
      <c r="AS874" s="1">
        <v>9656065</v>
      </c>
      <c r="AT874" s="1">
        <v>50638804</v>
      </c>
      <c r="AU874" s="1">
        <v>12058974</v>
      </c>
      <c r="AV874" s="1">
        <v>1808846</v>
      </c>
      <c r="AW874" s="1">
        <f t="shared" si="90"/>
        <v>74162689</v>
      </c>
    </row>
    <row r="875" spans="1:49" x14ac:dyDescent="0.2">
      <c r="A875" s="1" t="str">
        <f>"01149"</f>
        <v>01149</v>
      </c>
      <c r="B875" s="1" t="str">
        <f>"ناصر"</f>
        <v>ناصر</v>
      </c>
      <c r="C875" s="1" t="str">
        <f>"مرادي"</f>
        <v>مرادي</v>
      </c>
      <c r="D875" s="1" t="str">
        <f t="shared" si="92"/>
        <v>قراردادي بهره بردار</v>
      </c>
      <c r="E875" s="1" t="str">
        <f t="shared" si="93"/>
        <v>پروژه بهره برداري نيروگاه بوشهر</v>
      </c>
      <c r="F875" s="1">
        <v>21935255</v>
      </c>
      <c r="G875" s="1">
        <v>0</v>
      </c>
      <c r="H875" s="1">
        <v>0</v>
      </c>
      <c r="I875" s="1">
        <v>9251955</v>
      </c>
      <c r="J875" s="1">
        <v>0</v>
      </c>
      <c r="K875" s="1">
        <v>19529775</v>
      </c>
      <c r="L875" s="1">
        <v>0</v>
      </c>
      <c r="M875" s="1">
        <v>5500000</v>
      </c>
      <c r="N875" s="1">
        <v>0</v>
      </c>
      <c r="O875" s="1">
        <v>1000000</v>
      </c>
      <c r="P875" s="1">
        <v>3603685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1848000</v>
      </c>
      <c r="W875" s="1">
        <v>0</v>
      </c>
      <c r="X875" s="1">
        <v>5675906</v>
      </c>
      <c r="Y875" s="1">
        <v>4000000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3892267</v>
      </c>
      <c r="AF875" s="1">
        <v>0</v>
      </c>
      <c r="AG875" s="1">
        <v>2831467</v>
      </c>
      <c r="AH875" s="1">
        <v>5506281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4966608</v>
      </c>
      <c r="AO875" s="1">
        <v>0</v>
      </c>
      <c r="AP875" s="1">
        <v>0</v>
      </c>
      <c r="AQ875" s="1">
        <v>0</v>
      </c>
      <c r="AR875" s="1">
        <v>89541199</v>
      </c>
      <c r="AS875" s="1">
        <v>31418680</v>
      </c>
      <c r="AT875" s="1">
        <v>58122519</v>
      </c>
      <c r="AU875" s="1">
        <v>16806984</v>
      </c>
      <c r="AV875" s="1">
        <v>2521048</v>
      </c>
      <c r="AW875" s="1">
        <f t="shared" si="90"/>
        <v>108869231</v>
      </c>
    </row>
    <row r="876" spans="1:49" x14ac:dyDescent="0.2">
      <c r="A876" s="1" t="str">
        <f>"01150"</f>
        <v>01150</v>
      </c>
      <c r="B876" s="1" t="str">
        <f>"شهلا"</f>
        <v>شهلا</v>
      </c>
      <c r="C876" s="1" t="str">
        <f>"دهقاني"</f>
        <v>دهقاني</v>
      </c>
      <c r="D876" s="1" t="str">
        <f t="shared" si="92"/>
        <v>قراردادي بهره بردار</v>
      </c>
      <c r="E876" s="1" t="str">
        <f t="shared" si="93"/>
        <v>پروژه بهره برداري نيروگاه بوشهر</v>
      </c>
      <c r="F876" s="1">
        <v>19746012</v>
      </c>
      <c r="G876" s="1">
        <v>0</v>
      </c>
      <c r="H876" s="1">
        <v>0</v>
      </c>
      <c r="I876" s="1">
        <v>0</v>
      </c>
      <c r="J876" s="1">
        <v>0</v>
      </c>
      <c r="K876" s="1">
        <v>14143445</v>
      </c>
      <c r="L876" s="1">
        <v>0</v>
      </c>
      <c r="M876" s="1">
        <v>4125000</v>
      </c>
      <c r="N876" s="1">
        <v>0</v>
      </c>
      <c r="O876" s="1">
        <v>1000000</v>
      </c>
      <c r="P876" s="1">
        <v>3049068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1848000</v>
      </c>
      <c r="W876" s="1">
        <v>0</v>
      </c>
      <c r="X876" s="1">
        <v>4449557</v>
      </c>
      <c r="Y876" s="1">
        <v>4000000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2395697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5161348</v>
      </c>
      <c r="AO876" s="1">
        <v>0</v>
      </c>
      <c r="AP876" s="1">
        <v>0</v>
      </c>
      <c r="AQ876" s="1">
        <v>0</v>
      </c>
      <c r="AR876" s="1">
        <v>59918127</v>
      </c>
      <c r="AS876" s="1">
        <v>6181855</v>
      </c>
      <c r="AT876" s="1">
        <v>53736272</v>
      </c>
      <c r="AU876" s="1">
        <v>11983625</v>
      </c>
      <c r="AV876" s="1">
        <v>1797544</v>
      </c>
      <c r="AW876" s="1">
        <f t="shared" si="90"/>
        <v>73699296</v>
      </c>
    </row>
    <row r="877" spans="1:49" x14ac:dyDescent="0.2">
      <c r="A877" s="1" t="str">
        <f>"01151"</f>
        <v>01151</v>
      </c>
      <c r="B877" s="1" t="str">
        <f>"آرش"</f>
        <v>آرش</v>
      </c>
      <c r="C877" s="1" t="str">
        <f>"كشاورزي"</f>
        <v>كشاورزي</v>
      </c>
      <c r="D877" s="1" t="str">
        <f t="shared" si="92"/>
        <v>قراردادي بهره بردار</v>
      </c>
      <c r="E877" s="1" t="str">
        <f t="shared" si="93"/>
        <v>پروژه بهره برداري نيروگاه بوشهر</v>
      </c>
      <c r="F877" s="1">
        <v>12455254</v>
      </c>
      <c r="G877" s="1">
        <v>0</v>
      </c>
      <c r="H877" s="1">
        <v>0</v>
      </c>
      <c r="I877" s="1">
        <v>0</v>
      </c>
      <c r="J877" s="1">
        <v>0</v>
      </c>
      <c r="K877" s="1">
        <v>8525370</v>
      </c>
      <c r="L877" s="1">
        <v>0</v>
      </c>
      <c r="M877" s="1">
        <v>4620000</v>
      </c>
      <c r="N877" s="1">
        <v>0</v>
      </c>
      <c r="O877" s="1">
        <v>1000000</v>
      </c>
      <c r="P877" s="1">
        <v>2031536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1848000</v>
      </c>
      <c r="W877" s="1">
        <v>0</v>
      </c>
      <c r="X877" s="1">
        <v>2868001</v>
      </c>
      <c r="Y877" s="1">
        <v>4000000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1596208</v>
      </c>
      <c r="AH877" s="1">
        <v>1835427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4071639</v>
      </c>
      <c r="AO877" s="1">
        <v>0</v>
      </c>
      <c r="AP877" s="1">
        <v>0</v>
      </c>
      <c r="AQ877" s="1">
        <v>0</v>
      </c>
      <c r="AR877" s="1">
        <v>44851435</v>
      </c>
      <c r="AS877" s="1">
        <v>13794356</v>
      </c>
      <c r="AT877" s="1">
        <v>31057079</v>
      </c>
      <c r="AU877" s="1">
        <v>8603202</v>
      </c>
      <c r="AV877" s="1">
        <v>1290480</v>
      </c>
      <c r="AW877" s="1">
        <f t="shared" si="90"/>
        <v>54745117</v>
      </c>
    </row>
    <row r="878" spans="1:49" x14ac:dyDescent="0.2">
      <c r="A878" s="1" t="str">
        <f>"01152"</f>
        <v>01152</v>
      </c>
      <c r="B878" s="1" t="str">
        <f>"سجاد"</f>
        <v>سجاد</v>
      </c>
      <c r="C878" s="1" t="str">
        <f>"اميرخاني"</f>
        <v>اميرخاني</v>
      </c>
      <c r="D878" s="1" t="str">
        <f t="shared" si="92"/>
        <v>قراردادي بهره بردار</v>
      </c>
      <c r="E878" s="1" t="str">
        <f t="shared" si="93"/>
        <v>پروژه بهره برداري نيروگاه بوشهر</v>
      </c>
      <c r="F878" s="1">
        <v>20350636</v>
      </c>
      <c r="G878" s="1">
        <v>0</v>
      </c>
      <c r="H878" s="1">
        <v>0</v>
      </c>
      <c r="I878" s="1">
        <v>0</v>
      </c>
      <c r="J878" s="1">
        <v>0</v>
      </c>
      <c r="K878" s="1">
        <v>14138232</v>
      </c>
      <c r="L878" s="1">
        <v>0</v>
      </c>
      <c r="M878" s="1">
        <v>0</v>
      </c>
      <c r="N878" s="1">
        <v>0</v>
      </c>
      <c r="O878" s="1">
        <v>1000000</v>
      </c>
      <c r="P878" s="1">
        <v>3260686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1848000</v>
      </c>
      <c r="W878" s="1">
        <v>0</v>
      </c>
      <c r="X878" s="1">
        <v>9869973</v>
      </c>
      <c r="Y878" s="1">
        <v>4000000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2561968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6688350</v>
      </c>
      <c r="AO878" s="1">
        <v>0</v>
      </c>
      <c r="AP878" s="1">
        <v>0</v>
      </c>
      <c r="AQ878" s="1">
        <v>0</v>
      </c>
      <c r="AR878" s="1">
        <v>63717845</v>
      </c>
      <c r="AS878" s="1">
        <v>16880462</v>
      </c>
      <c r="AT878" s="1">
        <v>46837383</v>
      </c>
      <c r="AU878" s="1">
        <v>12743569</v>
      </c>
      <c r="AV878" s="1">
        <v>1911535</v>
      </c>
      <c r="AW878" s="1">
        <f t="shared" si="90"/>
        <v>78372949</v>
      </c>
    </row>
    <row r="879" spans="1:49" x14ac:dyDescent="0.2">
      <c r="A879" s="1" t="str">
        <f>"01153"</f>
        <v>01153</v>
      </c>
      <c r="B879" s="1" t="str">
        <f>"جعفر"</f>
        <v>جعفر</v>
      </c>
      <c r="C879" s="1" t="str">
        <f>"اميني نيک"</f>
        <v>اميني نيک</v>
      </c>
      <c r="D879" s="1" t="str">
        <f t="shared" si="92"/>
        <v>قراردادي بهره بردار</v>
      </c>
      <c r="E879" s="1" t="str">
        <f t="shared" si="93"/>
        <v>پروژه بهره برداري نيروگاه بوشهر</v>
      </c>
      <c r="F879" s="1">
        <v>21658136</v>
      </c>
      <c r="G879" s="1">
        <v>0</v>
      </c>
      <c r="H879" s="1">
        <v>0</v>
      </c>
      <c r="I879" s="1">
        <v>3059355</v>
      </c>
      <c r="J879" s="1">
        <v>0</v>
      </c>
      <c r="K879" s="1">
        <v>15704158</v>
      </c>
      <c r="L879" s="1">
        <v>0</v>
      </c>
      <c r="M879" s="1">
        <v>5500000</v>
      </c>
      <c r="N879" s="1">
        <v>0</v>
      </c>
      <c r="O879" s="1">
        <v>1000000</v>
      </c>
      <c r="P879" s="1">
        <v>3718312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1848000</v>
      </c>
      <c r="W879" s="1">
        <v>0</v>
      </c>
      <c r="X879" s="1">
        <v>12387264</v>
      </c>
      <c r="Y879" s="1">
        <v>4000000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2921531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5546921</v>
      </c>
      <c r="AO879" s="1">
        <v>0</v>
      </c>
      <c r="AP879" s="1">
        <v>0</v>
      </c>
      <c r="AQ879" s="1">
        <v>0</v>
      </c>
      <c r="AR879" s="1">
        <v>77343677</v>
      </c>
      <c r="AS879" s="1">
        <v>14082377</v>
      </c>
      <c r="AT879" s="1">
        <v>63261300</v>
      </c>
      <c r="AU879" s="1">
        <v>15468735</v>
      </c>
      <c r="AV879" s="1">
        <v>2320310</v>
      </c>
      <c r="AW879" s="1">
        <f t="shared" si="90"/>
        <v>95132722</v>
      </c>
    </row>
    <row r="880" spans="1:49" x14ac:dyDescent="0.2">
      <c r="A880" s="1" t="str">
        <f>"01154"</f>
        <v>01154</v>
      </c>
      <c r="B880" s="1" t="str">
        <f>"مهدي"</f>
        <v>مهدي</v>
      </c>
      <c r="C880" s="1" t="str">
        <f>"اورک"</f>
        <v>اورک</v>
      </c>
      <c r="D880" s="1" t="str">
        <f t="shared" si="92"/>
        <v>قراردادي بهره بردار</v>
      </c>
      <c r="E880" s="1" t="str">
        <f t="shared" si="93"/>
        <v>پروژه بهره برداري نيروگاه بوشهر</v>
      </c>
      <c r="F880" s="1">
        <v>20637833</v>
      </c>
      <c r="G880" s="1">
        <v>0</v>
      </c>
      <c r="H880" s="1">
        <v>0</v>
      </c>
      <c r="I880" s="1">
        <v>12730041</v>
      </c>
      <c r="J880" s="1">
        <v>0</v>
      </c>
      <c r="K880" s="1">
        <v>14729972</v>
      </c>
      <c r="L880" s="1">
        <v>0</v>
      </c>
      <c r="M880" s="1">
        <v>0</v>
      </c>
      <c r="N880" s="1">
        <v>0</v>
      </c>
      <c r="O880" s="1">
        <v>1000000</v>
      </c>
      <c r="P880" s="1">
        <v>3361206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1848000</v>
      </c>
      <c r="W880" s="1">
        <v>0</v>
      </c>
      <c r="X880" s="1">
        <v>16347808</v>
      </c>
      <c r="Y880" s="1">
        <v>4000000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2640947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6711831</v>
      </c>
      <c r="AO880" s="1">
        <v>0</v>
      </c>
      <c r="AP880" s="1">
        <v>0</v>
      </c>
      <c r="AQ880" s="1">
        <v>0</v>
      </c>
      <c r="AR880" s="1">
        <v>84007638</v>
      </c>
      <c r="AS880" s="1">
        <v>28955125</v>
      </c>
      <c r="AT880" s="1">
        <v>55052513</v>
      </c>
      <c r="AU880" s="1">
        <v>16801528</v>
      </c>
      <c r="AV880" s="1">
        <v>2520229</v>
      </c>
      <c r="AW880" s="1">
        <f t="shared" si="90"/>
        <v>103329395</v>
      </c>
    </row>
    <row r="881" spans="1:49" x14ac:dyDescent="0.2">
      <c r="A881" s="1" t="str">
        <f>"01155"</f>
        <v>01155</v>
      </c>
      <c r="B881" s="1" t="str">
        <f>"علي"</f>
        <v>علي</v>
      </c>
      <c r="C881" s="1" t="str">
        <f>"بهسرشت"</f>
        <v>بهسرشت</v>
      </c>
      <c r="D881" s="1" t="str">
        <f t="shared" si="92"/>
        <v>قراردادي بهره بردار</v>
      </c>
      <c r="E881" s="1" t="str">
        <f t="shared" si="93"/>
        <v>پروژه بهره برداري نيروگاه بوشهر</v>
      </c>
      <c r="F881" s="1">
        <v>22076334</v>
      </c>
      <c r="G881" s="1">
        <v>0</v>
      </c>
      <c r="H881" s="1">
        <v>0</v>
      </c>
      <c r="I881" s="1">
        <v>5297401</v>
      </c>
      <c r="J881" s="1">
        <v>0</v>
      </c>
      <c r="K881" s="1">
        <v>17832411</v>
      </c>
      <c r="L881" s="1">
        <v>0</v>
      </c>
      <c r="M881" s="1">
        <v>5500000</v>
      </c>
      <c r="N881" s="1">
        <v>0</v>
      </c>
      <c r="O881" s="1">
        <v>1000000</v>
      </c>
      <c r="P881" s="1">
        <v>3864681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1848000</v>
      </c>
      <c r="W881" s="1">
        <v>0</v>
      </c>
      <c r="X881" s="1">
        <v>13537527</v>
      </c>
      <c r="Y881" s="1">
        <v>4000000</v>
      </c>
      <c r="Z881" s="1">
        <v>3204629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3036535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14724257</v>
      </c>
      <c r="AO881" s="1">
        <v>0</v>
      </c>
      <c r="AP881" s="1">
        <v>0</v>
      </c>
      <c r="AQ881" s="1">
        <v>0</v>
      </c>
      <c r="AR881" s="1">
        <v>95921775</v>
      </c>
      <c r="AS881" s="1">
        <v>33171671</v>
      </c>
      <c r="AT881" s="1">
        <v>62750104</v>
      </c>
      <c r="AU881" s="1">
        <v>19184355</v>
      </c>
      <c r="AV881" s="1">
        <v>2877653</v>
      </c>
      <c r="AW881" s="1">
        <f t="shared" si="90"/>
        <v>117983783</v>
      </c>
    </row>
    <row r="882" spans="1:49" x14ac:dyDescent="0.2">
      <c r="A882" s="1" t="str">
        <f>"01156"</f>
        <v>01156</v>
      </c>
      <c r="B882" s="1" t="str">
        <f>"امير"</f>
        <v>امير</v>
      </c>
      <c r="C882" s="1" t="str">
        <f>"بهسرشت"</f>
        <v>بهسرشت</v>
      </c>
      <c r="D882" s="1" t="str">
        <f t="shared" si="92"/>
        <v>قراردادي بهره بردار</v>
      </c>
      <c r="E882" s="1" t="str">
        <f t="shared" si="93"/>
        <v>پروژه بهره برداري نيروگاه بوشهر</v>
      </c>
      <c r="F882" s="1">
        <v>21375978</v>
      </c>
      <c r="G882" s="1">
        <v>0</v>
      </c>
      <c r="H882" s="1">
        <v>0</v>
      </c>
      <c r="I882" s="1">
        <v>2750843</v>
      </c>
      <c r="J882" s="1">
        <v>0</v>
      </c>
      <c r="K882" s="1">
        <v>16040537</v>
      </c>
      <c r="L882" s="1">
        <v>0</v>
      </c>
      <c r="M882" s="1">
        <v>5500000</v>
      </c>
      <c r="N882" s="1">
        <v>0</v>
      </c>
      <c r="O882" s="1">
        <v>1000000</v>
      </c>
      <c r="P882" s="1">
        <v>3619557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1848000</v>
      </c>
      <c r="W882" s="1">
        <v>0</v>
      </c>
      <c r="X882" s="1">
        <v>14606173</v>
      </c>
      <c r="Y882" s="1">
        <v>4000000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2843937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6486104</v>
      </c>
      <c r="AO882" s="1">
        <v>0</v>
      </c>
      <c r="AP882" s="1">
        <v>0</v>
      </c>
      <c r="AQ882" s="1">
        <v>0</v>
      </c>
      <c r="AR882" s="1">
        <v>80071129</v>
      </c>
      <c r="AS882" s="1">
        <v>28063600</v>
      </c>
      <c r="AT882" s="1">
        <v>52007529</v>
      </c>
      <c r="AU882" s="1">
        <v>16014226</v>
      </c>
      <c r="AV882" s="1">
        <v>2402134</v>
      </c>
      <c r="AW882" s="1">
        <f t="shared" si="90"/>
        <v>98487489</v>
      </c>
    </row>
    <row r="883" spans="1:49" x14ac:dyDescent="0.2">
      <c r="A883" s="1" t="str">
        <f>"01157"</f>
        <v>01157</v>
      </c>
      <c r="B883" s="1" t="str">
        <f>"مقداد"</f>
        <v>مقداد</v>
      </c>
      <c r="C883" s="1" t="str">
        <f>"پاداش"</f>
        <v>پاداش</v>
      </c>
      <c r="D883" s="1" t="str">
        <f t="shared" si="92"/>
        <v>قراردادي بهره بردار</v>
      </c>
      <c r="E883" s="1" t="str">
        <f t="shared" si="93"/>
        <v>پروژه بهره برداري نيروگاه بوشهر</v>
      </c>
      <c r="F883" s="1">
        <v>21464152</v>
      </c>
      <c r="G883" s="1">
        <v>0</v>
      </c>
      <c r="H883" s="1">
        <v>0</v>
      </c>
      <c r="I883" s="1">
        <v>0</v>
      </c>
      <c r="J883" s="1">
        <v>0</v>
      </c>
      <c r="K883" s="1">
        <v>16291030</v>
      </c>
      <c r="L883" s="1">
        <v>0</v>
      </c>
      <c r="M883" s="1">
        <v>5500000</v>
      </c>
      <c r="N883" s="1">
        <v>0</v>
      </c>
      <c r="O883" s="1">
        <v>1000000</v>
      </c>
      <c r="P883" s="1">
        <v>3650417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1848000</v>
      </c>
      <c r="W883" s="1">
        <v>0</v>
      </c>
      <c r="X883" s="1">
        <v>17472672</v>
      </c>
      <c r="Y883" s="1">
        <v>4000000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2868185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7116424</v>
      </c>
      <c r="AO883" s="1">
        <v>0</v>
      </c>
      <c r="AP883" s="1">
        <v>0</v>
      </c>
      <c r="AQ883" s="1">
        <v>0</v>
      </c>
      <c r="AR883" s="1">
        <v>81210880</v>
      </c>
      <c r="AS883" s="1">
        <v>16845414</v>
      </c>
      <c r="AT883" s="1">
        <v>64365466</v>
      </c>
      <c r="AU883" s="1">
        <v>16242176</v>
      </c>
      <c r="AV883" s="1">
        <v>2436326</v>
      </c>
      <c r="AW883" s="1">
        <f t="shared" si="90"/>
        <v>99889382</v>
      </c>
    </row>
    <row r="884" spans="1:49" x14ac:dyDescent="0.2">
      <c r="A884" s="1" t="str">
        <f>"01158"</f>
        <v>01158</v>
      </c>
      <c r="B884" s="1" t="str">
        <f>"ميثم"</f>
        <v>ميثم</v>
      </c>
      <c r="C884" s="1" t="str">
        <f>"خان محمدي هزاوه"</f>
        <v>خان محمدي هزاوه</v>
      </c>
      <c r="D884" s="1" t="str">
        <f t="shared" si="92"/>
        <v>قراردادي بهره بردار</v>
      </c>
      <c r="E884" s="1" t="str">
        <f t="shared" si="93"/>
        <v>پروژه بهره برداري نيروگاه بوشهر</v>
      </c>
      <c r="F884" s="1">
        <v>21244976</v>
      </c>
      <c r="G884" s="1">
        <v>0</v>
      </c>
      <c r="H884" s="1">
        <v>0</v>
      </c>
      <c r="I884" s="1">
        <v>4492133</v>
      </c>
      <c r="J884" s="1">
        <v>0</v>
      </c>
      <c r="K884" s="1">
        <v>15383987</v>
      </c>
      <c r="L884" s="1">
        <v>0</v>
      </c>
      <c r="M884" s="1">
        <v>5500000</v>
      </c>
      <c r="N884" s="1">
        <v>0</v>
      </c>
      <c r="O884" s="1">
        <v>1000000</v>
      </c>
      <c r="P884" s="1">
        <v>3573706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1848000</v>
      </c>
      <c r="W884" s="1">
        <v>0</v>
      </c>
      <c r="X884" s="1">
        <v>15901276</v>
      </c>
      <c r="Y884" s="1">
        <v>4000000</v>
      </c>
      <c r="Z884" s="1">
        <v>3083948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2807912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11821407</v>
      </c>
      <c r="AO884" s="1">
        <v>0</v>
      </c>
      <c r="AP884" s="1">
        <v>0</v>
      </c>
      <c r="AQ884" s="1">
        <v>0</v>
      </c>
      <c r="AR884" s="1">
        <v>90657345</v>
      </c>
      <c r="AS884" s="1">
        <v>40274118</v>
      </c>
      <c r="AT884" s="1">
        <v>50383227</v>
      </c>
      <c r="AU884" s="1">
        <v>18131469</v>
      </c>
      <c r="AV884" s="1">
        <v>2719720</v>
      </c>
      <c r="AW884" s="1">
        <f t="shared" si="90"/>
        <v>111508534</v>
      </c>
    </row>
    <row r="885" spans="1:49" x14ac:dyDescent="0.2">
      <c r="A885" s="1" t="str">
        <f>"01159"</f>
        <v>01159</v>
      </c>
      <c r="B885" s="1" t="str">
        <f>"عليرضا"</f>
        <v>عليرضا</v>
      </c>
      <c r="C885" s="1" t="str">
        <f>"دهقاني"</f>
        <v>دهقاني</v>
      </c>
      <c r="D885" s="1" t="str">
        <f t="shared" si="92"/>
        <v>قراردادي بهره بردار</v>
      </c>
      <c r="E885" s="1" t="str">
        <f t="shared" si="93"/>
        <v>پروژه بهره برداري نيروگاه بوشهر</v>
      </c>
      <c r="F885" s="1">
        <v>21295361</v>
      </c>
      <c r="G885" s="1">
        <v>0</v>
      </c>
      <c r="H885" s="1">
        <v>0</v>
      </c>
      <c r="I885" s="1">
        <v>0</v>
      </c>
      <c r="J885" s="1">
        <v>0</v>
      </c>
      <c r="K885" s="1">
        <v>14868233</v>
      </c>
      <c r="L885" s="1">
        <v>0</v>
      </c>
      <c r="M885" s="1">
        <v>5500000</v>
      </c>
      <c r="N885" s="1">
        <v>0</v>
      </c>
      <c r="O885" s="1">
        <v>1000000</v>
      </c>
      <c r="P885" s="1">
        <v>3591341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1848000</v>
      </c>
      <c r="W885" s="1">
        <v>0</v>
      </c>
      <c r="X885" s="1">
        <v>8173281</v>
      </c>
      <c r="Y885" s="1">
        <v>4000000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2821768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5501423</v>
      </c>
      <c r="AO885" s="1">
        <v>0</v>
      </c>
      <c r="AP885" s="1">
        <v>0</v>
      </c>
      <c r="AQ885" s="1">
        <v>0</v>
      </c>
      <c r="AR885" s="1">
        <v>68599407</v>
      </c>
      <c r="AS885" s="1">
        <v>12435605</v>
      </c>
      <c r="AT885" s="1">
        <v>56163802</v>
      </c>
      <c r="AU885" s="1">
        <v>13719881</v>
      </c>
      <c r="AV885" s="1">
        <v>2057982</v>
      </c>
      <c r="AW885" s="1">
        <f t="shared" si="90"/>
        <v>84377270</v>
      </c>
    </row>
    <row r="886" spans="1:49" x14ac:dyDescent="0.2">
      <c r="A886" s="1" t="str">
        <f>"01160"</f>
        <v>01160</v>
      </c>
      <c r="B886" s="1" t="str">
        <f>"سيدحميدرضا"</f>
        <v>سيدحميدرضا</v>
      </c>
      <c r="C886" s="1" t="str">
        <f>"قريشي"</f>
        <v>قريشي</v>
      </c>
      <c r="D886" s="1" t="str">
        <f t="shared" si="92"/>
        <v>قراردادي بهره بردار</v>
      </c>
      <c r="E886" s="1" t="str">
        <f t="shared" si="93"/>
        <v>پروژه بهره برداري نيروگاه بوشهر</v>
      </c>
      <c r="F886" s="1">
        <v>20942664</v>
      </c>
      <c r="G886" s="1">
        <v>0</v>
      </c>
      <c r="H886" s="1">
        <v>0</v>
      </c>
      <c r="I886" s="1">
        <v>3104122</v>
      </c>
      <c r="J886" s="1">
        <v>0</v>
      </c>
      <c r="K886" s="1">
        <v>15188106</v>
      </c>
      <c r="L886" s="1">
        <v>0</v>
      </c>
      <c r="M886" s="1">
        <v>4125000</v>
      </c>
      <c r="N886" s="1">
        <v>0</v>
      </c>
      <c r="O886" s="1">
        <v>1000000</v>
      </c>
      <c r="P886" s="1">
        <v>3467897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1848000</v>
      </c>
      <c r="W886" s="1">
        <v>0</v>
      </c>
      <c r="X886" s="1">
        <v>14127414</v>
      </c>
      <c r="Y886" s="1">
        <v>4000000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2724776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6391783</v>
      </c>
      <c r="AO886" s="1">
        <v>0</v>
      </c>
      <c r="AP886" s="1">
        <v>0</v>
      </c>
      <c r="AQ886" s="1">
        <v>0</v>
      </c>
      <c r="AR886" s="1">
        <v>76919762</v>
      </c>
      <c r="AS886" s="1">
        <v>26525285</v>
      </c>
      <c r="AT886" s="1">
        <v>50394477</v>
      </c>
      <c r="AU886" s="1">
        <v>15383952</v>
      </c>
      <c r="AV886" s="1">
        <v>2307593</v>
      </c>
      <c r="AW886" s="1">
        <f t="shared" si="90"/>
        <v>94611307</v>
      </c>
    </row>
    <row r="887" spans="1:49" x14ac:dyDescent="0.2">
      <c r="A887" s="1" t="str">
        <f>"01161"</f>
        <v>01161</v>
      </c>
      <c r="B887" s="1" t="str">
        <f>"صادق"</f>
        <v>صادق</v>
      </c>
      <c r="C887" s="1" t="str">
        <f>"گنجي"</f>
        <v>گنجي</v>
      </c>
      <c r="D887" s="1" t="str">
        <f t="shared" si="92"/>
        <v>قراردادي بهره بردار</v>
      </c>
      <c r="E887" s="1" t="str">
        <f t="shared" si="93"/>
        <v>پروژه بهره برداري نيروگاه بوشهر</v>
      </c>
      <c r="F887" s="1">
        <v>21932736</v>
      </c>
      <c r="G887" s="1">
        <v>0</v>
      </c>
      <c r="H887" s="1">
        <v>0</v>
      </c>
      <c r="I887" s="1">
        <v>3309074</v>
      </c>
      <c r="J887" s="1">
        <v>0</v>
      </c>
      <c r="K887" s="1">
        <v>16399144</v>
      </c>
      <c r="L887" s="1">
        <v>0</v>
      </c>
      <c r="M887" s="1">
        <v>5500000</v>
      </c>
      <c r="N887" s="1">
        <v>0</v>
      </c>
      <c r="O887" s="1">
        <v>1000000</v>
      </c>
      <c r="P887" s="1">
        <v>3814422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1848000</v>
      </c>
      <c r="W887" s="1">
        <v>0</v>
      </c>
      <c r="X887" s="1">
        <v>15459662</v>
      </c>
      <c r="Y887" s="1">
        <v>4000000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2997046</v>
      </c>
      <c r="AH887" s="1">
        <v>1835427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6388860</v>
      </c>
      <c r="AO887" s="1">
        <v>0</v>
      </c>
      <c r="AP887" s="1">
        <v>0</v>
      </c>
      <c r="AQ887" s="1">
        <v>0</v>
      </c>
      <c r="AR887" s="1">
        <v>84484371</v>
      </c>
      <c r="AS887" s="1">
        <v>39094220</v>
      </c>
      <c r="AT887" s="1">
        <v>45390151</v>
      </c>
      <c r="AU887" s="1">
        <v>16529789</v>
      </c>
      <c r="AV887" s="1">
        <v>2479468</v>
      </c>
      <c r="AW887" s="1">
        <f t="shared" si="90"/>
        <v>103493628</v>
      </c>
    </row>
    <row r="888" spans="1:49" x14ac:dyDescent="0.2">
      <c r="A888" s="1" t="str">
        <f>"01163"</f>
        <v>01163</v>
      </c>
      <c r="B888" s="1" t="str">
        <f>"علي"</f>
        <v>علي</v>
      </c>
      <c r="C888" s="1" t="str">
        <f>"مطهر"</f>
        <v>مطهر</v>
      </c>
      <c r="D888" s="1" t="str">
        <f t="shared" si="92"/>
        <v>قراردادي بهره بردار</v>
      </c>
      <c r="E888" s="1" t="str">
        <f t="shared" si="93"/>
        <v>پروژه بهره برداري نيروگاه بوشهر</v>
      </c>
      <c r="F888" s="1">
        <v>20849451</v>
      </c>
      <c r="G888" s="1">
        <v>0</v>
      </c>
      <c r="H888" s="1">
        <v>0</v>
      </c>
      <c r="I888" s="1">
        <v>415531</v>
      </c>
      <c r="J888" s="1">
        <v>0</v>
      </c>
      <c r="K888" s="1">
        <v>14849112</v>
      </c>
      <c r="L888" s="1">
        <v>0</v>
      </c>
      <c r="M888" s="1">
        <v>5500000</v>
      </c>
      <c r="N888" s="1">
        <v>0</v>
      </c>
      <c r="O888" s="1">
        <v>1000000</v>
      </c>
      <c r="P888" s="1">
        <v>3435272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1848000</v>
      </c>
      <c r="W888" s="1">
        <v>0</v>
      </c>
      <c r="X888" s="1">
        <v>11777332</v>
      </c>
      <c r="Y888" s="1">
        <v>4000000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2699142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5276352</v>
      </c>
      <c r="AO888" s="1">
        <v>0</v>
      </c>
      <c r="AP888" s="1">
        <v>0</v>
      </c>
      <c r="AQ888" s="1">
        <v>0</v>
      </c>
      <c r="AR888" s="1">
        <v>71650192</v>
      </c>
      <c r="AS888" s="1">
        <v>30031521</v>
      </c>
      <c r="AT888" s="1">
        <v>41618671</v>
      </c>
      <c r="AU888" s="1">
        <v>14330038</v>
      </c>
      <c r="AV888" s="1">
        <v>2149506</v>
      </c>
      <c r="AW888" s="1">
        <f t="shared" si="90"/>
        <v>88129736</v>
      </c>
    </row>
    <row r="889" spans="1:49" x14ac:dyDescent="0.2">
      <c r="A889" s="1" t="str">
        <f>"01164"</f>
        <v>01164</v>
      </c>
      <c r="B889" s="1" t="str">
        <f>"مجتبي"</f>
        <v>مجتبي</v>
      </c>
      <c r="C889" s="1" t="str">
        <f>"منفرد"</f>
        <v>منفرد</v>
      </c>
      <c r="D889" s="1" t="str">
        <f t="shared" si="92"/>
        <v>قراردادي بهره بردار</v>
      </c>
      <c r="E889" s="1" t="str">
        <f t="shared" si="93"/>
        <v>پروژه بهره برداري نيروگاه بوشهر</v>
      </c>
      <c r="F889" s="1">
        <v>20363232</v>
      </c>
      <c r="G889" s="1">
        <v>0</v>
      </c>
      <c r="H889" s="1">
        <v>0</v>
      </c>
      <c r="I889" s="1">
        <v>1338365</v>
      </c>
      <c r="J889" s="1">
        <v>0</v>
      </c>
      <c r="K889" s="1">
        <v>14318696</v>
      </c>
      <c r="L889" s="1">
        <v>0</v>
      </c>
      <c r="M889" s="1">
        <v>4125000</v>
      </c>
      <c r="N889" s="1">
        <v>0</v>
      </c>
      <c r="O889" s="1">
        <v>1000000</v>
      </c>
      <c r="P889" s="1">
        <v>3265096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1848000</v>
      </c>
      <c r="W889" s="1">
        <v>0</v>
      </c>
      <c r="X889" s="1">
        <v>16041354</v>
      </c>
      <c r="Y889" s="1">
        <v>4000000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2565432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6667995</v>
      </c>
      <c r="AO889" s="1">
        <v>0</v>
      </c>
      <c r="AP889" s="1">
        <v>0</v>
      </c>
      <c r="AQ889" s="1">
        <v>0</v>
      </c>
      <c r="AR889" s="1">
        <v>75533170</v>
      </c>
      <c r="AS889" s="1">
        <v>35898867</v>
      </c>
      <c r="AT889" s="1">
        <v>39634303</v>
      </c>
      <c r="AU889" s="1">
        <v>15106634</v>
      </c>
      <c r="AV889" s="1">
        <v>2265995</v>
      </c>
      <c r="AW889" s="1">
        <f t="shared" si="90"/>
        <v>92905799</v>
      </c>
    </row>
    <row r="890" spans="1:49" x14ac:dyDescent="0.2">
      <c r="A890" s="1" t="str">
        <f>"01165"</f>
        <v>01165</v>
      </c>
      <c r="B890" s="1" t="str">
        <f>"کاظم"</f>
        <v>کاظم</v>
      </c>
      <c r="C890" s="1" t="str">
        <f>"مهربانيان"</f>
        <v>مهربانيان</v>
      </c>
      <c r="D890" s="1" t="str">
        <f t="shared" si="92"/>
        <v>قراردادي بهره بردار</v>
      </c>
      <c r="E890" s="1" t="str">
        <f t="shared" si="93"/>
        <v>پروژه بهره برداري نيروگاه بوشهر</v>
      </c>
      <c r="F890" s="1">
        <v>22224971</v>
      </c>
      <c r="G890" s="1">
        <v>0</v>
      </c>
      <c r="H890" s="1">
        <v>0</v>
      </c>
      <c r="I890" s="1">
        <v>4751947</v>
      </c>
      <c r="J890" s="1">
        <v>0</v>
      </c>
      <c r="K890" s="1">
        <v>16362757</v>
      </c>
      <c r="L890" s="1">
        <v>0</v>
      </c>
      <c r="M890" s="1">
        <v>5500000</v>
      </c>
      <c r="N890" s="1">
        <v>0</v>
      </c>
      <c r="O890" s="1">
        <v>1000000</v>
      </c>
      <c r="P890" s="1">
        <v>3916704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16820968</v>
      </c>
      <c r="Y890" s="1">
        <v>4000000</v>
      </c>
      <c r="Z890" s="1">
        <v>3167965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3077410</v>
      </c>
      <c r="AH890" s="1">
        <v>1835427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12421496</v>
      </c>
      <c r="AO890" s="1">
        <v>0</v>
      </c>
      <c r="AP890" s="1">
        <v>0</v>
      </c>
      <c r="AQ890" s="1">
        <v>0</v>
      </c>
      <c r="AR890" s="1">
        <v>95079645</v>
      </c>
      <c r="AS890" s="1">
        <v>18813625</v>
      </c>
      <c r="AT890" s="1">
        <v>76266020</v>
      </c>
      <c r="AU890" s="1">
        <v>18648844</v>
      </c>
      <c r="AV890" s="1">
        <v>2797327</v>
      </c>
      <c r="AW890" s="1">
        <f t="shared" si="90"/>
        <v>116525816</v>
      </c>
    </row>
    <row r="891" spans="1:49" x14ac:dyDescent="0.2">
      <c r="A891" s="1" t="str">
        <f>"01166"</f>
        <v>01166</v>
      </c>
      <c r="B891" s="1" t="str">
        <f>"محمد"</f>
        <v>محمد</v>
      </c>
      <c r="C891" s="1" t="str">
        <f>"ميرعلائي"</f>
        <v>ميرعلائي</v>
      </c>
      <c r="D891" s="1" t="str">
        <f t="shared" si="92"/>
        <v>قراردادي بهره بردار</v>
      </c>
      <c r="E891" s="1" t="str">
        <f t="shared" si="93"/>
        <v>پروژه بهره برداري نيروگاه بوشهر</v>
      </c>
      <c r="F891" s="1">
        <v>22015871</v>
      </c>
      <c r="G891" s="1">
        <v>0</v>
      </c>
      <c r="H891" s="1">
        <v>0</v>
      </c>
      <c r="I891" s="1">
        <v>4787484</v>
      </c>
      <c r="J891" s="1">
        <v>0</v>
      </c>
      <c r="K891" s="1">
        <v>16378537</v>
      </c>
      <c r="L891" s="1">
        <v>0</v>
      </c>
      <c r="M891" s="1">
        <v>4125000</v>
      </c>
      <c r="N891" s="1">
        <v>0</v>
      </c>
      <c r="O891" s="1">
        <v>1000000</v>
      </c>
      <c r="P891" s="1">
        <v>3843520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1848000</v>
      </c>
      <c r="W891" s="1">
        <v>0</v>
      </c>
      <c r="X891" s="1">
        <v>16447390</v>
      </c>
      <c r="Y891" s="1">
        <v>4000000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3019908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6140259</v>
      </c>
      <c r="AO891" s="1">
        <v>0</v>
      </c>
      <c r="AP891" s="1">
        <v>0</v>
      </c>
      <c r="AQ891" s="1">
        <v>0</v>
      </c>
      <c r="AR891" s="1">
        <v>83605969</v>
      </c>
      <c r="AS891" s="1">
        <v>45317814</v>
      </c>
      <c r="AT891" s="1">
        <v>38288155</v>
      </c>
      <c r="AU891" s="1">
        <v>16721194</v>
      </c>
      <c r="AV891" s="1">
        <v>2508179</v>
      </c>
      <c r="AW891" s="1">
        <f t="shared" si="90"/>
        <v>102835342</v>
      </c>
    </row>
    <row r="892" spans="1:49" x14ac:dyDescent="0.2">
      <c r="A892" s="1" t="str">
        <f>"01167"</f>
        <v>01167</v>
      </c>
      <c r="B892" s="1" t="str">
        <f>"محمد"</f>
        <v>محمد</v>
      </c>
      <c r="C892" s="1" t="str">
        <f>"سروش"</f>
        <v>سروش</v>
      </c>
      <c r="D892" s="1" t="str">
        <f t="shared" si="92"/>
        <v>قراردادي بهره بردار</v>
      </c>
      <c r="E892" s="1" t="str">
        <f t="shared" si="93"/>
        <v>پروژه بهره برداري نيروگاه بوشهر</v>
      </c>
      <c r="F892" s="1">
        <v>21149244</v>
      </c>
      <c r="G892" s="1">
        <v>0</v>
      </c>
      <c r="H892" s="1">
        <v>0</v>
      </c>
      <c r="I892" s="1">
        <v>0</v>
      </c>
      <c r="J892" s="1">
        <v>0</v>
      </c>
      <c r="K892" s="1">
        <v>15301386</v>
      </c>
      <c r="L892" s="1">
        <v>0</v>
      </c>
      <c r="M892" s="1">
        <v>5500000</v>
      </c>
      <c r="N892" s="1">
        <v>0</v>
      </c>
      <c r="O892" s="1">
        <v>1000000</v>
      </c>
      <c r="P892" s="1">
        <v>3540200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13980973</v>
      </c>
      <c r="Y892" s="1">
        <v>4000000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2781586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5437837</v>
      </c>
      <c r="AO892" s="1">
        <v>0</v>
      </c>
      <c r="AP892" s="1">
        <v>0</v>
      </c>
      <c r="AQ892" s="1">
        <v>0</v>
      </c>
      <c r="AR892" s="1">
        <v>72691226</v>
      </c>
      <c r="AS892" s="1">
        <v>21863875</v>
      </c>
      <c r="AT892" s="1">
        <v>50827351</v>
      </c>
      <c r="AU892" s="1">
        <v>14538245</v>
      </c>
      <c r="AV892" s="1">
        <v>2180737</v>
      </c>
      <c r="AW892" s="1">
        <f t="shared" si="90"/>
        <v>89410208</v>
      </c>
    </row>
    <row r="893" spans="1:49" x14ac:dyDescent="0.2">
      <c r="A893" s="1" t="str">
        <f>"01169"</f>
        <v>01169</v>
      </c>
      <c r="B893" s="1" t="str">
        <f>"محمدمهدي"</f>
        <v>محمدمهدي</v>
      </c>
      <c r="C893" s="1" t="str">
        <f>"مهدي نياي رود پشتي"</f>
        <v>مهدي نياي رود پشتي</v>
      </c>
      <c r="D893" s="1" t="str">
        <f t="shared" si="92"/>
        <v>قراردادي بهره بردار</v>
      </c>
      <c r="E893" s="1" t="str">
        <f t="shared" si="93"/>
        <v>پروژه بهره برداري نيروگاه بوشهر</v>
      </c>
      <c r="F893" s="1">
        <v>21610269</v>
      </c>
      <c r="G893" s="1">
        <v>0</v>
      </c>
      <c r="H893" s="1">
        <v>0</v>
      </c>
      <c r="I893" s="1">
        <v>4587539</v>
      </c>
      <c r="J893" s="1">
        <v>0</v>
      </c>
      <c r="K893" s="1">
        <v>15594686</v>
      </c>
      <c r="L893" s="1">
        <v>0</v>
      </c>
      <c r="M893" s="1">
        <v>5500000</v>
      </c>
      <c r="N893" s="1">
        <v>0</v>
      </c>
      <c r="O893" s="1">
        <v>1000000</v>
      </c>
      <c r="P893" s="1">
        <v>3701558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1848000</v>
      </c>
      <c r="W893" s="1">
        <v>0</v>
      </c>
      <c r="X893" s="1">
        <v>16238998</v>
      </c>
      <c r="Y893" s="1">
        <v>4000000</v>
      </c>
      <c r="Z893" s="1">
        <v>3136975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2908367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12181662</v>
      </c>
      <c r="AO893" s="1">
        <v>0</v>
      </c>
      <c r="AP893" s="1">
        <v>0</v>
      </c>
      <c r="AQ893" s="1">
        <v>0</v>
      </c>
      <c r="AR893" s="1">
        <v>92308054</v>
      </c>
      <c r="AS893" s="1">
        <v>31945959</v>
      </c>
      <c r="AT893" s="1">
        <v>60362095</v>
      </c>
      <c r="AU893" s="1">
        <v>18461611</v>
      </c>
      <c r="AV893" s="1">
        <v>2769242</v>
      </c>
      <c r="AW893" s="1">
        <f t="shared" si="90"/>
        <v>113538907</v>
      </c>
    </row>
    <row r="894" spans="1:49" x14ac:dyDescent="0.2">
      <c r="A894" s="1" t="str">
        <f>"01170"</f>
        <v>01170</v>
      </c>
      <c r="B894" s="1" t="str">
        <f>"عماد"</f>
        <v>عماد</v>
      </c>
      <c r="C894" s="1" t="str">
        <f>"نوري فر"</f>
        <v>نوري فر</v>
      </c>
      <c r="D894" s="1" t="str">
        <f t="shared" si="92"/>
        <v>قراردادي بهره بردار</v>
      </c>
      <c r="E894" s="1" t="str">
        <f t="shared" si="93"/>
        <v>پروژه بهره برداري نيروگاه بوشهر</v>
      </c>
      <c r="F894" s="1">
        <v>22061218</v>
      </c>
      <c r="G894" s="1">
        <v>0</v>
      </c>
      <c r="H894" s="1">
        <v>0</v>
      </c>
      <c r="I894" s="1">
        <v>0</v>
      </c>
      <c r="J894" s="1">
        <v>0</v>
      </c>
      <c r="K894" s="1">
        <v>16499067</v>
      </c>
      <c r="L894" s="1">
        <v>0</v>
      </c>
      <c r="M894" s="1">
        <v>5500000</v>
      </c>
      <c r="N894" s="1">
        <v>0</v>
      </c>
      <c r="O894" s="1">
        <v>1000000</v>
      </c>
      <c r="P894" s="1">
        <v>3859390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14837703</v>
      </c>
      <c r="Y894" s="1">
        <v>4000000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3032379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5712437</v>
      </c>
      <c r="AO894" s="1">
        <v>0</v>
      </c>
      <c r="AP894" s="1">
        <v>0</v>
      </c>
      <c r="AQ894" s="1">
        <v>0</v>
      </c>
      <c r="AR894" s="1">
        <v>76502194</v>
      </c>
      <c r="AS894" s="1">
        <v>35499047</v>
      </c>
      <c r="AT894" s="1">
        <v>41003147</v>
      </c>
      <c r="AU894" s="1">
        <v>15300439</v>
      </c>
      <c r="AV894" s="1">
        <v>2295066</v>
      </c>
      <c r="AW894" s="1">
        <f t="shared" si="90"/>
        <v>94097699</v>
      </c>
    </row>
    <row r="895" spans="1:49" x14ac:dyDescent="0.2">
      <c r="A895" s="1" t="str">
        <f>"01172"</f>
        <v>01172</v>
      </c>
      <c r="B895" s="1" t="str">
        <f>"مظاهر"</f>
        <v>مظاهر</v>
      </c>
      <c r="C895" s="1" t="str">
        <f>"اسکندري"</f>
        <v>اسکندري</v>
      </c>
      <c r="D895" s="1" t="str">
        <f t="shared" si="92"/>
        <v>قراردادي بهره بردار</v>
      </c>
      <c r="E895" s="1" t="str">
        <f t="shared" si="93"/>
        <v>پروژه بهره برداري نيروگاه بوشهر</v>
      </c>
      <c r="F895" s="1">
        <v>20917471</v>
      </c>
      <c r="G895" s="1">
        <v>0</v>
      </c>
      <c r="H895" s="1">
        <v>0</v>
      </c>
      <c r="I895" s="1">
        <v>0</v>
      </c>
      <c r="J895" s="1">
        <v>0</v>
      </c>
      <c r="K895" s="1">
        <v>15516558</v>
      </c>
      <c r="L895" s="1">
        <v>0</v>
      </c>
      <c r="M895" s="1">
        <v>5500000</v>
      </c>
      <c r="N895" s="1">
        <v>0</v>
      </c>
      <c r="O895" s="1">
        <v>1000000</v>
      </c>
      <c r="P895" s="1">
        <v>3459079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1848000</v>
      </c>
      <c r="W895" s="1">
        <v>0</v>
      </c>
      <c r="X895" s="1">
        <v>14950638</v>
      </c>
      <c r="Y895" s="1">
        <v>4000000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2717848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5616907</v>
      </c>
      <c r="AO895" s="1">
        <v>0</v>
      </c>
      <c r="AP895" s="1">
        <v>0</v>
      </c>
      <c r="AQ895" s="1">
        <v>0</v>
      </c>
      <c r="AR895" s="1">
        <v>75526501</v>
      </c>
      <c r="AS895" s="1">
        <v>31200593</v>
      </c>
      <c r="AT895" s="1">
        <v>44325908</v>
      </c>
      <c r="AU895" s="1">
        <v>15105300</v>
      </c>
      <c r="AV895" s="1">
        <v>2265795</v>
      </c>
      <c r="AW895" s="1">
        <f t="shared" si="90"/>
        <v>92897596</v>
      </c>
    </row>
    <row r="896" spans="1:49" x14ac:dyDescent="0.2">
      <c r="A896" s="1" t="str">
        <f>"01173"</f>
        <v>01173</v>
      </c>
      <c r="B896" s="1" t="str">
        <f>"حجت"</f>
        <v>حجت</v>
      </c>
      <c r="C896" s="1" t="str">
        <f>"تنگسير اصل"</f>
        <v>تنگسير اصل</v>
      </c>
      <c r="D896" s="1" t="str">
        <f t="shared" si="92"/>
        <v>قراردادي بهره بردار</v>
      </c>
      <c r="E896" s="1" t="str">
        <f t="shared" si="93"/>
        <v>پروژه بهره برداري نيروگاه بوشهر</v>
      </c>
      <c r="F896" s="1">
        <v>20617678</v>
      </c>
      <c r="G896" s="1">
        <v>0</v>
      </c>
      <c r="H896" s="1">
        <v>0</v>
      </c>
      <c r="I896" s="1">
        <v>0</v>
      </c>
      <c r="J896" s="1">
        <v>0</v>
      </c>
      <c r="K896" s="1">
        <v>14757474</v>
      </c>
      <c r="L896" s="1">
        <v>0</v>
      </c>
      <c r="M896" s="1">
        <v>4125000</v>
      </c>
      <c r="N896" s="1">
        <v>0</v>
      </c>
      <c r="O896" s="1">
        <v>1000000</v>
      </c>
      <c r="P896" s="1">
        <v>3354151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13560683</v>
      </c>
      <c r="Y896" s="1">
        <v>4000000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2635405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5396269</v>
      </c>
      <c r="AO896" s="1">
        <v>0</v>
      </c>
      <c r="AP896" s="1">
        <v>0</v>
      </c>
      <c r="AQ896" s="1">
        <v>0</v>
      </c>
      <c r="AR896" s="1">
        <v>69446660</v>
      </c>
      <c r="AS896" s="1">
        <v>33905512</v>
      </c>
      <c r="AT896" s="1">
        <v>35541148</v>
      </c>
      <c r="AU896" s="1">
        <v>13889332</v>
      </c>
      <c r="AV896" s="1">
        <v>2083400</v>
      </c>
      <c r="AW896" s="1">
        <f t="shared" si="90"/>
        <v>85419392</v>
      </c>
    </row>
    <row r="897" spans="1:49" x14ac:dyDescent="0.2">
      <c r="A897" s="1" t="str">
        <f>"01174"</f>
        <v>01174</v>
      </c>
      <c r="B897" s="1" t="str">
        <f>"محمد"</f>
        <v>محمد</v>
      </c>
      <c r="C897" s="1" t="str">
        <f>"جاماسب خلاري"</f>
        <v>جاماسب خلاري</v>
      </c>
      <c r="D897" s="1" t="str">
        <f t="shared" si="92"/>
        <v>قراردادي بهره بردار</v>
      </c>
      <c r="E897" s="1" t="str">
        <f t="shared" si="93"/>
        <v>پروژه بهره برداري نيروگاه بوشهر</v>
      </c>
      <c r="F897" s="1">
        <v>20340559</v>
      </c>
      <c r="G897" s="1">
        <v>0</v>
      </c>
      <c r="H897" s="1">
        <v>0</v>
      </c>
      <c r="I897" s="1">
        <v>0</v>
      </c>
      <c r="J897" s="1">
        <v>0</v>
      </c>
      <c r="K897" s="1">
        <v>14295974</v>
      </c>
      <c r="L897" s="1">
        <v>0</v>
      </c>
      <c r="M897" s="1">
        <v>4125000</v>
      </c>
      <c r="N897" s="1">
        <v>0</v>
      </c>
      <c r="O897" s="1">
        <v>1000000</v>
      </c>
      <c r="P897" s="1">
        <v>3257160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1848000</v>
      </c>
      <c r="W897" s="1">
        <v>0</v>
      </c>
      <c r="X897" s="1">
        <v>15559536</v>
      </c>
      <c r="Y897" s="1">
        <v>4000000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2559197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6697218</v>
      </c>
      <c r="AO897" s="1">
        <v>0</v>
      </c>
      <c r="AP897" s="1">
        <v>0</v>
      </c>
      <c r="AQ897" s="1">
        <v>0</v>
      </c>
      <c r="AR897" s="1">
        <v>73682644</v>
      </c>
      <c r="AS897" s="1">
        <v>29230791</v>
      </c>
      <c r="AT897" s="1">
        <v>44451853</v>
      </c>
      <c r="AU897" s="1">
        <v>14736529</v>
      </c>
      <c r="AV897" s="1">
        <v>2210479</v>
      </c>
      <c r="AW897" s="1">
        <f t="shared" si="90"/>
        <v>90629652</v>
      </c>
    </row>
    <row r="898" spans="1:49" x14ac:dyDescent="0.2">
      <c r="A898" s="1" t="str">
        <f>"01175"</f>
        <v>01175</v>
      </c>
      <c r="B898" s="1" t="str">
        <f>"محمد مرتضي"</f>
        <v>محمد مرتضي</v>
      </c>
      <c r="C898" s="1" t="str">
        <f>"غلامي"</f>
        <v>غلامي</v>
      </c>
      <c r="D898" s="1" t="str">
        <f t="shared" si="92"/>
        <v>قراردادي بهره بردار</v>
      </c>
      <c r="E898" s="1" t="str">
        <f t="shared" si="93"/>
        <v>پروژه بهره برداري نيروگاه بوشهر</v>
      </c>
      <c r="F898" s="1">
        <v>20982972</v>
      </c>
      <c r="G898" s="1">
        <v>0</v>
      </c>
      <c r="H898" s="1">
        <v>0</v>
      </c>
      <c r="I898" s="1">
        <v>2452869</v>
      </c>
      <c r="J898" s="1">
        <v>0</v>
      </c>
      <c r="K898" s="1">
        <v>14402062</v>
      </c>
      <c r="L898" s="1">
        <v>0</v>
      </c>
      <c r="M898" s="1">
        <v>4125000</v>
      </c>
      <c r="N898" s="1">
        <v>0</v>
      </c>
      <c r="O898" s="1">
        <v>1000000</v>
      </c>
      <c r="P898" s="1">
        <v>3482005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1848000</v>
      </c>
      <c r="W898" s="1">
        <v>0</v>
      </c>
      <c r="X898" s="1">
        <v>10054737</v>
      </c>
      <c r="Y898" s="1">
        <v>4000000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2735861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6276804</v>
      </c>
      <c r="AO898" s="1">
        <v>0</v>
      </c>
      <c r="AP898" s="1">
        <v>0</v>
      </c>
      <c r="AQ898" s="1">
        <v>0</v>
      </c>
      <c r="AR898" s="1">
        <v>71360310</v>
      </c>
      <c r="AS898" s="1">
        <v>16095433</v>
      </c>
      <c r="AT898" s="1">
        <v>55264877</v>
      </c>
      <c r="AU898" s="1">
        <v>14272062</v>
      </c>
      <c r="AV898" s="1">
        <v>2140809</v>
      </c>
      <c r="AW898" s="1">
        <f t="shared" si="90"/>
        <v>87773181</v>
      </c>
    </row>
    <row r="899" spans="1:49" x14ac:dyDescent="0.2">
      <c r="A899" s="1" t="str">
        <f>"01176"</f>
        <v>01176</v>
      </c>
      <c r="B899" s="1" t="str">
        <f>"محمد"</f>
        <v>محمد</v>
      </c>
      <c r="C899" s="1" t="str">
        <f>"مهري"</f>
        <v>مهري</v>
      </c>
      <c r="D899" s="1" t="str">
        <f t="shared" si="92"/>
        <v>قراردادي بهره بردار</v>
      </c>
      <c r="E899" s="1" t="str">
        <f t="shared" si="93"/>
        <v>پروژه بهره برداري نيروگاه بوشهر</v>
      </c>
      <c r="F899" s="1">
        <v>20401021</v>
      </c>
      <c r="G899" s="1">
        <v>0</v>
      </c>
      <c r="H899" s="1">
        <v>0</v>
      </c>
      <c r="I899" s="1">
        <v>0</v>
      </c>
      <c r="J899" s="1">
        <v>0</v>
      </c>
      <c r="K899" s="1">
        <v>14618433</v>
      </c>
      <c r="L899" s="1">
        <v>0</v>
      </c>
      <c r="M899" s="1">
        <v>5500000</v>
      </c>
      <c r="N899" s="1">
        <v>0</v>
      </c>
      <c r="O899" s="1">
        <v>1000000</v>
      </c>
      <c r="P899" s="1">
        <v>3278321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18837402</v>
      </c>
      <c r="Y899" s="1">
        <v>4000000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2575824</v>
      </c>
      <c r="AH899" s="1">
        <v>0</v>
      </c>
      <c r="AI899" s="1">
        <v>19399640</v>
      </c>
      <c r="AJ899" s="1">
        <v>0</v>
      </c>
      <c r="AK899" s="1">
        <v>0</v>
      </c>
      <c r="AL899" s="1">
        <v>0</v>
      </c>
      <c r="AM899" s="1">
        <v>0</v>
      </c>
      <c r="AN899" s="1">
        <v>4683317</v>
      </c>
      <c r="AO899" s="1">
        <v>0</v>
      </c>
      <c r="AP899" s="1">
        <v>0</v>
      </c>
      <c r="AQ899" s="1">
        <v>0</v>
      </c>
      <c r="AR899" s="1">
        <v>94293958</v>
      </c>
      <c r="AS899" s="1">
        <v>32246349</v>
      </c>
      <c r="AT899" s="1">
        <v>62047609</v>
      </c>
      <c r="AU899" s="1">
        <v>18858792</v>
      </c>
      <c r="AV899" s="1">
        <v>2828819</v>
      </c>
      <c r="AW899" s="1">
        <f t="shared" ref="AW899:AW962" si="94">AR899+AU899+AV899</f>
        <v>115981569</v>
      </c>
    </row>
    <row r="900" spans="1:49" x14ac:dyDescent="0.2">
      <c r="A900" s="1" t="str">
        <f>"01177"</f>
        <v>01177</v>
      </c>
      <c r="B900" s="1" t="str">
        <f>"مسلم"</f>
        <v>مسلم</v>
      </c>
      <c r="C900" s="1" t="str">
        <f>"صالحي"</f>
        <v>صالحي</v>
      </c>
      <c r="D900" s="1" t="str">
        <f t="shared" si="92"/>
        <v>قراردادي بهره بردار</v>
      </c>
      <c r="E900" s="1" t="str">
        <f t="shared" si="93"/>
        <v>پروژه بهره برداري نيروگاه بوشهر</v>
      </c>
      <c r="F900" s="1">
        <v>15234006</v>
      </c>
      <c r="G900" s="1">
        <v>0</v>
      </c>
      <c r="H900" s="1">
        <v>0</v>
      </c>
      <c r="I900" s="1">
        <v>4027677</v>
      </c>
      <c r="J900" s="1">
        <v>0</v>
      </c>
      <c r="K900" s="1">
        <v>10156050</v>
      </c>
      <c r="L900" s="1">
        <v>0</v>
      </c>
      <c r="M900" s="1">
        <v>0</v>
      </c>
      <c r="N900" s="1">
        <v>0</v>
      </c>
      <c r="O900" s="1">
        <v>1000000</v>
      </c>
      <c r="P900" s="1">
        <v>2430966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1848000</v>
      </c>
      <c r="W900" s="1">
        <v>0</v>
      </c>
      <c r="X900" s="1">
        <v>7917494</v>
      </c>
      <c r="Y900" s="1">
        <v>4000000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1910045</v>
      </c>
      <c r="AH900" s="1">
        <v>1835427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6257543</v>
      </c>
      <c r="AO900" s="1">
        <v>0</v>
      </c>
      <c r="AP900" s="1">
        <v>0</v>
      </c>
      <c r="AQ900" s="1">
        <v>0</v>
      </c>
      <c r="AR900" s="1">
        <v>56617208</v>
      </c>
      <c r="AS900" s="1">
        <v>27087537</v>
      </c>
      <c r="AT900" s="1">
        <v>29529671</v>
      </c>
      <c r="AU900" s="1">
        <v>10956356</v>
      </c>
      <c r="AV900" s="1">
        <v>1643453</v>
      </c>
      <c r="AW900" s="1">
        <f t="shared" si="94"/>
        <v>69217017</v>
      </c>
    </row>
    <row r="901" spans="1:49" x14ac:dyDescent="0.2">
      <c r="A901" s="1" t="str">
        <f>"01178"</f>
        <v>01178</v>
      </c>
      <c r="B901" s="1" t="str">
        <f>"مجيد"</f>
        <v>مجيد</v>
      </c>
      <c r="C901" s="1" t="str">
        <f>"دانيالي"</f>
        <v>دانيالي</v>
      </c>
      <c r="D901" s="1" t="str">
        <f t="shared" si="92"/>
        <v>قراردادي بهره بردار</v>
      </c>
      <c r="E901" s="1" t="str">
        <f t="shared" si="93"/>
        <v>پروژه بهره برداري نيروگاه بوشهر</v>
      </c>
      <c r="F901" s="1">
        <v>21239937</v>
      </c>
      <c r="G901" s="1">
        <v>0</v>
      </c>
      <c r="H901" s="1">
        <v>0</v>
      </c>
      <c r="I901" s="1">
        <v>0</v>
      </c>
      <c r="J901" s="1">
        <v>0</v>
      </c>
      <c r="K901" s="1">
        <v>15228980</v>
      </c>
      <c r="L901" s="1">
        <v>0</v>
      </c>
      <c r="M901" s="1">
        <v>5500000</v>
      </c>
      <c r="N901" s="1">
        <v>0</v>
      </c>
      <c r="O901" s="1">
        <v>1000000</v>
      </c>
      <c r="P901" s="1">
        <v>3571942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1848000</v>
      </c>
      <c r="W901" s="1">
        <v>0</v>
      </c>
      <c r="X901" s="1">
        <v>12062426</v>
      </c>
      <c r="Y901" s="1">
        <v>4000000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2806526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5402315</v>
      </c>
      <c r="AO901" s="1">
        <v>0</v>
      </c>
      <c r="AP901" s="1">
        <v>0</v>
      </c>
      <c r="AQ901" s="1">
        <v>0</v>
      </c>
      <c r="AR901" s="1">
        <v>72660126</v>
      </c>
      <c r="AS901" s="1">
        <v>24640863</v>
      </c>
      <c r="AT901" s="1">
        <v>48019263</v>
      </c>
      <c r="AU901" s="1">
        <v>14532025</v>
      </c>
      <c r="AV901" s="1">
        <v>2179804</v>
      </c>
      <c r="AW901" s="1">
        <f t="shared" si="94"/>
        <v>89371955</v>
      </c>
    </row>
    <row r="902" spans="1:49" x14ac:dyDescent="0.2">
      <c r="A902" s="1" t="str">
        <f>"01179"</f>
        <v>01179</v>
      </c>
      <c r="B902" s="1" t="str">
        <f>"جواد"</f>
        <v>جواد</v>
      </c>
      <c r="C902" s="1" t="str">
        <f>"ذبيحي شيخ آبادي"</f>
        <v>ذبيحي شيخ آبادي</v>
      </c>
      <c r="D902" s="1" t="str">
        <f t="shared" si="92"/>
        <v>قراردادي بهره بردار</v>
      </c>
      <c r="E902" s="1" t="str">
        <f t="shared" si="93"/>
        <v>پروژه بهره برداري نيروگاه بوشهر</v>
      </c>
      <c r="F902" s="1">
        <v>21486825</v>
      </c>
      <c r="G902" s="1">
        <v>0</v>
      </c>
      <c r="H902" s="1">
        <v>0</v>
      </c>
      <c r="I902" s="1">
        <v>2839018</v>
      </c>
      <c r="J902" s="1">
        <v>0</v>
      </c>
      <c r="K902" s="1">
        <v>16175324</v>
      </c>
      <c r="L902" s="1">
        <v>0</v>
      </c>
      <c r="M902" s="1">
        <v>0</v>
      </c>
      <c r="N902" s="1">
        <v>0</v>
      </c>
      <c r="O902" s="1">
        <v>1000000</v>
      </c>
      <c r="P902" s="1">
        <v>3658353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1848000</v>
      </c>
      <c r="W902" s="1">
        <v>0</v>
      </c>
      <c r="X902" s="1">
        <v>15867952</v>
      </c>
      <c r="Y902" s="1">
        <v>4000000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2874420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6992023</v>
      </c>
      <c r="AO902" s="1">
        <v>0</v>
      </c>
      <c r="AP902" s="1">
        <v>0</v>
      </c>
      <c r="AQ902" s="1">
        <v>0</v>
      </c>
      <c r="AR902" s="1">
        <v>76741915</v>
      </c>
      <c r="AS902" s="1">
        <v>44519612</v>
      </c>
      <c r="AT902" s="1">
        <v>32222303</v>
      </c>
      <c r="AU902" s="1">
        <v>15348383</v>
      </c>
      <c r="AV902" s="1">
        <v>2302257</v>
      </c>
      <c r="AW902" s="1">
        <f t="shared" si="94"/>
        <v>94392555</v>
      </c>
    </row>
    <row r="903" spans="1:49" x14ac:dyDescent="0.2">
      <c r="A903" s="1" t="str">
        <f>"01180"</f>
        <v>01180</v>
      </c>
      <c r="B903" s="1" t="str">
        <f>"نجمه"</f>
        <v>نجمه</v>
      </c>
      <c r="C903" s="1" t="str">
        <f>"ناظمي"</f>
        <v>ناظمي</v>
      </c>
      <c r="D903" s="1" t="str">
        <f t="shared" si="92"/>
        <v>قراردادي بهره بردار</v>
      </c>
      <c r="E903" s="1" t="str">
        <f t="shared" si="93"/>
        <v>پروژه بهره برداري نيروگاه بوشهر</v>
      </c>
      <c r="F903" s="1">
        <v>20572332</v>
      </c>
      <c r="G903" s="1">
        <v>0</v>
      </c>
      <c r="H903" s="1">
        <v>0</v>
      </c>
      <c r="I903" s="1">
        <v>0</v>
      </c>
      <c r="J903" s="1">
        <v>0</v>
      </c>
      <c r="K903" s="1">
        <v>15648394</v>
      </c>
      <c r="L903" s="1">
        <v>0</v>
      </c>
      <c r="M903" s="1">
        <v>4125000</v>
      </c>
      <c r="N903" s="1">
        <v>0</v>
      </c>
      <c r="O903" s="1">
        <v>1000000</v>
      </c>
      <c r="P903" s="1">
        <v>3536672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1848000</v>
      </c>
      <c r="W903" s="1">
        <v>0</v>
      </c>
      <c r="X903" s="1">
        <v>4810663</v>
      </c>
      <c r="Y903" s="1">
        <v>4000000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2778814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5570414</v>
      </c>
      <c r="AO903" s="1">
        <v>0</v>
      </c>
      <c r="AP903" s="1">
        <v>0</v>
      </c>
      <c r="AQ903" s="1">
        <v>0</v>
      </c>
      <c r="AR903" s="1">
        <v>63890289</v>
      </c>
      <c r="AS903" s="1">
        <v>24190125</v>
      </c>
      <c r="AT903" s="1">
        <v>39700164</v>
      </c>
      <c r="AU903" s="1">
        <v>12778058</v>
      </c>
      <c r="AV903" s="1">
        <v>1916709</v>
      </c>
      <c r="AW903" s="1">
        <f t="shared" si="94"/>
        <v>78585056</v>
      </c>
    </row>
    <row r="904" spans="1:49" x14ac:dyDescent="0.2">
      <c r="A904" s="1" t="str">
        <f>"01182"</f>
        <v>01182</v>
      </c>
      <c r="B904" s="1" t="str">
        <f>"علي"</f>
        <v>علي</v>
      </c>
      <c r="C904" s="1" t="str">
        <f>"احدي"</f>
        <v>احدي</v>
      </c>
      <c r="D904" s="1" t="str">
        <f t="shared" si="92"/>
        <v>قراردادي بهره بردار</v>
      </c>
      <c r="E904" s="1" t="str">
        <f t="shared" si="93"/>
        <v>پروژه بهره برداري نيروگاه بوشهر</v>
      </c>
      <c r="F904" s="1">
        <v>22698593</v>
      </c>
      <c r="G904" s="1">
        <v>0</v>
      </c>
      <c r="H904" s="1">
        <v>0</v>
      </c>
      <c r="I904" s="1">
        <v>0</v>
      </c>
      <c r="J904" s="1">
        <v>0</v>
      </c>
      <c r="K904" s="1">
        <v>16893100</v>
      </c>
      <c r="L904" s="1">
        <v>0</v>
      </c>
      <c r="M904" s="1">
        <v>5500000</v>
      </c>
      <c r="N904" s="1">
        <v>0</v>
      </c>
      <c r="O904" s="1">
        <v>1000000</v>
      </c>
      <c r="P904" s="1">
        <v>4082472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15287037</v>
      </c>
      <c r="Y904" s="1">
        <v>4000000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3207657</v>
      </c>
      <c r="AH904" s="1">
        <v>1835427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5832102</v>
      </c>
      <c r="AO904" s="1">
        <v>0</v>
      </c>
      <c r="AP904" s="1">
        <v>0</v>
      </c>
      <c r="AQ904" s="1">
        <v>0</v>
      </c>
      <c r="AR904" s="1">
        <v>80336388</v>
      </c>
      <c r="AS904" s="1">
        <v>29545675</v>
      </c>
      <c r="AT904" s="1">
        <v>50790713</v>
      </c>
      <c r="AU904" s="1">
        <v>15700192</v>
      </c>
      <c r="AV904" s="1">
        <v>2355029</v>
      </c>
      <c r="AW904" s="1">
        <f t="shared" si="94"/>
        <v>98391609</v>
      </c>
    </row>
    <row r="905" spans="1:49" x14ac:dyDescent="0.2">
      <c r="A905" s="1" t="str">
        <f>"01183"</f>
        <v>01183</v>
      </c>
      <c r="B905" s="1" t="str">
        <f>"مسعود"</f>
        <v>مسعود</v>
      </c>
      <c r="C905" s="1" t="str">
        <f>"كرمي"</f>
        <v>كرمي</v>
      </c>
      <c r="D905" s="1" t="str">
        <f t="shared" si="92"/>
        <v>قراردادي بهره بردار</v>
      </c>
      <c r="E905" s="1" t="str">
        <f t="shared" si="93"/>
        <v>پروژه بهره برداري نيروگاه بوشهر</v>
      </c>
      <c r="F905" s="1">
        <v>27596047</v>
      </c>
      <c r="G905" s="1">
        <v>0</v>
      </c>
      <c r="H905" s="1">
        <v>0</v>
      </c>
      <c r="I905" s="1">
        <v>0</v>
      </c>
      <c r="J905" s="1">
        <v>0</v>
      </c>
      <c r="K905" s="1">
        <v>21511489</v>
      </c>
      <c r="L905" s="1">
        <v>0</v>
      </c>
      <c r="M905" s="1">
        <v>4125000</v>
      </c>
      <c r="N905" s="1">
        <v>0</v>
      </c>
      <c r="O905" s="1">
        <v>1000000</v>
      </c>
      <c r="P905" s="1">
        <v>4286154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1848000</v>
      </c>
      <c r="W905" s="1">
        <v>0</v>
      </c>
      <c r="X905" s="1">
        <v>15414962</v>
      </c>
      <c r="Y905" s="1">
        <v>4000000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3367692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4898462</v>
      </c>
      <c r="AO905" s="1">
        <v>0</v>
      </c>
      <c r="AP905" s="1">
        <v>0</v>
      </c>
      <c r="AQ905" s="1">
        <v>0</v>
      </c>
      <c r="AR905" s="1">
        <v>88047806</v>
      </c>
      <c r="AS905" s="1">
        <v>31410424</v>
      </c>
      <c r="AT905" s="1">
        <v>56637382</v>
      </c>
      <c r="AU905" s="1">
        <v>17609561</v>
      </c>
      <c r="AV905" s="1">
        <v>2641434</v>
      </c>
      <c r="AW905" s="1">
        <f t="shared" si="94"/>
        <v>108298801</v>
      </c>
    </row>
    <row r="906" spans="1:49" x14ac:dyDescent="0.2">
      <c r="A906" s="1" t="str">
        <f>"01185"</f>
        <v>01185</v>
      </c>
      <c r="B906" s="1" t="str">
        <f>"محمود"</f>
        <v>محمود</v>
      </c>
      <c r="C906" s="1" t="str">
        <f>"دهقاني"</f>
        <v>دهقاني</v>
      </c>
      <c r="D906" s="1" t="str">
        <f>"قراردادي کارگري"</f>
        <v>قراردادي کارگري</v>
      </c>
      <c r="E906" s="1" t="str">
        <f>"پروژه تعميرات نيروگاه بوشهر"</f>
        <v>پروژه تعميرات نيروگاه بوشهر</v>
      </c>
      <c r="F906" s="1">
        <v>0</v>
      </c>
      <c r="G906" s="1">
        <v>7972902</v>
      </c>
      <c r="H906" s="1">
        <v>3986451</v>
      </c>
      <c r="I906" s="1">
        <v>0</v>
      </c>
      <c r="J906" s="1">
        <v>0</v>
      </c>
      <c r="K906" s="1">
        <v>7175612</v>
      </c>
      <c r="L906" s="1">
        <v>0</v>
      </c>
      <c r="M906" s="1">
        <v>0</v>
      </c>
      <c r="N906" s="1">
        <v>11521166</v>
      </c>
      <c r="O906" s="1">
        <v>2000000</v>
      </c>
      <c r="P906" s="1">
        <v>6378322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2640000</v>
      </c>
      <c r="W906" s="1">
        <v>0</v>
      </c>
      <c r="X906" s="1">
        <v>12970336</v>
      </c>
      <c r="Y906" s="1">
        <v>4000000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3670854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62315643</v>
      </c>
      <c r="AS906" s="1">
        <v>6262186</v>
      </c>
      <c r="AT906" s="1">
        <v>56053457</v>
      </c>
      <c r="AU906" s="1">
        <v>11728958</v>
      </c>
      <c r="AV906" s="1">
        <v>1759344</v>
      </c>
      <c r="AW906" s="1">
        <f t="shared" si="94"/>
        <v>75803945</v>
      </c>
    </row>
    <row r="907" spans="1:49" x14ac:dyDescent="0.2">
      <c r="A907" s="1" t="str">
        <f>"01186"</f>
        <v>01186</v>
      </c>
      <c r="B907" s="1" t="str">
        <f>"امير"</f>
        <v>امير</v>
      </c>
      <c r="C907" s="1" t="str">
        <f>"بختياري فرد"</f>
        <v>بختياري فرد</v>
      </c>
      <c r="D907" s="1" t="str">
        <f>"قراردادي کارگري"</f>
        <v>قراردادي کارگري</v>
      </c>
      <c r="E907" s="1" t="str">
        <f>"پروژه تعميرات نيروگاه بوشهر"</f>
        <v>پروژه تعميرات نيروگاه بوشهر</v>
      </c>
      <c r="F907" s="1">
        <v>0</v>
      </c>
      <c r="G907" s="1">
        <v>5343342</v>
      </c>
      <c r="H907" s="1">
        <v>2671671</v>
      </c>
      <c r="I907" s="1">
        <v>826998</v>
      </c>
      <c r="J907" s="1">
        <v>0</v>
      </c>
      <c r="K907" s="1">
        <v>4809007</v>
      </c>
      <c r="L907" s="1">
        <v>0</v>
      </c>
      <c r="M907" s="1">
        <v>0</v>
      </c>
      <c r="N907" s="1">
        <v>11521166</v>
      </c>
      <c r="O907" s="1">
        <v>2000000</v>
      </c>
      <c r="P907" s="1">
        <v>4274674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2640000</v>
      </c>
      <c r="W907" s="1">
        <v>0</v>
      </c>
      <c r="X907" s="1">
        <v>10445957</v>
      </c>
      <c r="Y907" s="1">
        <v>4000000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48532815</v>
      </c>
      <c r="AS907" s="1">
        <v>5629249</v>
      </c>
      <c r="AT907" s="1">
        <v>42903566</v>
      </c>
      <c r="AU907" s="1">
        <v>9706563</v>
      </c>
      <c r="AV907" s="1">
        <v>1455984</v>
      </c>
      <c r="AW907" s="1">
        <f t="shared" si="94"/>
        <v>59695362</v>
      </c>
    </row>
    <row r="908" spans="1:49" x14ac:dyDescent="0.2">
      <c r="A908" s="1" t="str">
        <f>"01188"</f>
        <v>01188</v>
      </c>
      <c r="B908" s="1" t="str">
        <f>"آرش"</f>
        <v>آرش</v>
      </c>
      <c r="C908" s="1" t="str">
        <f>"احمد خسروي"</f>
        <v>احمد خسروي</v>
      </c>
      <c r="D908" s="1" t="str">
        <f t="shared" ref="D908:D916" si="95">"قراردادي بهره بردار"</f>
        <v>قراردادي بهره بردار</v>
      </c>
      <c r="E908" s="1" t="str">
        <f t="shared" ref="E908:E923" si="96">"پروژه بهره برداري نيروگاه بوشهر"</f>
        <v>پروژه بهره برداري نيروگاه بوشهر</v>
      </c>
      <c r="F908" s="1">
        <v>21476748</v>
      </c>
      <c r="G908" s="1">
        <v>0</v>
      </c>
      <c r="H908" s="1">
        <v>0</v>
      </c>
      <c r="I908" s="1">
        <v>0</v>
      </c>
      <c r="J908" s="1">
        <v>0</v>
      </c>
      <c r="K908" s="1">
        <v>15279678</v>
      </c>
      <c r="L908" s="1">
        <v>0</v>
      </c>
      <c r="M908" s="1">
        <v>4125000</v>
      </c>
      <c r="N908" s="1">
        <v>0</v>
      </c>
      <c r="O908" s="1">
        <v>1000000</v>
      </c>
      <c r="P908" s="1">
        <v>3654827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1848000</v>
      </c>
      <c r="W908" s="1">
        <v>0</v>
      </c>
      <c r="X908" s="1">
        <v>9263103</v>
      </c>
      <c r="Y908" s="1">
        <v>4000000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2871649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5470272</v>
      </c>
      <c r="AO908" s="1">
        <v>0</v>
      </c>
      <c r="AP908" s="1">
        <v>0</v>
      </c>
      <c r="AQ908" s="1">
        <v>0</v>
      </c>
      <c r="AR908" s="1">
        <v>68989277</v>
      </c>
      <c r="AS908" s="1">
        <v>21021869</v>
      </c>
      <c r="AT908" s="1">
        <v>47967408</v>
      </c>
      <c r="AU908" s="1">
        <v>13797855</v>
      </c>
      <c r="AV908" s="1">
        <v>2069678</v>
      </c>
      <c r="AW908" s="1">
        <f t="shared" si="94"/>
        <v>84856810</v>
      </c>
    </row>
    <row r="909" spans="1:49" x14ac:dyDescent="0.2">
      <c r="A909" s="1" t="str">
        <f>"01189"</f>
        <v>01189</v>
      </c>
      <c r="B909" s="1" t="str">
        <f>"سيد علي"</f>
        <v>سيد علي</v>
      </c>
      <c r="C909" s="1" t="str">
        <f>"احمدي"</f>
        <v>احمدي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22197259</v>
      </c>
      <c r="G909" s="1">
        <v>0</v>
      </c>
      <c r="H909" s="1">
        <v>0</v>
      </c>
      <c r="I909" s="1">
        <v>5840624</v>
      </c>
      <c r="J909" s="1">
        <v>0</v>
      </c>
      <c r="K909" s="1">
        <v>16877244</v>
      </c>
      <c r="L909" s="1">
        <v>0</v>
      </c>
      <c r="M909" s="1">
        <v>4125000</v>
      </c>
      <c r="N909" s="1">
        <v>0</v>
      </c>
      <c r="O909" s="1">
        <v>1000000</v>
      </c>
      <c r="P909" s="1">
        <v>3907004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1848000</v>
      </c>
      <c r="W909" s="1">
        <v>0</v>
      </c>
      <c r="X909" s="1">
        <v>10611536</v>
      </c>
      <c r="Y909" s="1">
        <v>4000000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3069789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7006383</v>
      </c>
      <c r="AO909" s="1">
        <v>0</v>
      </c>
      <c r="AP909" s="1">
        <v>0</v>
      </c>
      <c r="AQ909" s="1">
        <v>0</v>
      </c>
      <c r="AR909" s="1">
        <v>80482839</v>
      </c>
      <c r="AS909" s="1">
        <v>29829624</v>
      </c>
      <c r="AT909" s="1">
        <v>50653215</v>
      </c>
      <c r="AU909" s="1">
        <v>16096568</v>
      </c>
      <c r="AV909" s="1">
        <v>2414485</v>
      </c>
      <c r="AW909" s="1">
        <f t="shared" si="94"/>
        <v>98993892</v>
      </c>
    </row>
    <row r="910" spans="1:49" x14ac:dyDescent="0.2">
      <c r="A910" s="1" t="str">
        <f>"01190"</f>
        <v>01190</v>
      </c>
      <c r="B910" s="1" t="str">
        <f>"علي"</f>
        <v>علي</v>
      </c>
      <c r="C910" s="1" t="str">
        <f>"بازياري"</f>
        <v>بازياري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20257423</v>
      </c>
      <c r="G910" s="1">
        <v>0</v>
      </c>
      <c r="H910" s="1">
        <v>0</v>
      </c>
      <c r="I910" s="1">
        <v>3755664</v>
      </c>
      <c r="J910" s="1">
        <v>0</v>
      </c>
      <c r="K910" s="1">
        <v>14091335</v>
      </c>
      <c r="L910" s="1">
        <v>0</v>
      </c>
      <c r="M910" s="1">
        <v>5500000</v>
      </c>
      <c r="N910" s="1">
        <v>0</v>
      </c>
      <c r="O910" s="1">
        <v>1000000</v>
      </c>
      <c r="P910" s="1">
        <v>3228062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14956111</v>
      </c>
      <c r="Y910" s="1">
        <v>4000000</v>
      </c>
      <c r="Z910" s="1">
        <v>2940594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2536334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11459640</v>
      </c>
      <c r="AO910" s="1">
        <v>0</v>
      </c>
      <c r="AP910" s="1">
        <v>0</v>
      </c>
      <c r="AQ910" s="1">
        <v>0</v>
      </c>
      <c r="AR910" s="1">
        <v>83725163</v>
      </c>
      <c r="AS910" s="1">
        <v>23106134</v>
      </c>
      <c r="AT910" s="1">
        <v>60619029</v>
      </c>
      <c r="AU910" s="1">
        <v>16745033</v>
      </c>
      <c r="AV910" s="1">
        <v>2511755</v>
      </c>
      <c r="AW910" s="1">
        <f t="shared" si="94"/>
        <v>102981951</v>
      </c>
    </row>
    <row r="911" spans="1:49" x14ac:dyDescent="0.2">
      <c r="A911" s="1" t="str">
        <f>"01191"</f>
        <v>01191</v>
      </c>
      <c r="B911" s="1" t="str">
        <f>"احسان"</f>
        <v>احسان</v>
      </c>
      <c r="C911" s="1" t="str">
        <f>"خان خانان"</f>
        <v>خان خانان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17418210</v>
      </c>
      <c r="G911" s="1">
        <v>0</v>
      </c>
      <c r="H911" s="1">
        <v>0</v>
      </c>
      <c r="I911" s="1">
        <v>11405786</v>
      </c>
      <c r="J911" s="1">
        <v>0</v>
      </c>
      <c r="K911" s="1">
        <v>13811594</v>
      </c>
      <c r="L911" s="1">
        <v>0</v>
      </c>
      <c r="M911" s="1">
        <v>0</v>
      </c>
      <c r="N911" s="1">
        <v>0</v>
      </c>
      <c r="O911" s="1">
        <v>1000000</v>
      </c>
      <c r="P911" s="1">
        <v>3195438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1848000</v>
      </c>
      <c r="W911" s="1">
        <v>0</v>
      </c>
      <c r="X911" s="1">
        <v>16710518</v>
      </c>
      <c r="Y911" s="1">
        <v>4000000</v>
      </c>
      <c r="Z911" s="1">
        <v>2528450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2510701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13701989</v>
      </c>
      <c r="AO911" s="1">
        <v>0</v>
      </c>
      <c r="AP911" s="1">
        <v>0</v>
      </c>
      <c r="AQ911" s="1">
        <v>0</v>
      </c>
      <c r="AR911" s="1">
        <v>88130686</v>
      </c>
      <c r="AS911" s="1">
        <v>36820698</v>
      </c>
      <c r="AT911" s="1">
        <v>51309988</v>
      </c>
      <c r="AU911" s="1">
        <v>17626137</v>
      </c>
      <c r="AV911" s="1">
        <v>2643921</v>
      </c>
      <c r="AW911" s="1">
        <f t="shared" si="94"/>
        <v>108400744</v>
      </c>
    </row>
    <row r="912" spans="1:49" x14ac:dyDescent="0.2">
      <c r="A912" s="1" t="str">
        <f>"01192"</f>
        <v>01192</v>
      </c>
      <c r="B912" s="1" t="str">
        <f>"حسين"</f>
        <v>حسين</v>
      </c>
      <c r="C912" s="1" t="str">
        <f>"معيني"</f>
        <v>معيني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17627309</v>
      </c>
      <c r="G912" s="1">
        <v>0</v>
      </c>
      <c r="H912" s="1">
        <v>0</v>
      </c>
      <c r="I912" s="1">
        <v>11592102</v>
      </c>
      <c r="J912" s="1">
        <v>0</v>
      </c>
      <c r="K912" s="1">
        <v>14160533</v>
      </c>
      <c r="L912" s="1">
        <v>0</v>
      </c>
      <c r="M912" s="1">
        <v>4620000</v>
      </c>
      <c r="N912" s="1">
        <v>0</v>
      </c>
      <c r="O912" s="1">
        <v>1000000</v>
      </c>
      <c r="P912" s="1">
        <v>3268622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16983488</v>
      </c>
      <c r="Y912" s="1">
        <v>4000000</v>
      </c>
      <c r="Z912" s="1">
        <v>2558803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2568203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13840448</v>
      </c>
      <c r="AO912" s="1">
        <v>0</v>
      </c>
      <c r="AP912" s="1">
        <v>0</v>
      </c>
      <c r="AQ912" s="1">
        <v>0</v>
      </c>
      <c r="AR912" s="1">
        <v>92219508</v>
      </c>
      <c r="AS912" s="1">
        <v>32313193</v>
      </c>
      <c r="AT912" s="1">
        <v>59906315</v>
      </c>
      <c r="AU912" s="1">
        <v>18443902</v>
      </c>
      <c r="AV912" s="1">
        <v>2766585</v>
      </c>
      <c r="AW912" s="1">
        <f t="shared" si="94"/>
        <v>113429995</v>
      </c>
    </row>
    <row r="913" spans="1:49" x14ac:dyDescent="0.2">
      <c r="A913" s="1" t="str">
        <f>"01194"</f>
        <v>01194</v>
      </c>
      <c r="B913" s="1" t="str">
        <f>"محمد هادي"</f>
        <v>محمد هادي</v>
      </c>
      <c r="C913" s="1" t="str">
        <f>"كارآمد"</f>
        <v>كارآمد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17891832</v>
      </c>
      <c r="G913" s="1">
        <v>0</v>
      </c>
      <c r="H913" s="1">
        <v>0</v>
      </c>
      <c r="I913" s="1">
        <v>16254117</v>
      </c>
      <c r="J913" s="1">
        <v>0</v>
      </c>
      <c r="K913" s="1">
        <v>14572353</v>
      </c>
      <c r="L913" s="1">
        <v>0</v>
      </c>
      <c r="M913" s="1">
        <v>3465000</v>
      </c>
      <c r="N913" s="1">
        <v>0</v>
      </c>
      <c r="O913" s="1">
        <v>1000000</v>
      </c>
      <c r="P913" s="1">
        <v>3361206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17319102</v>
      </c>
      <c r="Y913" s="1">
        <v>4000000</v>
      </c>
      <c r="Z913" s="1">
        <v>2462745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2640947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14015789</v>
      </c>
      <c r="AO913" s="1">
        <v>0</v>
      </c>
      <c r="AP913" s="1">
        <v>0</v>
      </c>
      <c r="AQ913" s="1">
        <v>0</v>
      </c>
      <c r="AR913" s="1">
        <v>96983091</v>
      </c>
      <c r="AS913" s="1">
        <v>42056600</v>
      </c>
      <c r="AT913" s="1">
        <v>54926491</v>
      </c>
      <c r="AU913" s="1">
        <v>19396618</v>
      </c>
      <c r="AV913" s="1">
        <v>2909493</v>
      </c>
      <c r="AW913" s="1">
        <f t="shared" si="94"/>
        <v>119289202</v>
      </c>
    </row>
    <row r="914" spans="1:49" x14ac:dyDescent="0.2">
      <c r="A914" s="1" t="str">
        <f>"01195"</f>
        <v>01195</v>
      </c>
      <c r="B914" s="1" t="str">
        <f>"عليرضا"</f>
        <v>عليرضا</v>
      </c>
      <c r="C914" s="1" t="str">
        <f>"ايزدبخش"</f>
        <v>ايزدبخش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15873899</v>
      </c>
      <c r="G914" s="1">
        <v>0</v>
      </c>
      <c r="H914" s="1">
        <v>0</v>
      </c>
      <c r="I914" s="1">
        <v>21952466</v>
      </c>
      <c r="J914" s="1">
        <v>0</v>
      </c>
      <c r="K914" s="1">
        <v>15821915</v>
      </c>
      <c r="L914" s="1">
        <v>0</v>
      </c>
      <c r="M914" s="1">
        <v>3465000</v>
      </c>
      <c r="N914" s="1">
        <v>0</v>
      </c>
      <c r="O914" s="1">
        <v>1000000</v>
      </c>
      <c r="P914" s="1">
        <v>2963539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9163776</v>
      </c>
      <c r="Y914" s="1">
        <v>4000000</v>
      </c>
      <c r="Z914" s="1">
        <v>2304276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2328495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12546074</v>
      </c>
      <c r="AO914" s="1">
        <v>0</v>
      </c>
      <c r="AP914" s="1">
        <v>0</v>
      </c>
      <c r="AQ914" s="1">
        <v>0</v>
      </c>
      <c r="AR914" s="1">
        <v>91419440</v>
      </c>
      <c r="AS914" s="1">
        <v>34545386</v>
      </c>
      <c r="AT914" s="1">
        <v>56874054</v>
      </c>
      <c r="AU914" s="1">
        <v>18283888</v>
      </c>
      <c r="AV914" s="1">
        <v>2742583</v>
      </c>
      <c r="AW914" s="1">
        <f t="shared" si="94"/>
        <v>112445911</v>
      </c>
    </row>
    <row r="915" spans="1:49" x14ac:dyDescent="0.2">
      <c r="A915" s="1" t="str">
        <f>"01196"</f>
        <v>01196</v>
      </c>
      <c r="B915" s="1" t="str">
        <f>"محمد"</f>
        <v>محمد</v>
      </c>
      <c r="C915" s="1" t="str">
        <f>"نژاد فرحاني"</f>
        <v>نژاد فرحاني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20355675</v>
      </c>
      <c r="G915" s="1">
        <v>0</v>
      </c>
      <c r="H915" s="1">
        <v>0</v>
      </c>
      <c r="I915" s="1">
        <v>29331401</v>
      </c>
      <c r="J915" s="1">
        <v>0</v>
      </c>
      <c r="K915" s="1">
        <v>23059131</v>
      </c>
      <c r="L915" s="1">
        <v>0</v>
      </c>
      <c r="M915" s="1">
        <v>4620000</v>
      </c>
      <c r="N915" s="1">
        <v>0</v>
      </c>
      <c r="O915" s="1">
        <v>1000000</v>
      </c>
      <c r="P915" s="1">
        <v>4135376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1848000</v>
      </c>
      <c r="W915" s="1">
        <v>0</v>
      </c>
      <c r="X915" s="1">
        <v>12660269</v>
      </c>
      <c r="Y915" s="1">
        <v>4000000</v>
      </c>
      <c r="Z915" s="1">
        <v>2954856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3249225</v>
      </c>
      <c r="AH915" s="1">
        <v>3670854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14968223</v>
      </c>
      <c r="AO915" s="1">
        <v>0</v>
      </c>
      <c r="AP915" s="1">
        <v>0</v>
      </c>
      <c r="AQ915" s="1">
        <v>0</v>
      </c>
      <c r="AR915" s="1">
        <v>125853010</v>
      </c>
      <c r="AS915" s="1">
        <v>50318849</v>
      </c>
      <c r="AT915" s="1">
        <v>75534161</v>
      </c>
      <c r="AU915" s="1">
        <v>24436431</v>
      </c>
      <c r="AV915" s="1">
        <v>3665465</v>
      </c>
      <c r="AW915" s="1">
        <f t="shared" si="94"/>
        <v>153954906</v>
      </c>
    </row>
    <row r="916" spans="1:49" x14ac:dyDescent="0.2">
      <c r="A916" s="1" t="str">
        <f>"01197"</f>
        <v>01197</v>
      </c>
      <c r="B916" s="1" t="str">
        <f>"حميدرضا"</f>
        <v>حميدرضا</v>
      </c>
      <c r="C916" s="1" t="str">
        <f>"بني اسد"</f>
        <v>بني اسد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15553952</v>
      </c>
      <c r="G916" s="1">
        <v>0</v>
      </c>
      <c r="H916" s="1">
        <v>0</v>
      </c>
      <c r="I916" s="1">
        <v>20754003</v>
      </c>
      <c r="J916" s="1">
        <v>0</v>
      </c>
      <c r="K916" s="1">
        <v>15621093</v>
      </c>
      <c r="L916" s="1">
        <v>0</v>
      </c>
      <c r="M916" s="1">
        <v>4620000</v>
      </c>
      <c r="N916" s="1">
        <v>0</v>
      </c>
      <c r="O916" s="1">
        <v>1000000</v>
      </c>
      <c r="P916" s="1">
        <v>2930915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1848000</v>
      </c>
      <c r="W916" s="1">
        <v>0</v>
      </c>
      <c r="X916" s="1">
        <v>9565940</v>
      </c>
      <c r="Y916" s="1">
        <v>4000000</v>
      </c>
      <c r="Z916" s="1">
        <v>2257832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2302862</v>
      </c>
      <c r="AH916" s="1">
        <v>0</v>
      </c>
      <c r="AI916" s="1">
        <v>3105207</v>
      </c>
      <c r="AJ916" s="1">
        <v>0</v>
      </c>
      <c r="AK916" s="1">
        <v>0</v>
      </c>
      <c r="AL916" s="1">
        <v>0</v>
      </c>
      <c r="AM916" s="1">
        <v>0</v>
      </c>
      <c r="AN916" s="1">
        <v>12193755</v>
      </c>
      <c r="AO916" s="1">
        <v>0</v>
      </c>
      <c r="AP916" s="1">
        <v>0</v>
      </c>
      <c r="AQ916" s="1">
        <v>0</v>
      </c>
      <c r="AR916" s="1">
        <v>95753559</v>
      </c>
      <c r="AS916" s="1">
        <v>10088366</v>
      </c>
      <c r="AT916" s="1">
        <v>85665193</v>
      </c>
      <c r="AU916" s="1">
        <v>19150712</v>
      </c>
      <c r="AV916" s="1">
        <v>2872607</v>
      </c>
      <c r="AW916" s="1">
        <f t="shared" si="94"/>
        <v>117776878</v>
      </c>
    </row>
    <row r="917" spans="1:49" x14ac:dyDescent="0.2">
      <c r="A917" s="1" t="str">
        <f>"01198"</f>
        <v>01198</v>
      </c>
      <c r="B917" s="1" t="str">
        <f>"امين"</f>
        <v>امين</v>
      </c>
      <c r="C917" s="1" t="str">
        <f>"غريب زاده"</f>
        <v>غريب زاده</v>
      </c>
      <c r="D917" s="1" t="str">
        <f>"قراردادي کارگري"</f>
        <v>قراردادي کارگري</v>
      </c>
      <c r="E917" s="1" t="str">
        <f t="shared" si="96"/>
        <v>پروژه بهره برداري نيروگاه بوشهر</v>
      </c>
      <c r="F917" s="1">
        <v>12384715</v>
      </c>
      <c r="G917" s="1">
        <v>0</v>
      </c>
      <c r="H917" s="1">
        <v>0</v>
      </c>
      <c r="I917" s="1">
        <v>5160489</v>
      </c>
      <c r="J917" s="1">
        <v>0</v>
      </c>
      <c r="K917" s="1">
        <v>7010336</v>
      </c>
      <c r="L917" s="1">
        <v>0</v>
      </c>
      <c r="M917" s="1">
        <v>0</v>
      </c>
      <c r="N917" s="1">
        <v>0</v>
      </c>
      <c r="O917" s="1">
        <v>1000000</v>
      </c>
      <c r="P917" s="1">
        <v>2006848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2640000</v>
      </c>
      <c r="W917" s="1">
        <v>0</v>
      </c>
      <c r="X917" s="1">
        <v>2770132</v>
      </c>
      <c r="Y917" s="1">
        <v>4000000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1576809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4722618</v>
      </c>
      <c r="AO917" s="1">
        <v>0</v>
      </c>
      <c r="AP917" s="1">
        <v>0</v>
      </c>
      <c r="AQ917" s="1">
        <v>0</v>
      </c>
      <c r="AR917" s="1">
        <v>43271947</v>
      </c>
      <c r="AS917" s="1">
        <v>3389327</v>
      </c>
      <c r="AT917" s="1">
        <v>39882620</v>
      </c>
      <c r="AU917" s="1">
        <v>8654389</v>
      </c>
      <c r="AV917" s="1">
        <v>1298158</v>
      </c>
      <c r="AW917" s="1">
        <f t="shared" si="94"/>
        <v>53224494</v>
      </c>
    </row>
    <row r="918" spans="1:49" x14ac:dyDescent="0.2">
      <c r="A918" s="1" t="str">
        <f>"01199"</f>
        <v>01199</v>
      </c>
      <c r="B918" s="1" t="str">
        <f>"مهدي"</f>
        <v>مهدي</v>
      </c>
      <c r="C918" s="1" t="str">
        <f>"غلام نژاد دزفولي"</f>
        <v>غلام نژاد دزفولي</v>
      </c>
      <c r="D918" s="1" t="str">
        <f t="shared" ref="D918:D925" si="97">"قراردادي بهره بردار"</f>
        <v>قراردادي بهره بردار</v>
      </c>
      <c r="E918" s="1" t="str">
        <f t="shared" si="96"/>
        <v>پروژه بهره برداري نيروگاه بوشهر</v>
      </c>
      <c r="F918" s="1">
        <v>15400277</v>
      </c>
      <c r="G918" s="1">
        <v>0</v>
      </c>
      <c r="H918" s="1">
        <v>0</v>
      </c>
      <c r="I918" s="1">
        <v>29047373</v>
      </c>
      <c r="J918" s="1">
        <v>0</v>
      </c>
      <c r="K918" s="1">
        <v>15032611</v>
      </c>
      <c r="L918" s="1">
        <v>0</v>
      </c>
      <c r="M918" s="1">
        <v>4620000</v>
      </c>
      <c r="N918" s="1">
        <v>0</v>
      </c>
      <c r="O918" s="1">
        <v>1000000</v>
      </c>
      <c r="P918" s="1">
        <v>2797772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8803412</v>
      </c>
      <c r="Y918" s="1">
        <v>4000000</v>
      </c>
      <c r="Z918" s="1">
        <v>2235524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2198249</v>
      </c>
      <c r="AH918" s="1">
        <v>3670854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12157100</v>
      </c>
      <c r="AO918" s="1">
        <v>0</v>
      </c>
      <c r="AP918" s="1">
        <v>0</v>
      </c>
      <c r="AQ918" s="1">
        <v>0</v>
      </c>
      <c r="AR918" s="1">
        <v>100963172</v>
      </c>
      <c r="AS918" s="1">
        <v>37497681</v>
      </c>
      <c r="AT918" s="1">
        <v>63465491</v>
      </c>
      <c r="AU918" s="1">
        <v>19458464</v>
      </c>
      <c r="AV918" s="1">
        <v>2918770</v>
      </c>
      <c r="AW918" s="1">
        <f t="shared" si="94"/>
        <v>123340406</v>
      </c>
    </row>
    <row r="919" spans="1:49" x14ac:dyDescent="0.2">
      <c r="A919" s="1" t="str">
        <f>"01200"</f>
        <v>01200</v>
      </c>
      <c r="B919" s="1" t="str">
        <f>"ابراهيم"</f>
        <v>ابراهيم</v>
      </c>
      <c r="C919" s="1" t="str">
        <f>"حيدري"</f>
        <v>حيدري</v>
      </c>
      <c r="D919" s="1" t="str">
        <f t="shared" si="97"/>
        <v>قراردادي بهره بردار</v>
      </c>
      <c r="E919" s="1" t="str">
        <f t="shared" si="96"/>
        <v>پروژه بهره برداري نيروگاه بوشهر</v>
      </c>
      <c r="F919" s="1">
        <v>14752826</v>
      </c>
      <c r="G919" s="1">
        <v>0</v>
      </c>
      <c r="H919" s="1">
        <v>0</v>
      </c>
      <c r="I919" s="1">
        <v>18270952</v>
      </c>
      <c r="J919" s="1">
        <v>0</v>
      </c>
      <c r="K919" s="1">
        <v>14415219</v>
      </c>
      <c r="L919" s="1">
        <v>0</v>
      </c>
      <c r="M919" s="1">
        <v>4620000</v>
      </c>
      <c r="N919" s="1">
        <v>0</v>
      </c>
      <c r="O919" s="1">
        <v>1000000</v>
      </c>
      <c r="P919" s="1">
        <v>2571164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1848000</v>
      </c>
      <c r="W919" s="1">
        <v>0</v>
      </c>
      <c r="X919" s="1">
        <v>8421452</v>
      </c>
      <c r="Y919" s="1">
        <v>4000000</v>
      </c>
      <c r="Z919" s="1">
        <v>2141539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2020200</v>
      </c>
      <c r="AH919" s="1">
        <v>5506281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11761952</v>
      </c>
      <c r="AO919" s="1">
        <v>0</v>
      </c>
      <c r="AP919" s="1">
        <v>0</v>
      </c>
      <c r="AQ919" s="1">
        <v>0</v>
      </c>
      <c r="AR919" s="1">
        <v>91329585</v>
      </c>
      <c r="AS919" s="1">
        <v>32784873</v>
      </c>
      <c r="AT919" s="1">
        <v>58544712</v>
      </c>
      <c r="AU919" s="1">
        <v>17164661</v>
      </c>
      <c r="AV919" s="1">
        <v>2574699</v>
      </c>
      <c r="AW919" s="1">
        <f t="shared" si="94"/>
        <v>111068945</v>
      </c>
    </row>
    <row r="920" spans="1:49" x14ac:dyDescent="0.2">
      <c r="A920" s="1" t="str">
        <f>"01201"</f>
        <v>01201</v>
      </c>
      <c r="B920" s="1" t="str">
        <f>"مهدي"</f>
        <v>مهدي</v>
      </c>
      <c r="C920" s="1" t="str">
        <f>"عوض پور"</f>
        <v>عوض پور</v>
      </c>
      <c r="D920" s="1" t="str">
        <f t="shared" si="97"/>
        <v>قراردادي بهره بردار</v>
      </c>
      <c r="E920" s="1" t="str">
        <f t="shared" si="96"/>
        <v>پروژه بهره برداري نيروگاه بوشهر</v>
      </c>
      <c r="F920" s="1">
        <v>15951997</v>
      </c>
      <c r="G920" s="1">
        <v>0</v>
      </c>
      <c r="H920" s="1">
        <v>0</v>
      </c>
      <c r="I920" s="1">
        <v>22141420</v>
      </c>
      <c r="J920" s="1">
        <v>0</v>
      </c>
      <c r="K920" s="1">
        <v>16067077</v>
      </c>
      <c r="L920" s="1">
        <v>0</v>
      </c>
      <c r="M920" s="1">
        <v>4620000</v>
      </c>
      <c r="N920" s="1">
        <v>0</v>
      </c>
      <c r="O920" s="1">
        <v>1000000</v>
      </c>
      <c r="P920" s="1">
        <v>2990874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1848000</v>
      </c>
      <c r="W920" s="1">
        <v>0</v>
      </c>
      <c r="X920" s="1">
        <v>9242652</v>
      </c>
      <c r="Y920" s="1">
        <v>4000000</v>
      </c>
      <c r="Z920" s="1">
        <v>2315612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2349972</v>
      </c>
      <c r="AH920" s="1">
        <v>1835427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12600364</v>
      </c>
      <c r="AO920" s="1">
        <v>0</v>
      </c>
      <c r="AP920" s="1">
        <v>0</v>
      </c>
      <c r="AQ920" s="1">
        <v>0</v>
      </c>
      <c r="AR920" s="1">
        <v>96963395</v>
      </c>
      <c r="AS920" s="1">
        <v>31961326</v>
      </c>
      <c r="AT920" s="1">
        <v>65002069</v>
      </c>
      <c r="AU920" s="1">
        <v>19025594</v>
      </c>
      <c r="AV920" s="1">
        <v>2853839</v>
      </c>
      <c r="AW920" s="1">
        <f t="shared" si="94"/>
        <v>118842828</v>
      </c>
    </row>
    <row r="921" spans="1:49" x14ac:dyDescent="0.2">
      <c r="A921" s="1" t="str">
        <f>"01203"</f>
        <v>01203</v>
      </c>
      <c r="B921" s="1" t="str">
        <f>"علي"</f>
        <v>علي</v>
      </c>
      <c r="C921" s="1" t="str">
        <f>"زنده بودي"</f>
        <v>زنده بودي</v>
      </c>
      <c r="D921" s="1" t="str">
        <f t="shared" si="97"/>
        <v>قراردادي بهره بردار</v>
      </c>
      <c r="E921" s="1" t="str">
        <f t="shared" si="96"/>
        <v>پروژه بهره برداري نيروگاه بوشهر</v>
      </c>
      <c r="F921" s="1">
        <v>16549063</v>
      </c>
      <c r="G921" s="1">
        <v>0</v>
      </c>
      <c r="H921" s="1">
        <v>0</v>
      </c>
      <c r="I921" s="1">
        <v>21047648</v>
      </c>
      <c r="J921" s="1">
        <v>0</v>
      </c>
      <c r="K921" s="1">
        <v>17035134</v>
      </c>
      <c r="L921" s="1">
        <v>0</v>
      </c>
      <c r="M921" s="1">
        <v>4620000</v>
      </c>
      <c r="N921" s="1">
        <v>0</v>
      </c>
      <c r="O921" s="1">
        <v>1000000</v>
      </c>
      <c r="P921" s="1">
        <v>3199847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9811686</v>
      </c>
      <c r="Y921" s="1">
        <v>4000000</v>
      </c>
      <c r="Z921" s="1">
        <v>2402283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2514165</v>
      </c>
      <c r="AH921" s="1">
        <v>3670854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13030781</v>
      </c>
      <c r="AO921" s="1">
        <v>0</v>
      </c>
      <c r="AP921" s="1">
        <v>0</v>
      </c>
      <c r="AQ921" s="1">
        <v>0</v>
      </c>
      <c r="AR921" s="1">
        <v>98881461</v>
      </c>
      <c r="AS921" s="1">
        <v>39015694</v>
      </c>
      <c r="AT921" s="1">
        <v>59865767</v>
      </c>
      <c r="AU921" s="1">
        <v>19042121</v>
      </c>
      <c r="AV921" s="1">
        <v>2856318</v>
      </c>
      <c r="AW921" s="1">
        <f t="shared" si="94"/>
        <v>120779900</v>
      </c>
    </row>
    <row r="922" spans="1:49" x14ac:dyDescent="0.2">
      <c r="A922" s="1" t="str">
        <f>"01204"</f>
        <v>01204</v>
      </c>
      <c r="B922" s="1" t="str">
        <f>"فتح اله"</f>
        <v>فتح اله</v>
      </c>
      <c r="C922" s="1" t="str">
        <f>"محسني پور"</f>
        <v>محسني پور</v>
      </c>
      <c r="D922" s="1" t="str">
        <f t="shared" si="97"/>
        <v>قراردادي بهره بردار</v>
      </c>
      <c r="E922" s="1" t="str">
        <f t="shared" si="96"/>
        <v>پروژه بهره برداري نيروگاه بوشهر</v>
      </c>
      <c r="F922" s="1">
        <v>18073219</v>
      </c>
      <c r="G922" s="1">
        <v>0</v>
      </c>
      <c r="H922" s="1">
        <v>0</v>
      </c>
      <c r="I922" s="1">
        <v>25852020</v>
      </c>
      <c r="J922" s="1">
        <v>0</v>
      </c>
      <c r="K922" s="1">
        <v>19316459</v>
      </c>
      <c r="L922" s="1">
        <v>0</v>
      </c>
      <c r="M922" s="1">
        <v>4620000</v>
      </c>
      <c r="N922" s="1">
        <v>0</v>
      </c>
      <c r="O922" s="1">
        <v>1000000</v>
      </c>
      <c r="P922" s="1">
        <v>3733301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11036691</v>
      </c>
      <c r="Y922" s="1">
        <v>4000000</v>
      </c>
      <c r="Z922" s="1">
        <v>2623532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2933308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14031560</v>
      </c>
      <c r="AO922" s="1">
        <v>0</v>
      </c>
      <c r="AP922" s="1">
        <v>0</v>
      </c>
      <c r="AQ922" s="1">
        <v>0</v>
      </c>
      <c r="AR922" s="1">
        <v>107220090</v>
      </c>
      <c r="AS922" s="1">
        <v>40977027</v>
      </c>
      <c r="AT922" s="1">
        <v>66243063</v>
      </c>
      <c r="AU922" s="1">
        <v>21444018</v>
      </c>
      <c r="AV922" s="1">
        <v>3216603</v>
      </c>
      <c r="AW922" s="1">
        <f t="shared" si="94"/>
        <v>131880711</v>
      </c>
    </row>
    <row r="923" spans="1:49" x14ac:dyDescent="0.2">
      <c r="A923" s="1" t="str">
        <f>"01205"</f>
        <v>01205</v>
      </c>
      <c r="B923" s="1" t="str">
        <f>"مهدي"</f>
        <v>مهدي</v>
      </c>
      <c r="C923" s="1" t="str">
        <f>"عالي زاده"</f>
        <v>عالي زاده</v>
      </c>
      <c r="D923" s="1" t="str">
        <f t="shared" si="97"/>
        <v>قراردادي بهره بردار</v>
      </c>
      <c r="E923" s="1" t="str">
        <f t="shared" si="96"/>
        <v>پروژه بهره برداري نيروگاه بوشهر</v>
      </c>
      <c r="F923" s="1">
        <v>16664949</v>
      </c>
      <c r="G923" s="1">
        <v>0</v>
      </c>
      <c r="H923" s="1">
        <v>0</v>
      </c>
      <c r="I923" s="1">
        <v>26314021</v>
      </c>
      <c r="J923" s="1">
        <v>0</v>
      </c>
      <c r="K923" s="1">
        <v>15307797</v>
      </c>
      <c r="L923" s="1">
        <v>0</v>
      </c>
      <c r="M923" s="1">
        <v>4620000</v>
      </c>
      <c r="N923" s="1">
        <v>0</v>
      </c>
      <c r="O923" s="1">
        <v>1000000</v>
      </c>
      <c r="P923" s="1">
        <v>3240407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1848000</v>
      </c>
      <c r="W923" s="1">
        <v>0</v>
      </c>
      <c r="X923" s="1">
        <v>8956552</v>
      </c>
      <c r="Y923" s="1">
        <v>4000000</v>
      </c>
      <c r="Z923" s="1">
        <v>2419106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2546034</v>
      </c>
      <c r="AH923" s="1">
        <v>3670854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10654609</v>
      </c>
      <c r="AO923" s="1">
        <v>0</v>
      </c>
      <c r="AP923" s="1">
        <v>0</v>
      </c>
      <c r="AQ923" s="1">
        <v>0</v>
      </c>
      <c r="AR923" s="1">
        <v>101242329</v>
      </c>
      <c r="AS923" s="1">
        <v>34996741</v>
      </c>
      <c r="AT923" s="1">
        <v>66245588</v>
      </c>
      <c r="AU923" s="1">
        <v>19514295</v>
      </c>
      <c r="AV923" s="1">
        <v>2927144</v>
      </c>
      <c r="AW923" s="1">
        <f t="shared" si="94"/>
        <v>123683768</v>
      </c>
    </row>
    <row r="924" spans="1:49" x14ac:dyDescent="0.2">
      <c r="A924" s="1" t="str">
        <f>"01206"</f>
        <v>01206</v>
      </c>
      <c r="B924" s="1" t="str">
        <f>"عليرضا"</f>
        <v>عليرضا</v>
      </c>
      <c r="C924" s="1" t="str">
        <f>"قايد"</f>
        <v>قايد</v>
      </c>
      <c r="D924" s="1" t="str">
        <f t="shared" si="97"/>
        <v>قراردادي بهره بردار</v>
      </c>
      <c r="E924" s="1" t="str">
        <f>"پروژه تعميرات نيروگاه بوشهر"</f>
        <v>پروژه تعميرات نيروگاه بوشهر</v>
      </c>
      <c r="F924" s="1">
        <v>49934385</v>
      </c>
      <c r="G924" s="1">
        <v>0</v>
      </c>
      <c r="H924" s="1">
        <v>0</v>
      </c>
      <c r="I924" s="1">
        <v>0</v>
      </c>
      <c r="J924" s="1">
        <v>0</v>
      </c>
      <c r="K924" s="1">
        <v>61961439</v>
      </c>
      <c r="L924" s="1">
        <v>0</v>
      </c>
      <c r="M924" s="1">
        <v>5500000</v>
      </c>
      <c r="N924" s="1">
        <v>0</v>
      </c>
      <c r="O924" s="1">
        <v>1000000</v>
      </c>
      <c r="P924" s="1">
        <v>8165825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1848000</v>
      </c>
      <c r="W924" s="1">
        <v>0</v>
      </c>
      <c r="X924" s="1">
        <v>13738720</v>
      </c>
      <c r="Y924" s="1">
        <v>4000000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6416005</v>
      </c>
      <c r="AH924" s="1">
        <v>5506281</v>
      </c>
      <c r="AI924" s="1">
        <v>2743717</v>
      </c>
      <c r="AJ924" s="1">
        <v>0</v>
      </c>
      <c r="AK924" s="1">
        <v>0</v>
      </c>
      <c r="AL924" s="1">
        <v>0</v>
      </c>
      <c r="AM924" s="1">
        <v>0</v>
      </c>
      <c r="AN924" s="1">
        <v>8165825</v>
      </c>
      <c r="AO924" s="1">
        <v>0</v>
      </c>
      <c r="AP924" s="1">
        <v>0</v>
      </c>
      <c r="AQ924" s="1">
        <v>0</v>
      </c>
      <c r="AR924" s="1">
        <v>168980197</v>
      </c>
      <c r="AS924" s="1">
        <v>55014496</v>
      </c>
      <c r="AT924" s="1">
        <v>113965701</v>
      </c>
      <c r="AU924" s="1">
        <v>27637511</v>
      </c>
      <c r="AV924" s="1">
        <v>4145627</v>
      </c>
      <c r="AW924" s="1">
        <f t="shared" si="94"/>
        <v>200763335</v>
      </c>
    </row>
    <row r="925" spans="1:49" x14ac:dyDescent="0.2">
      <c r="A925" s="1" t="str">
        <f>"01207"</f>
        <v>01207</v>
      </c>
      <c r="B925" s="1" t="str">
        <f>"ابوالفضل"</f>
        <v>ابوالفضل</v>
      </c>
      <c r="C925" s="1" t="str">
        <f>"شهابي"</f>
        <v>شهابي</v>
      </c>
      <c r="D925" s="1" t="str">
        <f t="shared" si="97"/>
        <v>قراردادي بهره بردار</v>
      </c>
      <c r="E925" s="1" t="str">
        <f>"پروژه بهره برداري نيروگاه بوشهر"</f>
        <v>پروژه بهره برداري نيروگاه بوشهر</v>
      </c>
      <c r="F925" s="1">
        <v>25134724</v>
      </c>
      <c r="G925" s="1">
        <v>0</v>
      </c>
      <c r="H925" s="1">
        <v>0</v>
      </c>
      <c r="I925" s="1">
        <v>3082614</v>
      </c>
      <c r="J925" s="1">
        <v>0</v>
      </c>
      <c r="K925" s="1">
        <v>20592803</v>
      </c>
      <c r="L925" s="1">
        <v>0</v>
      </c>
      <c r="M925" s="1">
        <v>5500000</v>
      </c>
      <c r="N925" s="1">
        <v>0</v>
      </c>
      <c r="O925" s="1">
        <v>1000000</v>
      </c>
      <c r="P925" s="1">
        <v>3705086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1848000</v>
      </c>
      <c r="W925" s="1">
        <v>0</v>
      </c>
      <c r="X925" s="1">
        <v>5673382</v>
      </c>
      <c r="Y925" s="1">
        <v>4000000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2911139</v>
      </c>
      <c r="AH925" s="1">
        <v>1835427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4390074</v>
      </c>
      <c r="AO925" s="1">
        <v>0</v>
      </c>
      <c r="AP925" s="1">
        <v>0</v>
      </c>
      <c r="AQ925" s="1">
        <v>0</v>
      </c>
      <c r="AR925" s="1">
        <v>79673249</v>
      </c>
      <c r="AS925" s="1">
        <v>27935146</v>
      </c>
      <c r="AT925" s="1">
        <v>51738103</v>
      </c>
      <c r="AU925" s="1">
        <v>15567564</v>
      </c>
      <c r="AV925" s="1">
        <v>2335135</v>
      </c>
      <c r="AW925" s="1">
        <f t="shared" si="94"/>
        <v>97575948</v>
      </c>
    </row>
    <row r="926" spans="1:49" x14ac:dyDescent="0.2">
      <c r="A926" s="1" t="str">
        <f>"01208"</f>
        <v>01208</v>
      </c>
      <c r="B926" s="1" t="str">
        <f>"عليرضا"</f>
        <v>عليرضا</v>
      </c>
      <c r="C926" s="1" t="str">
        <f>"فياض"</f>
        <v>فياض</v>
      </c>
      <c r="D926" s="1" t="str">
        <f t="shared" ref="D926:D933" si="98">"قراردادي کارگري"</f>
        <v>قراردادي کارگري</v>
      </c>
      <c r="E926" s="1" t="str">
        <f t="shared" ref="E926:E933" si="99">"پروژه تعميرات نيروگاه بوشهر"</f>
        <v>پروژه تعميرات نيروگاه بوشهر</v>
      </c>
      <c r="F926" s="1">
        <v>0</v>
      </c>
      <c r="G926" s="1">
        <v>5380773</v>
      </c>
      <c r="H926" s="1">
        <v>2690387</v>
      </c>
      <c r="I926" s="1">
        <v>3372191</v>
      </c>
      <c r="J926" s="1">
        <v>0</v>
      </c>
      <c r="K926" s="1">
        <v>5407677</v>
      </c>
      <c r="L926" s="1">
        <v>0</v>
      </c>
      <c r="M926" s="1">
        <v>0</v>
      </c>
      <c r="N926" s="1">
        <v>11521166</v>
      </c>
      <c r="O926" s="1">
        <v>2000000</v>
      </c>
      <c r="P926" s="1">
        <v>4304619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2640000</v>
      </c>
      <c r="W926" s="1">
        <v>0</v>
      </c>
      <c r="X926" s="1">
        <v>7455970</v>
      </c>
      <c r="Y926" s="1">
        <v>4000000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48772783</v>
      </c>
      <c r="AS926" s="1">
        <v>7669964</v>
      </c>
      <c r="AT926" s="1">
        <v>41102819</v>
      </c>
      <c r="AU926" s="1">
        <v>9754557</v>
      </c>
      <c r="AV926" s="1">
        <v>1463183</v>
      </c>
      <c r="AW926" s="1">
        <f t="shared" si="94"/>
        <v>59990523</v>
      </c>
    </row>
    <row r="927" spans="1:49" x14ac:dyDescent="0.2">
      <c r="A927" s="1" t="str">
        <f>"01209"</f>
        <v>01209</v>
      </c>
      <c r="B927" s="1" t="str">
        <f>"اسماعيل"</f>
        <v>اسماعيل</v>
      </c>
      <c r="C927" s="1" t="str">
        <f>"انصاري"</f>
        <v>انصاري</v>
      </c>
      <c r="D927" s="1" t="str">
        <f t="shared" si="98"/>
        <v>قراردادي کارگري</v>
      </c>
      <c r="E927" s="1" t="str">
        <f t="shared" si="99"/>
        <v>پروژه تعميرات نيروگاه بوشهر</v>
      </c>
      <c r="F927" s="1">
        <v>0</v>
      </c>
      <c r="G927" s="1">
        <v>5624078</v>
      </c>
      <c r="H927" s="1">
        <v>2812039</v>
      </c>
      <c r="I927" s="1">
        <v>1425836</v>
      </c>
      <c r="J927" s="1">
        <v>0</v>
      </c>
      <c r="K927" s="1">
        <v>5061670</v>
      </c>
      <c r="L927" s="1">
        <v>0</v>
      </c>
      <c r="M927" s="1">
        <v>0</v>
      </c>
      <c r="N927" s="1">
        <v>11521166</v>
      </c>
      <c r="O927" s="1">
        <v>2000000</v>
      </c>
      <c r="P927" s="1">
        <v>4499263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10894055</v>
      </c>
      <c r="Y927" s="1">
        <v>4000000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4427732</v>
      </c>
      <c r="AG927" s="1">
        <v>0</v>
      </c>
      <c r="AH927" s="1">
        <v>3670854</v>
      </c>
      <c r="AI927" s="1">
        <v>0</v>
      </c>
      <c r="AJ927" s="1">
        <v>0</v>
      </c>
      <c r="AK927" s="1">
        <v>0</v>
      </c>
      <c r="AL927" s="1">
        <v>3650140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59586833</v>
      </c>
      <c r="AS927" s="1">
        <v>8799790</v>
      </c>
      <c r="AT927" s="1">
        <v>50787043</v>
      </c>
      <c r="AU927" s="1">
        <v>11183196</v>
      </c>
      <c r="AV927" s="1">
        <v>1677479</v>
      </c>
      <c r="AW927" s="1">
        <f t="shared" si="94"/>
        <v>72447508</v>
      </c>
    </row>
    <row r="928" spans="1:49" x14ac:dyDescent="0.2">
      <c r="A928" s="1" t="str">
        <f>"01210"</f>
        <v>01210</v>
      </c>
      <c r="B928" s="1" t="str">
        <f>"رضا"</f>
        <v>رضا</v>
      </c>
      <c r="C928" s="1" t="str">
        <f>"يادگاري"</f>
        <v>يادگاري</v>
      </c>
      <c r="D928" s="1" t="str">
        <f t="shared" si="98"/>
        <v>قراردادي کارگري</v>
      </c>
      <c r="E928" s="1" t="str">
        <f t="shared" si="99"/>
        <v>پروژه تعميرات نيروگاه بوشهر</v>
      </c>
      <c r="F928" s="1">
        <v>0</v>
      </c>
      <c r="G928" s="1">
        <v>5034532</v>
      </c>
      <c r="H928" s="1">
        <v>2517266</v>
      </c>
      <c r="I928" s="1">
        <v>0</v>
      </c>
      <c r="J928" s="1">
        <v>0</v>
      </c>
      <c r="K928" s="1">
        <v>4531079</v>
      </c>
      <c r="L928" s="1">
        <v>0</v>
      </c>
      <c r="M928" s="1">
        <v>0</v>
      </c>
      <c r="N928" s="1">
        <v>11521166</v>
      </c>
      <c r="O928" s="1">
        <v>2000000</v>
      </c>
      <c r="P928" s="1">
        <v>4027625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2640000</v>
      </c>
      <c r="W928" s="1">
        <v>0</v>
      </c>
      <c r="X928" s="1">
        <v>10318659</v>
      </c>
      <c r="Y928" s="1">
        <v>4000000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3670854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50261181</v>
      </c>
      <c r="AS928" s="1">
        <v>8185309</v>
      </c>
      <c r="AT928" s="1">
        <v>42075872</v>
      </c>
      <c r="AU928" s="1">
        <v>9318065</v>
      </c>
      <c r="AV928" s="1">
        <v>1397710</v>
      </c>
      <c r="AW928" s="1">
        <f t="shared" si="94"/>
        <v>60976956</v>
      </c>
    </row>
    <row r="929" spans="1:49" x14ac:dyDescent="0.2">
      <c r="A929" s="1" t="str">
        <f>"01211"</f>
        <v>01211</v>
      </c>
      <c r="B929" s="1" t="str">
        <f>"اميد"</f>
        <v>اميد</v>
      </c>
      <c r="C929" s="1" t="str">
        <f>"غريبي"</f>
        <v>غريبي</v>
      </c>
      <c r="D929" s="1" t="str">
        <f t="shared" si="98"/>
        <v>قراردادي کارگري</v>
      </c>
      <c r="E929" s="1" t="str">
        <f t="shared" si="99"/>
        <v>پروژه تعميرات نيروگاه بوشهر</v>
      </c>
      <c r="F929" s="1">
        <v>0</v>
      </c>
      <c r="G929" s="1">
        <v>5123432</v>
      </c>
      <c r="H929" s="1">
        <v>2561716</v>
      </c>
      <c r="I929" s="1">
        <v>0</v>
      </c>
      <c r="J929" s="1">
        <v>0</v>
      </c>
      <c r="K929" s="1">
        <v>4611089</v>
      </c>
      <c r="L929" s="1">
        <v>0</v>
      </c>
      <c r="M929" s="1">
        <v>0</v>
      </c>
      <c r="N929" s="1">
        <v>11521166</v>
      </c>
      <c r="O929" s="1">
        <v>2000000</v>
      </c>
      <c r="P929" s="1">
        <v>4098746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2640000</v>
      </c>
      <c r="W929" s="1">
        <v>0</v>
      </c>
      <c r="X929" s="1">
        <v>10234844</v>
      </c>
      <c r="Y929" s="1">
        <v>4000000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1835427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48626420</v>
      </c>
      <c r="AS929" s="1">
        <v>5485675</v>
      </c>
      <c r="AT929" s="1">
        <v>43140745</v>
      </c>
      <c r="AU929" s="1">
        <v>9358199</v>
      </c>
      <c r="AV929" s="1">
        <v>1403730</v>
      </c>
      <c r="AW929" s="1">
        <f t="shared" si="94"/>
        <v>59388349</v>
      </c>
    </row>
    <row r="930" spans="1:49" x14ac:dyDescent="0.2">
      <c r="A930" s="1" t="str">
        <f>"01212"</f>
        <v>01212</v>
      </c>
      <c r="B930" s="1" t="str">
        <f>"پيمان"</f>
        <v>پيمان</v>
      </c>
      <c r="C930" s="1" t="str">
        <f>"زارعي"</f>
        <v>زارعي</v>
      </c>
      <c r="D930" s="1" t="str">
        <f t="shared" si="98"/>
        <v>قراردادي کارگري</v>
      </c>
      <c r="E930" s="1" t="str">
        <f t="shared" si="99"/>
        <v>پروژه تعميرات نيروگاه بوشهر</v>
      </c>
      <c r="F930" s="1">
        <v>0</v>
      </c>
      <c r="G930" s="1">
        <v>5062606</v>
      </c>
      <c r="H930" s="1">
        <v>2531303</v>
      </c>
      <c r="I930" s="1">
        <v>3209101</v>
      </c>
      <c r="J930" s="1">
        <v>0</v>
      </c>
      <c r="K930" s="1">
        <v>4556345</v>
      </c>
      <c r="L930" s="1">
        <v>0</v>
      </c>
      <c r="M930" s="1">
        <v>0</v>
      </c>
      <c r="N930" s="1">
        <v>11521166</v>
      </c>
      <c r="O930" s="1">
        <v>2000000</v>
      </c>
      <c r="P930" s="1">
        <v>4050085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2640000</v>
      </c>
      <c r="W930" s="1">
        <v>0</v>
      </c>
      <c r="X930" s="1">
        <v>10176452</v>
      </c>
      <c r="Y930" s="1">
        <v>4000000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49747058</v>
      </c>
      <c r="AS930" s="1">
        <v>7144771</v>
      </c>
      <c r="AT930" s="1">
        <v>42602287</v>
      </c>
      <c r="AU930" s="1">
        <v>9949412</v>
      </c>
      <c r="AV930" s="1">
        <v>1492412</v>
      </c>
      <c r="AW930" s="1">
        <f t="shared" si="94"/>
        <v>61188882</v>
      </c>
    </row>
    <row r="931" spans="1:49" x14ac:dyDescent="0.2">
      <c r="A931" s="1" t="str">
        <f>"01214"</f>
        <v>01214</v>
      </c>
      <c r="B931" s="1" t="str">
        <f>"سيدمحمد"</f>
        <v>سيدمحمد</v>
      </c>
      <c r="C931" s="1" t="str">
        <f>"مساوات"</f>
        <v>مساوات</v>
      </c>
      <c r="D931" s="1" t="str">
        <f t="shared" si="98"/>
        <v>قراردادي کارگري</v>
      </c>
      <c r="E931" s="1" t="str">
        <f t="shared" si="99"/>
        <v>پروژه تعميرات نيروگاه بوشهر</v>
      </c>
      <c r="F931" s="1">
        <v>0</v>
      </c>
      <c r="G931" s="1">
        <v>5198295</v>
      </c>
      <c r="H931" s="1">
        <v>2599147</v>
      </c>
      <c r="I931" s="1">
        <v>0</v>
      </c>
      <c r="J931" s="1">
        <v>0</v>
      </c>
      <c r="K931" s="1">
        <v>4678465</v>
      </c>
      <c r="L931" s="1">
        <v>0</v>
      </c>
      <c r="M931" s="1">
        <v>0</v>
      </c>
      <c r="N931" s="1">
        <v>11521166</v>
      </c>
      <c r="O931" s="1">
        <v>2000000</v>
      </c>
      <c r="P931" s="1">
        <v>4158636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2640000</v>
      </c>
      <c r="W931" s="1">
        <v>0</v>
      </c>
      <c r="X931" s="1">
        <v>10306713</v>
      </c>
      <c r="Y931" s="1">
        <v>4000000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47102422</v>
      </c>
      <c r="AS931" s="1">
        <v>5352895</v>
      </c>
      <c r="AT931" s="1">
        <v>41749527</v>
      </c>
      <c r="AU931" s="1">
        <v>9420484</v>
      </c>
      <c r="AV931" s="1">
        <v>1413073</v>
      </c>
      <c r="AW931" s="1">
        <f t="shared" si="94"/>
        <v>57935979</v>
      </c>
    </row>
    <row r="932" spans="1:49" x14ac:dyDescent="0.2">
      <c r="A932" s="1" t="str">
        <f>"01215"</f>
        <v>01215</v>
      </c>
      <c r="B932" s="1" t="str">
        <f>"عبدالمحمد"</f>
        <v>عبدالمحمد</v>
      </c>
      <c r="C932" s="1" t="str">
        <f>"ماهيني"</f>
        <v>ماهيني</v>
      </c>
      <c r="D932" s="1" t="str">
        <f t="shared" si="98"/>
        <v>قراردادي کارگري</v>
      </c>
      <c r="E932" s="1" t="str">
        <f t="shared" si="99"/>
        <v>پروژه تعميرات نيروگاه بوشهر</v>
      </c>
      <c r="F932" s="1">
        <v>0</v>
      </c>
      <c r="G932" s="1">
        <v>4809943</v>
      </c>
      <c r="H932" s="1">
        <v>2404972</v>
      </c>
      <c r="I932" s="1">
        <v>517680</v>
      </c>
      <c r="J932" s="1">
        <v>0</v>
      </c>
      <c r="K932" s="1">
        <v>4328950</v>
      </c>
      <c r="L932" s="1">
        <v>0</v>
      </c>
      <c r="M932" s="1">
        <v>0</v>
      </c>
      <c r="N932" s="1">
        <v>11521166</v>
      </c>
      <c r="O932" s="1">
        <v>2000000</v>
      </c>
      <c r="P932" s="1">
        <v>3847955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9768330</v>
      </c>
      <c r="Y932" s="1">
        <v>4000000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4036948</v>
      </c>
      <c r="AG932" s="1">
        <v>0</v>
      </c>
      <c r="AH932" s="1">
        <v>1835427</v>
      </c>
      <c r="AI932" s="1">
        <v>0</v>
      </c>
      <c r="AJ932" s="1">
        <v>0</v>
      </c>
      <c r="AK932" s="1">
        <v>0</v>
      </c>
      <c r="AL932" s="1">
        <v>11596029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60667400</v>
      </c>
      <c r="AS932" s="1">
        <v>7234924</v>
      </c>
      <c r="AT932" s="1">
        <v>53432476</v>
      </c>
      <c r="AU932" s="1">
        <v>11766395</v>
      </c>
      <c r="AV932" s="1">
        <v>1764959</v>
      </c>
      <c r="AW932" s="1">
        <f t="shared" si="94"/>
        <v>74198754</v>
      </c>
    </row>
    <row r="933" spans="1:49" x14ac:dyDescent="0.2">
      <c r="A933" s="1" t="str">
        <f>"01216"</f>
        <v>01216</v>
      </c>
      <c r="B933" s="1" t="str">
        <f>"محمدصادق"</f>
        <v>محمدصادق</v>
      </c>
      <c r="C933" s="1" t="str">
        <f>"احمدي"</f>
        <v>احمدي</v>
      </c>
      <c r="D933" s="1" t="str">
        <f t="shared" si="98"/>
        <v>قراردادي کارگري</v>
      </c>
      <c r="E933" s="1" t="str">
        <f t="shared" si="99"/>
        <v>پروژه تعميرات نيروگاه بوشهر</v>
      </c>
      <c r="F933" s="1">
        <v>0</v>
      </c>
      <c r="G933" s="1">
        <v>4599391</v>
      </c>
      <c r="H933" s="1">
        <v>2299696</v>
      </c>
      <c r="I933" s="1">
        <v>2332260</v>
      </c>
      <c r="J933" s="1">
        <v>0</v>
      </c>
      <c r="K933" s="1">
        <v>4139453</v>
      </c>
      <c r="L933" s="1">
        <v>0</v>
      </c>
      <c r="M933" s="1">
        <v>0</v>
      </c>
      <c r="N933" s="1">
        <v>11521166</v>
      </c>
      <c r="O933" s="1">
        <v>2000000</v>
      </c>
      <c r="P933" s="1">
        <v>3679513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2640000</v>
      </c>
      <c r="W933" s="1">
        <v>0</v>
      </c>
      <c r="X933" s="1">
        <v>6812236</v>
      </c>
      <c r="Y933" s="1">
        <v>4000000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1835427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45859142</v>
      </c>
      <c r="AS933" s="1">
        <v>4358860</v>
      </c>
      <c r="AT933" s="1">
        <v>41500282</v>
      </c>
      <c r="AU933" s="1">
        <v>8804743</v>
      </c>
      <c r="AV933" s="1">
        <v>1320711</v>
      </c>
      <c r="AW933" s="1">
        <f t="shared" si="94"/>
        <v>55984596</v>
      </c>
    </row>
    <row r="934" spans="1:49" x14ac:dyDescent="0.2">
      <c r="A934" s="1" t="str">
        <f>"01217"</f>
        <v>01217</v>
      </c>
      <c r="B934" s="1" t="str">
        <f>"ابراهيم"</f>
        <v>ابراهيم</v>
      </c>
      <c r="C934" s="1" t="str">
        <f>"محمدي نژاد"</f>
        <v>محمدي نژاد</v>
      </c>
      <c r="D934" s="1" t="str">
        <f>"قراردادي بهره بردار"</f>
        <v>قراردادي بهره بردار</v>
      </c>
      <c r="E934" s="1" t="str">
        <f>"پروژه بهره برداري نيروگاه بوشهر"</f>
        <v>پروژه بهره برداري نيروگاه بوشهر</v>
      </c>
      <c r="F934" s="1">
        <v>16833740</v>
      </c>
      <c r="G934" s="1">
        <v>0</v>
      </c>
      <c r="H934" s="1">
        <v>0</v>
      </c>
      <c r="I934" s="1">
        <v>36751857</v>
      </c>
      <c r="J934" s="1">
        <v>0</v>
      </c>
      <c r="K934" s="1">
        <v>16834738</v>
      </c>
      <c r="L934" s="1">
        <v>0</v>
      </c>
      <c r="M934" s="1">
        <v>4620000</v>
      </c>
      <c r="N934" s="1">
        <v>0</v>
      </c>
      <c r="O934" s="1">
        <v>1000000</v>
      </c>
      <c r="P934" s="1">
        <v>3299484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9907919</v>
      </c>
      <c r="Y934" s="1">
        <v>4000000</v>
      </c>
      <c r="Z934" s="1">
        <v>2443607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2592451</v>
      </c>
      <c r="AH934" s="1">
        <v>1835427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13281826</v>
      </c>
      <c r="AO934" s="1">
        <v>0</v>
      </c>
      <c r="AP934" s="1">
        <v>0</v>
      </c>
      <c r="AQ934" s="1">
        <v>0</v>
      </c>
      <c r="AR934" s="1">
        <v>113401049</v>
      </c>
      <c r="AS934" s="1">
        <v>44858799</v>
      </c>
      <c r="AT934" s="1">
        <v>68542250</v>
      </c>
      <c r="AU934" s="1">
        <v>22313124</v>
      </c>
      <c r="AV934" s="1">
        <v>3346969</v>
      </c>
      <c r="AW934" s="1">
        <f t="shared" si="94"/>
        <v>139061142</v>
      </c>
    </row>
    <row r="935" spans="1:49" x14ac:dyDescent="0.2">
      <c r="A935" s="1" t="str">
        <f>"01218"</f>
        <v>01218</v>
      </c>
      <c r="B935" s="1" t="str">
        <f>"عليرضا"</f>
        <v>عليرضا</v>
      </c>
      <c r="C935" s="1" t="str">
        <f>"حاجياني"</f>
        <v>حاجياني</v>
      </c>
      <c r="D935" s="1" t="str">
        <f>"قراردادي بهره بردار"</f>
        <v>قراردادي بهره بردار</v>
      </c>
      <c r="E935" s="1" t="str">
        <f>"پروژه بهره برداري نيروگاه بوشهر"</f>
        <v>پروژه بهره برداري نيروگاه بوشهر</v>
      </c>
      <c r="F935" s="1">
        <v>16695180</v>
      </c>
      <c r="G935" s="1">
        <v>0</v>
      </c>
      <c r="H935" s="1">
        <v>0</v>
      </c>
      <c r="I935" s="1">
        <v>23558175</v>
      </c>
      <c r="J935" s="1">
        <v>0</v>
      </c>
      <c r="K935" s="1">
        <v>17532816</v>
      </c>
      <c r="L935" s="1">
        <v>0</v>
      </c>
      <c r="M935" s="1">
        <v>4620000</v>
      </c>
      <c r="N935" s="1">
        <v>0</v>
      </c>
      <c r="O935" s="1">
        <v>1000000</v>
      </c>
      <c r="P935" s="1">
        <v>3250988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9834059</v>
      </c>
      <c r="Y935" s="1">
        <v>4000000</v>
      </c>
      <c r="Z935" s="1">
        <v>2423494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2554347</v>
      </c>
      <c r="AH935" s="1">
        <v>3670854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13123742</v>
      </c>
      <c r="AO935" s="1">
        <v>0</v>
      </c>
      <c r="AP935" s="1">
        <v>0</v>
      </c>
      <c r="AQ935" s="1">
        <v>0</v>
      </c>
      <c r="AR935" s="1">
        <v>102263655</v>
      </c>
      <c r="AS935" s="1">
        <v>55103080</v>
      </c>
      <c r="AT935" s="1">
        <v>47160575</v>
      </c>
      <c r="AU935" s="1">
        <v>19718560</v>
      </c>
      <c r="AV935" s="1">
        <v>2957784</v>
      </c>
      <c r="AW935" s="1">
        <f t="shared" si="94"/>
        <v>124939999</v>
      </c>
    </row>
    <row r="936" spans="1:49" x14ac:dyDescent="0.2">
      <c r="A936" s="1" t="str">
        <f>"01219"</f>
        <v>01219</v>
      </c>
      <c r="B936" s="1" t="str">
        <f>"محسن"</f>
        <v>محسن</v>
      </c>
      <c r="C936" s="1" t="str">
        <f>"قيصي زاده"</f>
        <v>قيصي زاده</v>
      </c>
      <c r="D936" s="1" t="str">
        <f>"قراردادي بهره بردار"</f>
        <v>قراردادي بهره بردار</v>
      </c>
      <c r="E936" s="1" t="str">
        <f>"پروژه بهره برداري نيروگاه بوشهر"</f>
        <v>پروژه بهره برداري نيروگاه بوشهر</v>
      </c>
      <c r="F936" s="1">
        <v>27613682</v>
      </c>
      <c r="G936" s="1">
        <v>0</v>
      </c>
      <c r="H936" s="1">
        <v>0</v>
      </c>
      <c r="I936" s="1">
        <v>8452231</v>
      </c>
      <c r="J936" s="1">
        <v>0</v>
      </c>
      <c r="K936" s="1">
        <v>21616171</v>
      </c>
      <c r="L936" s="1">
        <v>0</v>
      </c>
      <c r="M936" s="1">
        <v>5500000</v>
      </c>
      <c r="N936" s="1">
        <v>0</v>
      </c>
      <c r="O936" s="1">
        <v>1000000</v>
      </c>
      <c r="P936" s="1">
        <v>3795906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1848000</v>
      </c>
      <c r="W936" s="1">
        <v>0</v>
      </c>
      <c r="X936" s="1">
        <v>7410865</v>
      </c>
      <c r="Y936" s="1">
        <v>4000000</v>
      </c>
      <c r="Z936" s="1">
        <v>0</v>
      </c>
      <c r="AA936" s="1">
        <v>0</v>
      </c>
      <c r="AB936" s="1">
        <v>7445025</v>
      </c>
      <c r="AC936" s="1">
        <v>0</v>
      </c>
      <c r="AD936" s="1">
        <v>0</v>
      </c>
      <c r="AE936" s="1">
        <v>0</v>
      </c>
      <c r="AF936" s="1">
        <v>0</v>
      </c>
      <c r="AG936" s="1">
        <v>2982497</v>
      </c>
      <c r="AH936" s="1">
        <v>1835427</v>
      </c>
      <c r="AI936" s="1">
        <v>18884519</v>
      </c>
      <c r="AJ936" s="1">
        <v>0</v>
      </c>
      <c r="AK936" s="1">
        <v>0</v>
      </c>
      <c r="AL936" s="1">
        <v>0</v>
      </c>
      <c r="AM936" s="1">
        <v>0</v>
      </c>
      <c r="AN936" s="1">
        <v>3253633</v>
      </c>
      <c r="AO936" s="1">
        <v>0</v>
      </c>
      <c r="AP936" s="1">
        <v>0</v>
      </c>
      <c r="AQ936" s="1">
        <v>0</v>
      </c>
      <c r="AR936" s="1">
        <v>115637956</v>
      </c>
      <c r="AS936" s="1">
        <v>14827761</v>
      </c>
      <c r="AT936" s="1">
        <v>100810195</v>
      </c>
      <c r="AU936" s="1">
        <v>21271501</v>
      </c>
      <c r="AV936" s="1">
        <v>3190725</v>
      </c>
      <c r="AW936" s="1">
        <f t="shared" si="94"/>
        <v>140100182</v>
      </c>
    </row>
    <row r="937" spans="1:49" x14ac:dyDescent="0.2">
      <c r="A937" s="1" t="str">
        <f>"01220"</f>
        <v>01220</v>
      </c>
      <c r="B937" s="1" t="str">
        <f>"امير"</f>
        <v>امير</v>
      </c>
      <c r="C937" s="1" t="str">
        <f>"عالي پور"</f>
        <v>عالي پور</v>
      </c>
      <c r="D937" s="1" t="str">
        <f>"قراردادي کارگري"</f>
        <v>قراردادي کارگري</v>
      </c>
      <c r="E937" s="1" t="str">
        <f>"پروژه تعميرات نيروگاه بوشهر"</f>
        <v>پروژه تعميرات نيروگاه بوشهر</v>
      </c>
      <c r="F937" s="1">
        <v>0</v>
      </c>
      <c r="G937" s="1">
        <v>4402876</v>
      </c>
      <c r="H937" s="1">
        <v>2201438</v>
      </c>
      <c r="I937" s="1">
        <v>1893540</v>
      </c>
      <c r="J937" s="1">
        <v>0</v>
      </c>
      <c r="K937" s="1">
        <v>3962588</v>
      </c>
      <c r="L937" s="1">
        <v>0</v>
      </c>
      <c r="M937" s="1">
        <v>0</v>
      </c>
      <c r="N937" s="1">
        <v>11521166</v>
      </c>
      <c r="O937" s="1">
        <v>2000000</v>
      </c>
      <c r="P937" s="1">
        <v>3522301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12724147</v>
      </c>
      <c r="Y937" s="1">
        <v>4000000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3841555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3462472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53532083</v>
      </c>
      <c r="AS937" s="1">
        <v>8414804</v>
      </c>
      <c r="AT937" s="1">
        <v>45117279</v>
      </c>
      <c r="AU937" s="1">
        <v>10706417</v>
      </c>
      <c r="AV937" s="1">
        <v>1605962</v>
      </c>
      <c r="AW937" s="1">
        <f t="shared" si="94"/>
        <v>65844462</v>
      </c>
    </row>
    <row r="938" spans="1:49" x14ac:dyDescent="0.2">
      <c r="A938" s="1" t="str">
        <f>"01221"</f>
        <v>01221</v>
      </c>
      <c r="B938" s="1" t="str">
        <f>"بهروز"</f>
        <v>بهروز</v>
      </c>
      <c r="C938" s="1" t="str">
        <f>"ايسپره"</f>
        <v>ايسپره</v>
      </c>
      <c r="D938" s="1" t="str">
        <f t="shared" ref="D938:D949" si="100">"قراردادي بهره بردار"</f>
        <v>قراردادي بهره بردار</v>
      </c>
      <c r="E938" s="1" t="str">
        <f t="shared" ref="E938:E949" si="101">"پروژه بهره برداري نيروگاه بوشهر"</f>
        <v>پروژه بهره برداري نيروگاه بوشهر</v>
      </c>
      <c r="F938" s="1">
        <v>19615010</v>
      </c>
      <c r="G938" s="1">
        <v>0</v>
      </c>
      <c r="H938" s="1">
        <v>0</v>
      </c>
      <c r="I938" s="1">
        <v>3647671</v>
      </c>
      <c r="J938" s="1">
        <v>0</v>
      </c>
      <c r="K938" s="1">
        <v>16090090</v>
      </c>
      <c r="L938" s="1">
        <v>0</v>
      </c>
      <c r="M938" s="1">
        <v>0</v>
      </c>
      <c r="N938" s="1">
        <v>0</v>
      </c>
      <c r="O938" s="1">
        <v>1000000</v>
      </c>
      <c r="P938" s="1">
        <v>3201610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1848000</v>
      </c>
      <c r="W938" s="1">
        <v>0</v>
      </c>
      <c r="X938" s="1">
        <v>4699337</v>
      </c>
      <c r="Y938" s="1">
        <v>4000000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2515551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5571106</v>
      </c>
      <c r="AO938" s="1">
        <v>0</v>
      </c>
      <c r="AP938" s="1">
        <v>0</v>
      </c>
      <c r="AQ938" s="1">
        <v>0</v>
      </c>
      <c r="AR938" s="1">
        <v>62188375</v>
      </c>
      <c r="AS938" s="1">
        <v>33774963</v>
      </c>
      <c r="AT938" s="1">
        <v>28413412</v>
      </c>
      <c r="AU938" s="1">
        <v>12437675</v>
      </c>
      <c r="AV938" s="1">
        <v>1865651</v>
      </c>
      <c r="AW938" s="1">
        <f t="shared" si="94"/>
        <v>76491701</v>
      </c>
    </row>
    <row r="939" spans="1:49" x14ac:dyDescent="0.2">
      <c r="A939" s="1" t="str">
        <f>"01222"</f>
        <v>01222</v>
      </c>
      <c r="B939" s="1" t="str">
        <f>"محمد"</f>
        <v>محمد</v>
      </c>
      <c r="C939" s="1" t="str">
        <f>"اومن"</f>
        <v>اومن</v>
      </c>
      <c r="D939" s="1" t="str">
        <f t="shared" si="100"/>
        <v>قراردادي بهره بردار</v>
      </c>
      <c r="E939" s="1" t="str">
        <f t="shared" si="101"/>
        <v>پروژه بهره برداري نيروگاه بوشهر</v>
      </c>
      <c r="F939" s="1">
        <v>19766166</v>
      </c>
      <c r="G939" s="1">
        <v>0</v>
      </c>
      <c r="H939" s="1">
        <v>0</v>
      </c>
      <c r="I939" s="1">
        <v>3137204</v>
      </c>
      <c r="J939" s="1">
        <v>0</v>
      </c>
      <c r="K939" s="1">
        <v>14441220</v>
      </c>
      <c r="L939" s="1">
        <v>0</v>
      </c>
      <c r="M939" s="1">
        <v>4125000</v>
      </c>
      <c r="N939" s="1">
        <v>0</v>
      </c>
      <c r="O939" s="1">
        <v>1000000</v>
      </c>
      <c r="P939" s="1">
        <v>3056123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1848000</v>
      </c>
      <c r="W939" s="1">
        <v>0</v>
      </c>
      <c r="X939" s="1">
        <v>10585394</v>
      </c>
      <c r="Y939" s="1">
        <v>4000000</v>
      </c>
      <c r="Z939" s="1">
        <v>2869282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2401239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13262226</v>
      </c>
      <c r="AO939" s="1">
        <v>0</v>
      </c>
      <c r="AP939" s="1">
        <v>0</v>
      </c>
      <c r="AQ939" s="1">
        <v>0</v>
      </c>
      <c r="AR939" s="1">
        <v>80491854</v>
      </c>
      <c r="AS939" s="1">
        <v>20923378</v>
      </c>
      <c r="AT939" s="1">
        <v>59568476</v>
      </c>
      <c r="AU939" s="1">
        <v>16098371</v>
      </c>
      <c r="AV939" s="1">
        <v>2414756</v>
      </c>
      <c r="AW939" s="1">
        <f t="shared" si="94"/>
        <v>99004981</v>
      </c>
    </row>
    <row r="940" spans="1:49" x14ac:dyDescent="0.2">
      <c r="A940" s="1" t="str">
        <f>"01223"</f>
        <v>01223</v>
      </c>
      <c r="B940" s="1" t="str">
        <f>"مهدي"</f>
        <v>مهدي</v>
      </c>
      <c r="C940" s="1" t="str">
        <f>"سالاروند"</f>
        <v>سالاروند</v>
      </c>
      <c r="D940" s="1" t="str">
        <f t="shared" si="100"/>
        <v>قراردادي بهره بردار</v>
      </c>
      <c r="E940" s="1" t="str">
        <f t="shared" si="101"/>
        <v>پروژه بهره برداري نيروگاه بوشهر</v>
      </c>
      <c r="F940" s="1">
        <v>20778911</v>
      </c>
      <c r="G940" s="1">
        <v>0</v>
      </c>
      <c r="H940" s="1">
        <v>0</v>
      </c>
      <c r="I940" s="1">
        <v>4039277</v>
      </c>
      <c r="J940" s="1">
        <v>0</v>
      </c>
      <c r="K940" s="1">
        <v>14722767</v>
      </c>
      <c r="L940" s="1">
        <v>0</v>
      </c>
      <c r="M940" s="1">
        <v>5500000</v>
      </c>
      <c r="N940" s="1">
        <v>0</v>
      </c>
      <c r="O940" s="1">
        <v>1000000</v>
      </c>
      <c r="P940" s="1">
        <v>3410583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1848000</v>
      </c>
      <c r="W940" s="1">
        <v>0</v>
      </c>
      <c r="X940" s="1">
        <v>9540386</v>
      </c>
      <c r="Y940" s="1">
        <v>4000000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2679744</v>
      </c>
      <c r="AH940" s="1">
        <v>1835427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6109927</v>
      </c>
      <c r="AO940" s="1">
        <v>0</v>
      </c>
      <c r="AP940" s="1">
        <v>0</v>
      </c>
      <c r="AQ940" s="1">
        <v>0</v>
      </c>
      <c r="AR940" s="1">
        <v>75465022</v>
      </c>
      <c r="AS940" s="1">
        <v>37295720</v>
      </c>
      <c r="AT940" s="1">
        <v>38169302</v>
      </c>
      <c r="AU940" s="1">
        <v>14725919</v>
      </c>
      <c r="AV940" s="1">
        <v>2208888</v>
      </c>
      <c r="AW940" s="1">
        <f t="shared" si="94"/>
        <v>92399829</v>
      </c>
    </row>
    <row r="941" spans="1:49" x14ac:dyDescent="0.2">
      <c r="A941" s="1" t="str">
        <f>"01224"</f>
        <v>01224</v>
      </c>
      <c r="B941" s="1" t="str">
        <f>"يوسف"</f>
        <v>يوسف</v>
      </c>
      <c r="C941" s="1" t="str">
        <f>"رضايي بانبيدي"</f>
        <v>رضايي بانبيدي</v>
      </c>
      <c r="D941" s="1" t="str">
        <f t="shared" si="100"/>
        <v>قراردادي بهره بردار</v>
      </c>
      <c r="E941" s="1" t="str">
        <f t="shared" si="101"/>
        <v>پروژه بهره برداري نيروگاه بوشهر</v>
      </c>
      <c r="F941" s="1">
        <v>15057657</v>
      </c>
      <c r="G941" s="1">
        <v>0</v>
      </c>
      <c r="H941" s="1">
        <v>0</v>
      </c>
      <c r="I941" s="1">
        <v>12298713</v>
      </c>
      <c r="J941" s="1">
        <v>0</v>
      </c>
      <c r="K941" s="1">
        <v>11068824</v>
      </c>
      <c r="L941" s="1">
        <v>0</v>
      </c>
      <c r="M941" s="1">
        <v>4620000</v>
      </c>
      <c r="N941" s="1">
        <v>0</v>
      </c>
      <c r="O941" s="1">
        <v>1000000</v>
      </c>
      <c r="P941" s="1">
        <v>2942377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1848000</v>
      </c>
      <c r="W941" s="1">
        <v>0</v>
      </c>
      <c r="X941" s="1">
        <v>6331059</v>
      </c>
      <c r="Y941" s="1">
        <v>4000000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2311868</v>
      </c>
      <c r="AH941" s="1">
        <v>1835427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5860797</v>
      </c>
      <c r="AO941" s="1">
        <v>0</v>
      </c>
      <c r="AP941" s="1">
        <v>0</v>
      </c>
      <c r="AQ941" s="1">
        <v>0</v>
      </c>
      <c r="AR941" s="1">
        <v>69174722</v>
      </c>
      <c r="AS941" s="1">
        <v>21079852</v>
      </c>
      <c r="AT941" s="1">
        <v>48094870</v>
      </c>
      <c r="AU941" s="1">
        <v>13467859</v>
      </c>
      <c r="AV941" s="1">
        <v>2020179</v>
      </c>
      <c r="AW941" s="1">
        <f t="shared" si="94"/>
        <v>84662760</v>
      </c>
    </row>
    <row r="942" spans="1:49" x14ac:dyDescent="0.2">
      <c r="A942" s="1" t="str">
        <f>"01225"</f>
        <v>01225</v>
      </c>
      <c r="B942" s="1" t="str">
        <f>"حامد"</f>
        <v>حامد</v>
      </c>
      <c r="C942" s="1" t="str">
        <f>"علي نژاد"</f>
        <v>علي نژاد</v>
      </c>
      <c r="D942" s="1" t="str">
        <f t="shared" si="100"/>
        <v>قراردادي بهره بردار</v>
      </c>
      <c r="E942" s="1" t="str">
        <f t="shared" si="101"/>
        <v>پروژه بهره برداري نيروگاه بوشهر</v>
      </c>
      <c r="F942" s="1">
        <v>21539730</v>
      </c>
      <c r="G942" s="1">
        <v>0</v>
      </c>
      <c r="H942" s="1">
        <v>0</v>
      </c>
      <c r="I942" s="1">
        <v>4085786</v>
      </c>
      <c r="J942" s="1">
        <v>0</v>
      </c>
      <c r="K942" s="1">
        <v>15188827</v>
      </c>
      <c r="L942" s="1">
        <v>0</v>
      </c>
      <c r="M942" s="1">
        <v>0</v>
      </c>
      <c r="N942" s="1">
        <v>0</v>
      </c>
      <c r="O942" s="1">
        <v>1000000</v>
      </c>
      <c r="P942" s="1">
        <v>3676870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1848000</v>
      </c>
      <c r="W942" s="1">
        <v>0</v>
      </c>
      <c r="X942" s="1">
        <v>9244764</v>
      </c>
      <c r="Y942" s="1">
        <v>4000000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2888970</v>
      </c>
      <c r="AH942" s="1">
        <v>1835427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5362259</v>
      </c>
      <c r="AO942" s="1">
        <v>0</v>
      </c>
      <c r="AP942" s="1">
        <v>0</v>
      </c>
      <c r="AQ942" s="1">
        <v>0</v>
      </c>
      <c r="AR942" s="1">
        <v>70670633</v>
      </c>
      <c r="AS942" s="1">
        <v>29135611</v>
      </c>
      <c r="AT942" s="1">
        <v>41535022</v>
      </c>
      <c r="AU942" s="1">
        <v>13767041</v>
      </c>
      <c r="AV942" s="1">
        <v>2065056</v>
      </c>
      <c r="AW942" s="1">
        <f t="shared" si="94"/>
        <v>86502730</v>
      </c>
    </row>
    <row r="943" spans="1:49" x14ac:dyDescent="0.2">
      <c r="A943" s="1" t="str">
        <f>"01226"</f>
        <v>01226</v>
      </c>
      <c r="B943" s="1" t="str">
        <f>"حيدر"</f>
        <v>حيدر</v>
      </c>
      <c r="C943" s="1" t="str">
        <f>"مير علايي"</f>
        <v>مير علايي</v>
      </c>
      <c r="D943" s="1" t="str">
        <f t="shared" si="100"/>
        <v>قراردادي بهره بردار</v>
      </c>
      <c r="E943" s="1" t="str">
        <f t="shared" si="101"/>
        <v>پروژه بهره برداري نيروگاه بوشهر</v>
      </c>
      <c r="F943" s="1">
        <v>15037503</v>
      </c>
      <c r="G943" s="1">
        <v>0</v>
      </c>
      <c r="H943" s="1">
        <v>0</v>
      </c>
      <c r="I943" s="1">
        <v>582391</v>
      </c>
      <c r="J943" s="1">
        <v>0</v>
      </c>
      <c r="K943" s="1">
        <v>9878832</v>
      </c>
      <c r="L943" s="1">
        <v>0</v>
      </c>
      <c r="M943" s="1">
        <v>0</v>
      </c>
      <c r="N943" s="1">
        <v>0</v>
      </c>
      <c r="O943" s="1">
        <v>1000000</v>
      </c>
      <c r="P943" s="1">
        <v>2639939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1848000</v>
      </c>
      <c r="W943" s="1">
        <v>0</v>
      </c>
      <c r="X943" s="1">
        <v>6877755</v>
      </c>
      <c r="Y943" s="1">
        <v>4000000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2074238</v>
      </c>
      <c r="AH943" s="1">
        <v>1835427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4758265</v>
      </c>
      <c r="AO943" s="1">
        <v>0</v>
      </c>
      <c r="AP943" s="1">
        <v>0</v>
      </c>
      <c r="AQ943" s="1">
        <v>0</v>
      </c>
      <c r="AR943" s="1">
        <v>50532350</v>
      </c>
      <c r="AS943" s="1">
        <v>27666997</v>
      </c>
      <c r="AT943" s="1">
        <v>22865353</v>
      </c>
      <c r="AU943" s="1">
        <v>9739385</v>
      </c>
      <c r="AV943" s="1">
        <v>1460908</v>
      </c>
      <c r="AW943" s="1">
        <f t="shared" si="94"/>
        <v>61732643</v>
      </c>
    </row>
    <row r="944" spans="1:49" x14ac:dyDescent="0.2">
      <c r="A944" s="1" t="str">
        <f>"01227"</f>
        <v>01227</v>
      </c>
      <c r="B944" s="1" t="str">
        <f>"اصغر"</f>
        <v>اصغر</v>
      </c>
      <c r="C944" s="1" t="str">
        <f>"خسروي"</f>
        <v>خسروي</v>
      </c>
      <c r="D944" s="1" t="str">
        <f t="shared" si="100"/>
        <v>قراردادي بهره بردار</v>
      </c>
      <c r="E944" s="1" t="str">
        <f t="shared" si="101"/>
        <v>پروژه بهره برداري نيروگاه بوشهر</v>
      </c>
      <c r="F944" s="1">
        <v>14629382</v>
      </c>
      <c r="G944" s="1">
        <v>0</v>
      </c>
      <c r="H944" s="1">
        <v>0</v>
      </c>
      <c r="I944" s="1">
        <v>0</v>
      </c>
      <c r="J944" s="1">
        <v>0</v>
      </c>
      <c r="K944" s="1">
        <v>9602252</v>
      </c>
      <c r="L944" s="1">
        <v>0</v>
      </c>
      <c r="M944" s="1">
        <v>4620000</v>
      </c>
      <c r="N944" s="1">
        <v>0</v>
      </c>
      <c r="O944" s="1">
        <v>1000000</v>
      </c>
      <c r="P944" s="1">
        <v>2497098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1848000</v>
      </c>
      <c r="W944" s="1">
        <v>0</v>
      </c>
      <c r="X944" s="1">
        <v>6657680</v>
      </c>
      <c r="Y944" s="1">
        <v>4000000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1962004</v>
      </c>
      <c r="AH944" s="1">
        <v>1835427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4597662</v>
      </c>
      <c r="AO944" s="1">
        <v>0</v>
      </c>
      <c r="AP944" s="1">
        <v>0</v>
      </c>
      <c r="AQ944" s="1">
        <v>0</v>
      </c>
      <c r="AR944" s="1">
        <v>53249505</v>
      </c>
      <c r="AS944" s="1">
        <v>15552040</v>
      </c>
      <c r="AT944" s="1">
        <v>37697465</v>
      </c>
      <c r="AU944" s="1">
        <v>10282816</v>
      </c>
      <c r="AV944" s="1">
        <v>1542422</v>
      </c>
      <c r="AW944" s="1">
        <f t="shared" si="94"/>
        <v>65074743</v>
      </c>
    </row>
    <row r="945" spans="1:49" x14ac:dyDescent="0.2">
      <c r="A945" s="1" t="str">
        <f>"01228"</f>
        <v>01228</v>
      </c>
      <c r="B945" s="1" t="str">
        <f>"پيمان"</f>
        <v>پيمان</v>
      </c>
      <c r="C945" s="1" t="str">
        <f>"قائدي"</f>
        <v>قائدي</v>
      </c>
      <c r="D945" s="1" t="str">
        <f t="shared" si="100"/>
        <v>قراردادي بهره بردار</v>
      </c>
      <c r="E945" s="1" t="str">
        <f t="shared" si="101"/>
        <v>پروژه بهره برداري نيروگاه بوشهر</v>
      </c>
      <c r="F945" s="1">
        <v>15249121</v>
      </c>
      <c r="G945" s="1">
        <v>0</v>
      </c>
      <c r="H945" s="1">
        <v>0</v>
      </c>
      <c r="I945" s="1">
        <v>7383796</v>
      </c>
      <c r="J945" s="1">
        <v>0</v>
      </c>
      <c r="K945" s="1">
        <v>9948981</v>
      </c>
      <c r="L945" s="1">
        <v>0</v>
      </c>
      <c r="M945" s="1">
        <v>0</v>
      </c>
      <c r="N945" s="1">
        <v>0</v>
      </c>
      <c r="O945" s="1">
        <v>1000000</v>
      </c>
      <c r="P945" s="1">
        <v>2714006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1848000</v>
      </c>
      <c r="W945" s="1">
        <v>0</v>
      </c>
      <c r="X945" s="1">
        <v>6975929</v>
      </c>
      <c r="Y945" s="1">
        <v>4000000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2132433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4835103</v>
      </c>
      <c r="AO945" s="1">
        <v>0</v>
      </c>
      <c r="AP945" s="1">
        <v>0</v>
      </c>
      <c r="AQ945" s="1">
        <v>0</v>
      </c>
      <c r="AR945" s="1">
        <v>56087369</v>
      </c>
      <c r="AS945" s="1">
        <v>10334169</v>
      </c>
      <c r="AT945" s="1">
        <v>45753200</v>
      </c>
      <c r="AU945" s="1">
        <v>11217474</v>
      </c>
      <c r="AV945" s="1">
        <v>1682621</v>
      </c>
      <c r="AW945" s="1">
        <f t="shared" si="94"/>
        <v>68987464</v>
      </c>
    </row>
    <row r="946" spans="1:49" x14ac:dyDescent="0.2">
      <c r="A946" s="1" t="str">
        <f>"01229"</f>
        <v>01229</v>
      </c>
      <c r="B946" s="1" t="str">
        <f>"ميثم"</f>
        <v>ميثم</v>
      </c>
      <c r="C946" s="1" t="str">
        <f>"دهقاني"</f>
        <v>دهقاني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17607155</v>
      </c>
      <c r="G946" s="1">
        <v>0</v>
      </c>
      <c r="H946" s="1">
        <v>0</v>
      </c>
      <c r="I946" s="1">
        <v>3524860</v>
      </c>
      <c r="J946" s="1">
        <v>0</v>
      </c>
      <c r="K946" s="1">
        <v>12500235</v>
      </c>
      <c r="L946" s="1">
        <v>0</v>
      </c>
      <c r="M946" s="1">
        <v>4620000</v>
      </c>
      <c r="N946" s="1">
        <v>0</v>
      </c>
      <c r="O946" s="1">
        <v>1000000</v>
      </c>
      <c r="P946" s="1">
        <v>3261569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1848000</v>
      </c>
      <c r="W946" s="1">
        <v>0</v>
      </c>
      <c r="X946" s="1">
        <v>7975578</v>
      </c>
      <c r="Y946" s="1">
        <v>4000000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2562662</v>
      </c>
      <c r="AH946" s="1">
        <v>1835427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6045106</v>
      </c>
      <c r="AO946" s="1">
        <v>0</v>
      </c>
      <c r="AP946" s="1">
        <v>0</v>
      </c>
      <c r="AQ946" s="1">
        <v>0</v>
      </c>
      <c r="AR946" s="1">
        <v>66780592</v>
      </c>
      <c r="AS946" s="1">
        <v>28731392</v>
      </c>
      <c r="AT946" s="1">
        <v>38049200</v>
      </c>
      <c r="AU946" s="1">
        <v>12989033</v>
      </c>
      <c r="AV946" s="1">
        <v>1948355</v>
      </c>
      <c r="AW946" s="1">
        <f t="shared" si="94"/>
        <v>81717980</v>
      </c>
    </row>
    <row r="947" spans="1:49" x14ac:dyDescent="0.2">
      <c r="A947" s="1" t="str">
        <f>"01230"</f>
        <v>01230</v>
      </c>
      <c r="B947" s="1" t="str">
        <f>"محمد شريف"</f>
        <v>محمد شريف</v>
      </c>
      <c r="C947" s="1" t="str">
        <f>"دل آرام"</f>
        <v>دل آرام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27923552</v>
      </c>
      <c r="G947" s="1">
        <v>0</v>
      </c>
      <c r="H947" s="1">
        <v>0</v>
      </c>
      <c r="I947" s="1">
        <v>3386081</v>
      </c>
      <c r="J947" s="1">
        <v>0</v>
      </c>
      <c r="K947" s="1">
        <v>22572182</v>
      </c>
      <c r="L947" s="1">
        <v>0</v>
      </c>
      <c r="M947" s="1">
        <v>0</v>
      </c>
      <c r="N947" s="1">
        <v>0</v>
      </c>
      <c r="O947" s="1">
        <v>1000000</v>
      </c>
      <c r="P947" s="1">
        <v>4400781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1848000</v>
      </c>
      <c r="W947" s="1">
        <v>0</v>
      </c>
      <c r="X947" s="1">
        <v>13880134</v>
      </c>
      <c r="Y947" s="1">
        <v>4000000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3457757</v>
      </c>
      <c r="AH947" s="1">
        <v>1835427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7741605</v>
      </c>
      <c r="AO947" s="1">
        <v>0</v>
      </c>
      <c r="AP947" s="1">
        <v>0</v>
      </c>
      <c r="AQ947" s="1">
        <v>0</v>
      </c>
      <c r="AR947" s="1">
        <v>92045519</v>
      </c>
      <c r="AS947" s="1">
        <v>23251923</v>
      </c>
      <c r="AT947" s="1">
        <v>68793596</v>
      </c>
      <c r="AU947" s="1">
        <v>18042018</v>
      </c>
      <c r="AV947" s="1">
        <v>2706303</v>
      </c>
      <c r="AW947" s="1">
        <f t="shared" si="94"/>
        <v>112793840</v>
      </c>
    </row>
    <row r="948" spans="1:49" x14ac:dyDescent="0.2">
      <c r="A948" s="1" t="str">
        <f>"01231"</f>
        <v>01231</v>
      </c>
      <c r="B948" s="1" t="str">
        <f>"جواد"</f>
        <v>جواد</v>
      </c>
      <c r="C948" s="1" t="str">
        <f>"سهرابي"</f>
        <v>سهرابي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13616636</v>
      </c>
      <c r="G948" s="1">
        <v>0</v>
      </c>
      <c r="H948" s="1">
        <v>0</v>
      </c>
      <c r="I948" s="1">
        <v>504406</v>
      </c>
      <c r="J948" s="1">
        <v>0</v>
      </c>
      <c r="K948" s="1">
        <v>8105316</v>
      </c>
      <c r="L948" s="1">
        <v>0</v>
      </c>
      <c r="M948" s="1">
        <v>4620000</v>
      </c>
      <c r="N948" s="1">
        <v>0</v>
      </c>
      <c r="O948" s="1">
        <v>1000000</v>
      </c>
      <c r="P948" s="1">
        <v>2142636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1848000</v>
      </c>
      <c r="W948" s="1">
        <v>0</v>
      </c>
      <c r="X948" s="1">
        <v>5956797</v>
      </c>
      <c r="Y948" s="1">
        <v>4000000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1683500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4235895</v>
      </c>
      <c r="AO948" s="1">
        <v>0</v>
      </c>
      <c r="AP948" s="1">
        <v>0</v>
      </c>
      <c r="AQ948" s="1">
        <v>0</v>
      </c>
      <c r="AR948" s="1">
        <v>47713186</v>
      </c>
      <c r="AS948" s="1">
        <v>13771653</v>
      </c>
      <c r="AT948" s="1">
        <v>33941533</v>
      </c>
      <c r="AU948" s="1">
        <v>9542637</v>
      </c>
      <c r="AV948" s="1">
        <v>1431396</v>
      </c>
      <c r="AW948" s="1">
        <f t="shared" si="94"/>
        <v>58687219</v>
      </c>
    </row>
    <row r="949" spans="1:49" x14ac:dyDescent="0.2">
      <c r="A949" s="1" t="str">
        <f>"01232"</f>
        <v>01232</v>
      </c>
      <c r="B949" s="1" t="str">
        <f>"محمد جواد"</f>
        <v>محمد جواد</v>
      </c>
      <c r="C949" s="1" t="str">
        <f>"حيدري"</f>
        <v>حيدري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15390200</v>
      </c>
      <c r="G949" s="1">
        <v>0</v>
      </c>
      <c r="H949" s="1">
        <v>0</v>
      </c>
      <c r="I949" s="1">
        <v>0</v>
      </c>
      <c r="J949" s="1">
        <v>0</v>
      </c>
      <c r="K949" s="1">
        <v>10040743</v>
      </c>
      <c r="L949" s="1">
        <v>0</v>
      </c>
      <c r="M949" s="1">
        <v>3465000</v>
      </c>
      <c r="N949" s="1">
        <v>0</v>
      </c>
      <c r="O949" s="1">
        <v>1000000</v>
      </c>
      <c r="P949" s="1">
        <v>2763383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1848000</v>
      </c>
      <c r="W949" s="1">
        <v>0</v>
      </c>
      <c r="X949" s="1">
        <v>5992677</v>
      </c>
      <c r="Y949" s="1">
        <v>4000000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2171230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4885488</v>
      </c>
      <c r="AO949" s="1">
        <v>0</v>
      </c>
      <c r="AP949" s="1">
        <v>0</v>
      </c>
      <c r="AQ949" s="1">
        <v>0</v>
      </c>
      <c r="AR949" s="1">
        <v>51556721</v>
      </c>
      <c r="AS949" s="1">
        <v>16515022</v>
      </c>
      <c r="AT949" s="1">
        <v>35041699</v>
      </c>
      <c r="AU949" s="1">
        <v>10311344</v>
      </c>
      <c r="AV949" s="1">
        <v>1546702</v>
      </c>
      <c r="AW949" s="1">
        <f t="shared" si="94"/>
        <v>63414767</v>
      </c>
    </row>
    <row r="950" spans="1:49" x14ac:dyDescent="0.2">
      <c r="A950" s="1" t="str">
        <f>"01234"</f>
        <v>01234</v>
      </c>
      <c r="B950" s="1" t="str">
        <f>"محسن"</f>
        <v>محسن</v>
      </c>
      <c r="C950" s="1" t="str">
        <f>"نيکنام"</f>
        <v>نيکنام</v>
      </c>
      <c r="D950" s="1" t="str">
        <f>"قراردادي کارگري"</f>
        <v>قراردادي کارگري</v>
      </c>
      <c r="E950" s="1" t="str">
        <f>"پروژه تعميرات نيروگاه بوشهر"</f>
        <v>پروژه تعميرات نيروگاه بوشهر</v>
      </c>
      <c r="F950" s="1">
        <v>0</v>
      </c>
      <c r="G950" s="1">
        <v>7041795</v>
      </c>
      <c r="H950" s="1">
        <v>3520897</v>
      </c>
      <c r="I950" s="1">
        <v>2232267</v>
      </c>
      <c r="J950" s="1">
        <v>0</v>
      </c>
      <c r="K950" s="1">
        <v>6548869</v>
      </c>
      <c r="L950" s="1">
        <v>0</v>
      </c>
      <c r="M950" s="1">
        <v>0</v>
      </c>
      <c r="N950" s="1">
        <v>11521166</v>
      </c>
      <c r="O950" s="1">
        <v>2000000</v>
      </c>
      <c r="P950" s="1">
        <v>5633436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2640000</v>
      </c>
      <c r="W950" s="1">
        <v>0</v>
      </c>
      <c r="X950" s="1">
        <v>10925864</v>
      </c>
      <c r="Y950" s="1">
        <v>4000000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3670854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59735148</v>
      </c>
      <c r="AS950" s="1">
        <v>9988766</v>
      </c>
      <c r="AT950" s="1">
        <v>49746382</v>
      </c>
      <c r="AU950" s="1">
        <v>11212859</v>
      </c>
      <c r="AV950" s="1">
        <v>1681929</v>
      </c>
      <c r="AW950" s="1">
        <f t="shared" si="94"/>
        <v>72629936</v>
      </c>
    </row>
    <row r="951" spans="1:49" x14ac:dyDescent="0.2">
      <c r="A951" s="1" t="str">
        <f>"01235"</f>
        <v>01235</v>
      </c>
      <c r="B951" s="1" t="str">
        <f>"محمد"</f>
        <v>محمد</v>
      </c>
      <c r="C951" s="1" t="str">
        <f>"حسن زاده"</f>
        <v>حسن زاده</v>
      </c>
      <c r="D951" s="1" t="str">
        <f>"قراردادي بهره بردار"</f>
        <v>قراردادي بهره بردار</v>
      </c>
      <c r="E951" s="1" t="str">
        <f>"پروژه بهره برداري نيروگاه بوشهر"</f>
        <v>پروژه بهره برداري نيروگاه بوشهر</v>
      </c>
      <c r="F951" s="1">
        <v>22083892</v>
      </c>
      <c r="G951" s="1">
        <v>0</v>
      </c>
      <c r="H951" s="1">
        <v>0</v>
      </c>
      <c r="I951" s="1">
        <v>0</v>
      </c>
      <c r="J951" s="1">
        <v>0</v>
      </c>
      <c r="K951" s="1">
        <v>17696377</v>
      </c>
      <c r="L951" s="1">
        <v>0</v>
      </c>
      <c r="M951" s="1">
        <v>5500000</v>
      </c>
      <c r="N951" s="1">
        <v>0</v>
      </c>
      <c r="O951" s="1">
        <v>1000000</v>
      </c>
      <c r="P951" s="1">
        <v>3655708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1848000</v>
      </c>
      <c r="W951" s="1">
        <v>0</v>
      </c>
      <c r="X951" s="1">
        <v>9935514</v>
      </c>
      <c r="Y951" s="1">
        <v>4000000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2872342</v>
      </c>
      <c r="AH951" s="1">
        <v>3670854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5983863</v>
      </c>
      <c r="AO951" s="1">
        <v>0</v>
      </c>
      <c r="AP951" s="1">
        <v>0</v>
      </c>
      <c r="AQ951" s="1">
        <v>0</v>
      </c>
      <c r="AR951" s="1">
        <v>78246550</v>
      </c>
      <c r="AS951" s="1">
        <v>31447730</v>
      </c>
      <c r="AT951" s="1">
        <v>46798820</v>
      </c>
      <c r="AU951" s="1">
        <v>14915139</v>
      </c>
      <c r="AV951" s="1">
        <v>2237271</v>
      </c>
      <c r="AW951" s="1">
        <f t="shared" si="94"/>
        <v>95398960</v>
      </c>
    </row>
    <row r="952" spans="1:49" x14ac:dyDescent="0.2">
      <c r="A952" s="1" t="str">
        <f>"01236"</f>
        <v>01236</v>
      </c>
      <c r="B952" s="1" t="str">
        <f>"لاله"</f>
        <v>لاله</v>
      </c>
      <c r="C952" s="1" t="str">
        <f>"محمدي"</f>
        <v>محمدي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17831369</v>
      </c>
      <c r="G952" s="1">
        <v>0</v>
      </c>
      <c r="H952" s="1">
        <v>0</v>
      </c>
      <c r="I952" s="1">
        <v>0</v>
      </c>
      <c r="J952" s="1">
        <v>0</v>
      </c>
      <c r="K952" s="1">
        <v>11870485</v>
      </c>
      <c r="L952" s="1">
        <v>0</v>
      </c>
      <c r="M952" s="1">
        <v>4125000</v>
      </c>
      <c r="N952" s="1">
        <v>0</v>
      </c>
      <c r="O952" s="1">
        <v>1000000</v>
      </c>
      <c r="P952" s="1">
        <v>2577336</v>
      </c>
      <c r="Q952" s="1">
        <v>0</v>
      </c>
      <c r="R952" s="1">
        <v>0</v>
      </c>
      <c r="S952" s="1">
        <v>0</v>
      </c>
      <c r="T952" s="1">
        <v>2747004</v>
      </c>
      <c r="U952" s="1">
        <v>0</v>
      </c>
      <c r="V952" s="1">
        <v>1848000</v>
      </c>
      <c r="W952" s="1">
        <v>0</v>
      </c>
      <c r="X952" s="1">
        <v>3843811</v>
      </c>
      <c r="Y952" s="1">
        <v>4000000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2025049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4133864</v>
      </c>
      <c r="AO952" s="1">
        <v>0</v>
      </c>
      <c r="AP952" s="1">
        <v>0</v>
      </c>
      <c r="AQ952" s="1">
        <v>0</v>
      </c>
      <c r="AR952" s="1">
        <v>56001918</v>
      </c>
      <c r="AS952" s="1">
        <v>15835663</v>
      </c>
      <c r="AT952" s="1">
        <v>40166255</v>
      </c>
      <c r="AU952" s="1">
        <v>10650983</v>
      </c>
      <c r="AV952" s="1">
        <v>1597647</v>
      </c>
      <c r="AW952" s="1">
        <f t="shared" si="94"/>
        <v>68250548</v>
      </c>
    </row>
    <row r="953" spans="1:49" x14ac:dyDescent="0.2">
      <c r="A953" s="1" t="str">
        <f>"01237"</f>
        <v>01237</v>
      </c>
      <c r="B953" s="1" t="str">
        <f>"اميد"</f>
        <v>اميد</v>
      </c>
      <c r="C953" s="1" t="str">
        <f>"تکين"</f>
        <v>تکين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16284540</v>
      </c>
      <c r="G953" s="1">
        <v>0</v>
      </c>
      <c r="H953" s="1">
        <v>0</v>
      </c>
      <c r="I953" s="1">
        <v>19953416</v>
      </c>
      <c r="J953" s="1">
        <v>0</v>
      </c>
      <c r="K953" s="1">
        <v>14815656</v>
      </c>
      <c r="L953" s="1">
        <v>0</v>
      </c>
      <c r="M953" s="1">
        <v>4620000</v>
      </c>
      <c r="N953" s="1">
        <v>0</v>
      </c>
      <c r="O953" s="1">
        <v>1000000</v>
      </c>
      <c r="P953" s="1">
        <v>3107263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1848000</v>
      </c>
      <c r="W953" s="1">
        <v>0</v>
      </c>
      <c r="X953" s="1">
        <v>9301592</v>
      </c>
      <c r="Y953" s="1">
        <v>4000000</v>
      </c>
      <c r="Z953" s="1">
        <v>2363885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2441422</v>
      </c>
      <c r="AH953" s="1">
        <v>1835427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12959612</v>
      </c>
      <c r="AO953" s="1">
        <v>0</v>
      </c>
      <c r="AP953" s="1">
        <v>0</v>
      </c>
      <c r="AQ953" s="1">
        <v>0</v>
      </c>
      <c r="AR953" s="1">
        <v>94530813</v>
      </c>
      <c r="AS953" s="1">
        <v>31927003</v>
      </c>
      <c r="AT953" s="1">
        <v>62603810</v>
      </c>
      <c r="AU953" s="1">
        <v>18539077</v>
      </c>
      <c r="AV953" s="1">
        <v>2780862</v>
      </c>
      <c r="AW953" s="1">
        <f t="shared" si="94"/>
        <v>115850752</v>
      </c>
    </row>
    <row r="954" spans="1:49" x14ac:dyDescent="0.2">
      <c r="A954" s="1" t="str">
        <f>"01238"</f>
        <v>01238</v>
      </c>
      <c r="B954" s="1" t="str">
        <f>"محمد امين"</f>
        <v>محمد امين</v>
      </c>
      <c r="C954" s="1" t="str">
        <f>"صمصامي"</f>
        <v>صمصامي</v>
      </c>
      <c r="D954" s="1" t="str">
        <f>"قراردادي بهره بردار"</f>
        <v>قراردادي بهره بردار</v>
      </c>
      <c r="E954" s="1" t="str">
        <f>"پروژه تعميرات نيروگاه بوشهر"</f>
        <v>پروژه تعميرات نيروگاه بوشهر</v>
      </c>
      <c r="F954" s="1">
        <v>22056180</v>
      </c>
      <c r="G954" s="1">
        <v>0</v>
      </c>
      <c r="H954" s="1">
        <v>0</v>
      </c>
      <c r="I954" s="1">
        <v>0</v>
      </c>
      <c r="J954" s="1">
        <v>0</v>
      </c>
      <c r="K954" s="1">
        <v>16236519</v>
      </c>
      <c r="L954" s="1">
        <v>0</v>
      </c>
      <c r="M954" s="1">
        <v>5500000</v>
      </c>
      <c r="N954" s="1">
        <v>0</v>
      </c>
      <c r="O954" s="1">
        <v>1000000</v>
      </c>
      <c r="P954" s="1">
        <v>3421164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1848000</v>
      </c>
      <c r="W954" s="1">
        <v>0</v>
      </c>
      <c r="X954" s="1">
        <v>8502524</v>
      </c>
      <c r="Y954" s="1">
        <v>4000000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2688058</v>
      </c>
      <c r="AH954" s="1">
        <v>1835427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5612926</v>
      </c>
      <c r="AO954" s="1">
        <v>0</v>
      </c>
      <c r="AP954" s="1">
        <v>0</v>
      </c>
      <c r="AQ954" s="1">
        <v>0</v>
      </c>
      <c r="AR954" s="1">
        <v>72700798</v>
      </c>
      <c r="AS954" s="1">
        <v>29453017</v>
      </c>
      <c r="AT954" s="1">
        <v>43247781</v>
      </c>
      <c r="AU954" s="1">
        <v>14173074</v>
      </c>
      <c r="AV954" s="1">
        <v>2125961</v>
      </c>
      <c r="AW954" s="1">
        <f t="shared" si="94"/>
        <v>88999833</v>
      </c>
    </row>
    <row r="955" spans="1:49" x14ac:dyDescent="0.2">
      <c r="A955" s="1" t="str">
        <f>"01239"</f>
        <v>01239</v>
      </c>
      <c r="B955" s="1" t="str">
        <f>"مختار"</f>
        <v>مختار</v>
      </c>
      <c r="C955" s="1" t="str">
        <f>"كانيک زاده"</f>
        <v>كانيک زاده</v>
      </c>
      <c r="D955" s="1" t="str">
        <f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21355824</v>
      </c>
      <c r="G955" s="1">
        <v>0</v>
      </c>
      <c r="H955" s="1">
        <v>0</v>
      </c>
      <c r="I955" s="1">
        <v>0</v>
      </c>
      <c r="J955" s="1">
        <v>0</v>
      </c>
      <c r="K955" s="1">
        <v>15169265</v>
      </c>
      <c r="L955" s="1">
        <v>0</v>
      </c>
      <c r="M955" s="1">
        <v>4125000</v>
      </c>
      <c r="N955" s="1">
        <v>0</v>
      </c>
      <c r="O955" s="1">
        <v>1000000</v>
      </c>
      <c r="P955" s="1">
        <v>3612502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1848000</v>
      </c>
      <c r="W955" s="1">
        <v>0</v>
      </c>
      <c r="X955" s="1">
        <v>4902173</v>
      </c>
      <c r="Y955" s="1">
        <v>4000000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2838395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6045736</v>
      </c>
      <c r="AO955" s="1">
        <v>0</v>
      </c>
      <c r="AP955" s="1">
        <v>0</v>
      </c>
      <c r="AQ955" s="1">
        <v>0</v>
      </c>
      <c r="AR955" s="1">
        <v>64896895</v>
      </c>
      <c r="AS955" s="1">
        <v>6993395</v>
      </c>
      <c r="AT955" s="1">
        <v>57903500</v>
      </c>
      <c r="AU955" s="1">
        <v>12979379</v>
      </c>
      <c r="AV955" s="1">
        <v>1946907</v>
      </c>
      <c r="AW955" s="1">
        <f t="shared" si="94"/>
        <v>79823181</v>
      </c>
    </row>
    <row r="956" spans="1:49" x14ac:dyDescent="0.2">
      <c r="A956" s="1" t="str">
        <f>"01241"</f>
        <v>01241</v>
      </c>
      <c r="B956" s="1" t="str">
        <f>"عباس"</f>
        <v>عباس</v>
      </c>
      <c r="C956" s="1" t="str">
        <f>"احمدي"</f>
        <v>احمدي</v>
      </c>
      <c r="D956" s="1" t="str">
        <f t="shared" ref="D956:D972" si="102">"قراردادي کارگري"</f>
        <v>قراردادي کارگري</v>
      </c>
      <c r="E956" s="1" t="str">
        <f>"پروژه بهره برداري نيروگاه بوشهر"</f>
        <v>پروژه بهره برداري نيروگاه بوشهر</v>
      </c>
      <c r="F956" s="1">
        <v>18098412</v>
      </c>
      <c r="G956" s="1">
        <v>0</v>
      </c>
      <c r="H956" s="1">
        <v>0</v>
      </c>
      <c r="I956" s="1">
        <v>0</v>
      </c>
      <c r="J956" s="1">
        <v>0</v>
      </c>
      <c r="K956" s="1">
        <v>11456478</v>
      </c>
      <c r="L956" s="1">
        <v>0</v>
      </c>
      <c r="M956" s="1">
        <v>0</v>
      </c>
      <c r="N956" s="1">
        <v>0</v>
      </c>
      <c r="O956" s="1">
        <v>1000000</v>
      </c>
      <c r="P956" s="1">
        <v>2670801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2640000</v>
      </c>
      <c r="W956" s="1">
        <v>0</v>
      </c>
      <c r="X956" s="1">
        <v>3853564</v>
      </c>
      <c r="Y956" s="1">
        <v>4000000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2098486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4211459</v>
      </c>
      <c r="AO956" s="1">
        <v>0</v>
      </c>
      <c r="AP956" s="1">
        <v>0</v>
      </c>
      <c r="AQ956" s="1">
        <v>0</v>
      </c>
      <c r="AR956" s="1">
        <v>50029200</v>
      </c>
      <c r="AS956" s="1">
        <v>7769160</v>
      </c>
      <c r="AT956" s="1">
        <v>42260040</v>
      </c>
      <c r="AU956" s="1">
        <v>10005840</v>
      </c>
      <c r="AV956" s="1">
        <v>1500876</v>
      </c>
      <c r="AW956" s="1">
        <f t="shared" si="94"/>
        <v>61535916</v>
      </c>
    </row>
    <row r="957" spans="1:49" x14ac:dyDescent="0.2">
      <c r="A957" s="1" t="str">
        <f>"01242"</f>
        <v>01242</v>
      </c>
      <c r="B957" s="1" t="str">
        <f>"مسعود"</f>
        <v>مسعود</v>
      </c>
      <c r="C957" s="1" t="str">
        <f>"احمدي باغکي"</f>
        <v>احمدي باغکي</v>
      </c>
      <c r="D957" s="1" t="str">
        <f t="shared" si="102"/>
        <v>قراردادي کارگري</v>
      </c>
      <c r="E957" s="1" t="str">
        <f t="shared" ref="E957:E972" si="103">"پروژه تعميرات نيروگاه بوشهر"</f>
        <v>پروژه تعميرات نيروگاه بوشهر</v>
      </c>
      <c r="F957" s="1">
        <v>0</v>
      </c>
      <c r="G957" s="1">
        <v>4271866</v>
      </c>
      <c r="H957" s="1">
        <v>2135933</v>
      </c>
      <c r="I957" s="1">
        <v>0</v>
      </c>
      <c r="J957" s="1">
        <v>0</v>
      </c>
      <c r="K957" s="1">
        <v>3844680</v>
      </c>
      <c r="L957" s="1">
        <v>0</v>
      </c>
      <c r="M957" s="1">
        <v>0</v>
      </c>
      <c r="N957" s="1">
        <v>11572430</v>
      </c>
      <c r="O957" s="1">
        <v>2000000</v>
      </c>
      <c r="P957" s="1">
        <v>3417493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2640000</v>
      </c>
      <c r="W957" s="1">
        <v>0</v>
      </c>
      <c r="X957" s="1">
        <v>10375992</v>
      </c>
      <c r="Y957" s="1">
        <v>4000000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44258394</v>
      </c>
      <c r="AS957" s="1">
        <v>4932519</v>
      </c>
      <c r="AT957" s="1">
        <v>39325875</v>
      </c>
      <c r="AU957" s="1">
        <v>8851679</v>
      </c>
      <c r="AV957" s="1">
        <v>1327752</v>
      </c>
      <c r="AW957" s="1">
        <f t="shared" si="94"/>
        <v>54437825</v>
      </c>
    </row>
    <row r="958" spans="1:49" x14ac:dyDescent="0.2">
      <c r="A958" s="1" t="str">
        <f>"01244"</f>
        <v>01244</v>
      </c>
      <c r="B958" s="1" t="str">
        <f>"مهدي"</f>
        <v>مهدي</v>
      </c>
      <c r="C958" s="1" t="str">
        <f>"باروني"</f>
        <v>باروني</v>
      </c>
      <c r="D958" s="1" t="str">
        <f t="shared" si="102"/>
        <v>قراردادي کارگري</v>
      </c>
      <c r="E958" s="1" t="str">
        <f t="shared" si="103"/>
        <v>پروژه تعميرات نيروگاه بوشهر</v>
      </c>
      <c r="F958" s="1">
        <v>0</v>
      </c>
      <c r="G958" s="1">
        <v>5263800</v>
      </c>
      <c r="H958" s="1">
        <v>2631900</v>
      </c>
      <c r="I958" s="1">
        <v>493863</v>
      </c>
      <c r="J958" s="1">
        <v>0</v>
      </c>
      <c r="K958" s="1">
        <v>4737420</v>
      </c>
      <c r="L958" s="1">
        <v>0</v>
      </c>
      <c r="M958" s="1">
        <v>0</v>
      </c>
      <c r="N958" s="1">
        <v>11572430</v>
      </c>
      <c r="O958" s="1">
        <v>2000000</v>
      </c>
      <c r="P958" s="1">
        <v>4211040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2640000</v>
      </c>
      <c r="W958" s="1">
        <v>0</v>
      </c>
      <c r="X958" s="1">
        <v>6577152</v>
      </c>
      <c r="Y958" s="1">
        <v>4000000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44127605</v>
      </c>
      <c r="AS958" s="1">
        <v>6444800</v>
      </c>
      <c r="AT958" s="1">
        <v>37682805</v>
      </c>
      <c r="AU958" s="1">
        <v>8825521</v>
      </c>
      <c r="AV958" s="1">
        <v>1323828</v>
      </c>
      <c r="AW958" s="1">
        <f t="shared" si="94"/>
        <v>54276954</v>
      </c>
    </row>
    <row r="959" spans="1:49" x14ac:dyDescent="0.2">
      <c r="A959" s="1" t="str">
        <f>"01245"</f>
        <v>01245</v>
      </c>
      <c r="B959" s="1" t="str">
        <f>"محمد"</f>
        <v>محمد</v>
      </c>
      <c r="C959" s="1" t="str">
        <f>"براشکه"</f>
        <v>براشکه</v>
      </c>
      <c r="D959" s="1" t="str">
        <f t="shared" si="102"/>
        <v>قراردادي کارگري</v>
      </c>
      <c r="E959" s="1" t="str">
        <f t="shared" si="103"/>
        <v>پروژه تعميرات نيروگاه بوشهر</v>
      </c>
      <c r="F959" s="1">
        <v>0</v>
      </c>
      <c r="G959" s="1">
        <v>4660218</v>
      </c>
      <c r="H959" s="1">
        <v>2330109</v>
      </c>
      <c r="I959" s="1">
        <v>2729416</v>
      </c>
      <c r="J959" s="1">
        <v>0</v>
      </c>
      <c r="K959" s="1">
        <v>4194196</v>
      </c>
      <c r="L959" s="1">
        <v>0</v>
      </c>
      <c r="M959" s="1">
        <v>0</v>
      </c>
      <c r="N959" s="1">
        <v>11572430</v>
      </c>
      <c r="O959" s="1">
        <v>2000000</v>
      </c>
      <c r="P959" s="1">
        <v>3728174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2640000</v>
      </c>
      <c r="W959" s="1">
        <v>0</v>
      </c>
      <c r="X959" s="1">
        <v>3268513</v>
      </c>
      <c r="Y959" s="1">
        <v>4000000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41123056</v>
      </c>
      <c r="AS959" s="1">
        <v>5950614</v>
      </c>
      <c r="AT959" s="1">
        <v>35172442</v>
      </c>
      <c r="AU959" s="1">
        <v>8224611</v>
      </c>
      <c r="AV959" s="1">
        <v>1233692</v>
      </c>
      <c r="AW959" s="1">
        <f t="shared" si="94"/>
        <v>50581359</v>
      </c>
    </row>
    <row r="960" spans="1:49" x14ac:dyDescent="0.2">
      <c r="A960" s="1" t="str">
        <f>"01246"</f>
        <v>01246</v>
      </c>
      <c r="B960" s="1" t="str">
        <f>"دانيال"</f>
        <v>دانيال</v>
      </c>
      <c r="C960" s="1" t="str">
        <f>"برزگر"</f>
        <v>برزگر</v>
      </c>
      <c r="D960" s="1" t="str">
        <f t="shared" si="102"/>
        <v>قراردادي کارگري</v>
      </c>
      <c r="E960" s="1" t="str">
        <f t="shared" si="103"/>
        <v>پروژه تعميرات نيروگاه بوشهر</v>
      </c>
      <c r="F960" s="1">
        <v>0</v>
      </c>
      <c r="G960" s="1">
        <v>4393518</v>
      </c>
      <c r="H960" s="1">
        <v>2196759</v>
      </c>
      <c r="I960" s="1">
        <v>0</v>
      </c>
      <c r="J960" s="1">
        <v>0</v>
      </c>
      <c r="K960" s="1">
        <v>3954167</v>
      </c>
      <c r="L960" s="1">
        <v>0</v>
      </c>
      <c r="M960" s="1">
        <v>0</v>
      </c>
      <c r="N960" s="1">
        <v>11572430</v>
      </c>
      <c r="O960" s="1">
        <v>2000000</v>
      </c>
      <c r="P960" s="1">
        <v>3514815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2640000</v>
      </c>
      <c r="W960" s="1">
        <v>0</v>
      </c>
      <c r="X960" s="1">
        <v>6048020</v>
      </c>
      <c r="Y960" s="1">
        <v>4000000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40319709</v>
      </c>
      <c r="AS960" s="1">
        <v>4513911</v>
      </c>
      <c r="AT960" s="1">
        <v>35805798</v>
      </c>
      <c r="AU960" s="1">
        <v>8063942</v>
      </c>
      <c r="AV960" s="1">
        <v>1209591</v>
      </c>
      <c r="AW960" s="1">
        <f t="shared" si="94"/>
        <v>49593242</v>
      </c>
    </row>
    <row r="961" spans="1:49" x14ac:dyDescent="0.2">
      <c r="A961" s="1" t="str">
        <f>"01247"</f>
        <v>01247</v>
      </c>
      <c r="B961" s="1" t="str">
        <f>"ميثم"</f>
        <v>ميثم</v>
      </c>
      <c r="C961" s="1" t="str">
        <f>"بلاغي"</f>
        <v>بلاغي</v>
      </c>
      <c r="D961" s="1" t="str">
        <f t="shared" si="102"/>
        <v>قراردادي کارگري</v>
      </c>
      <c r="E961" s="1" t="str">
        <f t="shared" si="103"/>
        <v>پروژه تعميرات نيروگاه بوشهر</v>
      </c>
      <c r="F961" s="1">
        <v>0</v>
      </c>
      <c r="G961" s="1">
        <v>4454345</v>
      </c>
      <c r="H961" s="1">
        <v>2227172</v>
      </c>
      <c r="I961" s="1">
        <v>2251808</v>
      </c>
      <c r="J961" s="1">
        <v>0</v>
      </c>
      <c r="K961" s="1">
        <v>4008910</v>
      </c>
      <c r="L961" s="1">
        <v>0</v>
      </c>
      <c r="M961" s="1">
        <v>0</v>
      </c>
      <c r="N961" s="1">
        <v>11572430</v>
      </c>
      <c r="O961" s="1">
        <v>2000000</v>
      </c>
      <c r="P961" s="1">
        <v>3563476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6085003</v>
      </c>
      <c r="Y961" s="1">
        <v>4000000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3873950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5764628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49801722</v>
      </c>
      <c r="AS961" s="1">
        <v>5427282</v>
      </c>
      <c r="AT961" s="1">
        <v>44374440</v>
      </c>
      <c r="AU961" s="1">
        <v>9960344</v>
      </c>
      <c r="AV961" s="1">
        <v>1494052</v>
      </c>
      <c r="AW961" s="1">
        <f t="shared" si="94"/>
        <v>61256118</v>
      </c>
    </row>
    <row r="962" spans="1:49" x14ac:dyDescent="0.2">
      <c r="A962" s="1" t="str">
        <f>"01250"</f>
        <v>01250</v>
      </c>
      <c r="B962" s="1" t="str">
        <f>"حيدر"</f>
        <v>حيدر</v>
      </c>
      <c r="C962" s="1" t="str">
        <f>"پورمحمد"</f>
        <v>پورمحمد</v>
      </c>
      <c r="D962" s="1" t="str">
        <f t="shared" si="102"/>
        <v>قراردادي کارگري</v>
      </c>
      <c r="E962" s="1" t="str">
        <f t="shared" si="103"/>
        <v>پروژه تعميرات نيروگاه بوشهر</v>
      </c>
      <c r="F962" s="1">
        <v>0</v>
      </c>
      <c r="G962" s="1">
        <v>4379482</v>
      </c>
      <c r="H962" s="1">
        <v>2189741</v>
      </c>
      <c r="I962" s="1">
        <v>446338</v>
      </c>
      <c r="J962" s="1">
        <v>0</v>
      </c>
      <c r="K962" s="1">
        <v>3941533</v>
      </c>
      <c r="L962" s="1">
        <v>0</v>
      </c>
      <c r="M962" s="1">
        <v>0</v>
      </c>
      <c r="N962" s="1">
        <v>11572430</v>
      </c>
      <c r="O962" s="1">
        <v>2000000</v>
      </c>
      <c r="P962" s="1">
        <v>3503585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6039486</v>
      </c>
      <c r="Y962" s="1">
        <v>4000000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3838016</v>
      </c>
      <c r="AG962" s="1">
        <v>0</v>
      </c>
      <c r="AH962" s="1">
        <v>1835427</v>
      </c>
      <c r="AI962" s="1">
        <v>0</v>
      </c>
      <c r="AJ962" s="1">
        <v>0</v>
      </c>
      <c r="AK962" s="1">
        <v>0</v>
      </c>
      <c r="AL962" s="1">
        <v>7141413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50887451</v>
      </c>
      <c r="AS962" s="1">
        <v>7735023</v>
      </c>
      <c r="AT962" s="1">
        <v>43152428</v>
      </c>
      <c r="AU962" s="1">
        <v>9810405</v>
      </c>
      <c r="AV962" s="1">
        <v>1471561</v>
      </c>
      <c r="AW962" s="1">
        <f t="shared" si="94"/>
        <v>62169417</v>
      </c>
    </row>
    <row r="963" spans="1:49" x14ac:dyDescent="0.2">
      <c r="A963" s="1" t="str">
        <f>"01252"</f>
        <v>01252</v>
      </c>
      <c r="B963" s="1" t="str">
        <f>"امراله"</f>
        <v>امراله</v>
      </c>
      <c r="C963" s="1" t="str">
        <f>"ثابت لقب"</f>
        <v>ثابت لقب</v>
      </c>
      <c r="D963" s="1" t="str">
        <f t="shared" si="102"/>
        <v>قراردادي کارگري</v>
      </c>
      <c r="E963" s="1" t="str">
        <f t="shared" si="103"/>
        <v>پروژه تعميرات نيروگاه بوشهر</v>
      </c>
      <c r="F963" s="1">
        <v>0</v>
      </c>
      <c r="G963" s="1">
        <v>0</v>
      </c>
      <c r="H963" s="1">
        <v>0</v>
      </c>
      <c r="I963" s="1">
        <v>3023925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48075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3072000</v>
      </c>
      <c r="AS963" s="1">
        <v>3072000</v>
      </c>
      <c r="AT963" s="1">
        <v>0</v>
      </c>
      <c r="AU963" s="1">
        <v>0</v>
      </c>
      <c r="AV963" s="1">
        <v>0</v>
      </c>
      <c r="AW963" s="1">
        <f t="shared" ref="AW963:AW1026" si="104">AR963+AU963+AV963</f>
        <v>3072000</v>
      </c>
    </row>
    <row r="964" spans="1:49" x14ac:dyDescent="0.2">
      <c r="A964" s="1" t="str">
        <f>"01255"</f>
        <v>01255</v>
      </c>
      <c r="B964" s="1" t="str">
        <f>"سيد جعفر"</f>
        <v>سيد جعفر</v>
      </c>
      <c r="C964" s="1" t="str">
        <f>"حسيني"</f>
        <v>حسيني</v>
      </c>
      <c r="D964" s="1" t="str">
        <f t="shared" si="102"/>
        <v>قراردادي کارگري</v>
      </c>
      <c r="E964" s="1" t="str">
        <f t="shared" si="103"/>
        <v>پروژه تعميرات نيروگاه بوشهر</v>
      </c>
      <c r="F964" s="1">
        <v>0</v>
      </c>
      <c r="G964" s="1">
        <v>4875449</v>
      </c>
      <c r="H964" s="1">
        <v>2437724</v>
      </c>
      <c r="I964" s="1">
        <v>0</v>
      </c>
      <c r="J964" s="1">
        <v>0</v>
      </c>
      <c r="K964" s="1">
        <v>4387903</v>
      </c>
      <c r="L964" s="1">
        <v>0</v>
      </c>
      <c r="M964" s="1">
        <v>0</v>
      </c>
      <c r="N964" s="1">
        <v>11572430</v>
      </c>
      <c r="O964" s="1">
        <v>2000000</v>
      </c>
      <c r="P964" s="1">
        <v>3900359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2640000</v>
      </c>
      <c r="W964" s="1">
        <v>0</v>
      </c>
      <c r="X964" s="1">
        <v>11013375</v>
      </c>
      <c r="Y964" s="1">
        <v>4000000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1835427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48662667</v>
      </c>
      <c r="AS964" s="1">
        <v>6917183</v>
      </c>
      <c r="AT964" s="1">
        <v>41745484</v>
      </c>
      <c r="AU964" s="1">
        <v>9365448</v>
      </c>
      <c r="AV964" s="1">
        <v>1404817</v>
      </c>
      <c r="AW964" s="1">
        <f t="shared" si="104"/>
        <v>59432932</v>
      </c>
    </row>
    <row r="965" spans="1:49" x14ac:dyDescent="0.2">
      <c r="A965" s="1" t="str">
        <f>"01256"</f>
        <v>01256</v>
      </c>
      <c r="B965" s="1" t="str">
        <f>"احمد"</f>
        <v>احمد</v>
      </c>
      <c r="C965" s="1" t="str">
        <f>"حسيني ملائي"</f>
        <v>حسيني ملائي</v>
      </c>
      <c r="D965" s="1" t="str">
        <f t="shared" si="102"/>
        <v>قراردادي کارگري</v>
      </c>
      <c r="E965" s="1" t="str">
        <f t="shared" si="103"/>
        <v>پروژه تعميرات نيروگاه بوشهر</v>
      </c>
      <c r="F965" s="1">
        <v>0</v>
      </c>
      <c r="G965" s="1">
        <v>4604070</v>
      </c>
      <c r="H965" s="1">
        <v>2302035</v>
      </c>
      <c r="I965" s="1">
        <v>0</v>
      </c>
      <c r="J965" s="1">
        <v>0</v>
      </c>
      <c r="K965" s="1">
        <v>4143664</v>
      </c>
      <c r="L965" s="1">
        <v>0</v>
      </c>
      <c r="M965" s="1">
        <v>0</v>
      </c>
      <c r="N965" s="1">
        <v>11572430</v>
      </c>
      <c r="O965" s="1">
        <v>2000000</v>
      </c>
      <c r="P965" s="1">
        <v>3683257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2640000</v>
      </c>
      <c r="W965" s="1">
        <v>0</v>
      </c>
      <c r="X965" s="1">
        <v>6176037</v>
      </c>
      <c r="Y965" s="1">
        <v>4000000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1835427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42956920</v>
      </c>
      <c r="AS965" s="1">
        <v>3222347</v>
      </c>
      <c r="AT965" s="1">
        <v>39734573</v>
      </c>
      <c r="AU965" s="1">
        <v>8224299</v>
      </c>
      <c r="AV965" s="1">
        <v>1233645</v>
      </c>
      <c r="AW965" s="1">
        <f t="shared" si="104"/>
        <v>52414864</v>
      </c>
    </row>
    <row r="966" spans="1:49" x14ac:dyDescent="0.2">
      <c r="A966" s="1" t="str">
        <f>"01259"</f>
        <v>01259</v>
      </c>
      <c r="B966" s="1" t="str">
        <f>"علي"</f>
        <v>علي</v>
      </c>
      <c r="C966" s="1" t="str">
        <f>"شمسائي"</f>
        <v>شمسائي</v>
      </c>
      <c r="D966" s="1" t="str">
        <f t="shared" si="102"/>
        <v>قراردادي کارگري</v>
      </c>
      <c r="E966" s="1" t="str">
        <f t="shared" si="103"/>
        <v>پروژه تعميرات نيروگاه بوشهر</v>
      </c>
      <c r="F966" s="1">
        <v>0</v>
      </c>
      <c r="G966" s="1">
        <v>4501134</v>
      </c>
      <c r="H966" s="1">
        <v>2250567</v>
      </c>
      <c r="I966" s="1">
        <v>1549349</v>
      </c>
      <c r="J966" s="1">
        <v>0</v>
      </c>
      <c r="K966" s="1">
        <v>4051020</v>
      </c>
      <c r="L966" s="1">
        <v>0</v>
      </c>
      <c r="M966" s="1">
        <v>0</v>
      </c>
      <c r="N966" s="1">
        <v>11572430</v>
      </c>
      <c r="O966" s="1">
        <v>2000000</v>
      </c>
      <c r="P966" s="1">
        <v>3600907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2640000</v>
      </c>
      <c r="W966" s="1">
        <v>0</v>
      </c>
      <c r="X966" s="1">
        <v>10618099</v>
      </c>
      <c r="Y966" s="1">
        <v>4000000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46783506</v>
      </c>
      <c r="AS966" s="1">
        <v>5905711</v>
      </c>
      <c r="AT966" s="1">
        <v>40877795</v>
      </c>
      <c r="AU966" s="1">
        <v>9356701</v>
      </c>
      <c r="AV966" s="1">
        <v>1403505</v>
      </c>
      <c r="AW966" s="1">
        <f t="shared" si="104"/>
        <v>57543712</v>
      </c>
    </row>
    <row r="967" spans="1:49" x14ac:dyDescent="0.2">
      <c r="A967" s="1" t="str">
        <f>"01260"</f>
        <v>01260</v>
      </c>
      <c r="B967" s="1" t="str">
        <f>"سيد علي"</f>
        <v>سيد علي</v>
      </c>
      <c r="C967" s="1" t="str">
        <f>"عسکري"</f>
        <v>عسکري</v>
      </c>
      <c r="D967" s="1" t="str">
        <f t="shared" si="102"/>
        <v>قراردادي کارگري</v>
      </c>
      <c r="E967" s="1" t="str">
        <f t="shared" si="103"/>
        <v>پروژه تعميرات نيروگاه بوشهر</v>
      </c>
      <c r="F967" s="1">
        <v>0</v>
      </c>
      <c r="G967" s="1">
        <v>4477739</v>
      </c>
      <c r="H967" s="1">
        <v>2238870</v>
      </c>
      <c r="I967" s="1">
        <v>0</v>
      </c>
      <c r="J967" s="1">
        <v>0</v>
      </c>
      <c r="K967" s="1">
        <v>4029965</v>
      </c>
      <c r="L967" s="1">
        <v>0</v>
      </c>
      <c r="M967" s="1">
        <v>0</v>
      </c>
      <c r="N967" s="1">
        <v>11572430</v>
      </c>
      <c r="O967" s="1">
        <v>2000000</v>
      </c>
      <c r="P967" s="1">
        <v>3582192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2640000</v>
      </c>
      <c r="W967" s="1">
        <v>0</v>
      </c>
      <c r="X967" s="1">
        <v>9309347</v>
      </c>
      <c r="Y967" s="1">
        <v>4000000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43850543</v>
      </c>
      <c r="AS967" s="1">
        <v>27988968</v>
      </c>
      <c r="AT967" s="1">
        <v>15861575</v>
      </c>
      <c r="AU967" s="1">
        <v>8770109</v>
      </c>
      <c r="AV967" s="1">
        <v>1315516</v>
      </c>
      <c r="AW967" s="1">
        <f t="shared" si="104"/>
        <v>53936168</v>
      </c>
    </row>
    <row r="968" spans="1:49" x14ac:dyDescent="0.2">
      <c r="A968" s="1" t="str">
        <f>"01262"</f>
        <v>01262</v>
      </c>
      <c r="B968" s="1" t="str">
        <f>"حميد"</f>
        <v>حميد</v>
      </c>
      <c r="C968" s="1" t="str">
        <f>"فرريزي"</f>
        <v>فرريزي</v>
      </c>
      <c r="D968" s="1" t="str">
        <f t="shared" si="102"/>
        <v>قراردادي کارگري</v>
      </c>
      <c r="E968" s="1" t="str">
        <f t="shared" si="103"/>
        <v>پروژه تعميرات نيروگاه بوشهر</v>
      </c>
      <c r="F968" s="1">
        <v>0</v>
      </c>
      <c r="G968" s="1">
        <v>5296553</v>
      </c>
      <c r="H968" s="1">
        <v>2648276</v>
      </c>
      <c r="I968" s="1">
        <v>0</v>
      </c>
      <c r="J968" s="1">
        <v>0</v>
      </c>
      <c r="K968" s="1">
        <v>4766897</v>
      </c>
      <c r="L968" s="1">
        <v>0</v>
      </c>
      <c r="M968" s="1">
        <v>0</v>
      </c>
      <c r="N968" s="1">
        <v>11572430</v>
      </c>
      <c r="O968" s="1">
        <v>2000000</v>
      </c>
      <c r="P968" s="1">
        <v>4237242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2640000</v>
      </c>
      <c r="W968" s="1">
        <v>0</v>
      </c>
      <c r="X968" s="1">
        <v>6597066</v>
      </c>
      <c r="Y968" s="1">
        <v>4000000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3670854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47429318</v>
      </c>
      <c r="AS968" s="1">
        <v>3835715</v>
      </c>
      <c r="AT968" s="1">
        <v>43593603</v>
      </c>
      <c r="AU968" s="1">
        <v>8751693</v>
      </c>
      <c r="AV968" s="1">
        <v>1312754</v>
      </c>
      <c r="AW968" s="1">
        <f t="shared" si="104"/>
        <v>57493765</v>
      </c>
    </row>
    <row r="969" spans="1:49" x14ac:dyDescent="0.2">
      <c r="A969" s="1" t="str">
        <f>"01263"</f>
        <v>01263</v>
      </c>
      <c r="B969" s="1" t="str">
        <f>"حسين"</f>
        <v>حسين</v>
      </c>
      <c r="C969" s="1" t="str">
        <f>"فقيه"</f>
        <v>فقيه</v>
      </c>
      <c r="D969" s="1" t="str">
        <f t="shared" si="102"/>
        <v>قراردادي کارگري</v>
      </c>
      <c r="E969" s="1" t="str">
        <f t="shared" si="103"/>
        <v>پروژه تعميرات نيروگاه بوشهر</v>
      </c>
      <c r="F969" s="1">
        <v>0</v>
      </c>
      <c r="G969" s="1">
        <v>4585355</v>
      </c>
      <c r="H969" s="1">
        <v>2292677</v>
      </c>
      <c r="I969" s="1">
        <v>0</v>
      </c>
      <c r="J969" s="1">
        <v>0</v>
      </c>
      <c r="K969" s="1">
        <v>4126819</v>
      </c>
      <c r="L969" s="1">
        <v>0</v>
      </c>
      <c r="M969" s="1">
        <v>0</v>
      </c>
      <c r="N969" s="1">
        <v>11572430</v>
      </c>
      <c r="O969" s="1">
        <v>2000000</v>
      </c>
      <c r="P969" s="1">
        <v>3668284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2640000</v>
      </c>
      <c r="W969" s="1">
        <v>0</v>
      </c>
      <c r="X969" s="1">
        <v>10707036</v>
      </c>
      <c r="Y969" s="1">
        <v>4000000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45592601</v>
      </c>
      <c r="AS969" s="1">
        <v>5149994</v>
      </c>
      <c r="AT969" s="1">
        <v>40442607</v>
      </c>
      <c r="AU969" s="1">
        <v>9118520</v>
      </c>
      <c r="AV969" s="1">
        <v>1367778</v>
      </c>
      <c r="AW969" s="1">
        <f t="shared" si="104"/>
        <v>56078899</v>
      </c>
    </row>
    <row r="970" spans="1:49" x14ac:dyDescent="0.2">
      <c r="A970" s="1" t="str">
        <f>"01264"</f>
        <v>01264</v>
      </c>
      <c r="B970" s="1" t="str">
        <f>"محمد علي"</f>
        <v>محمد علي</v>
      </c>
      <c r="C970" s="1" t="str">
        <f>"قناعت زاده"</f>
        <v>قناعت زاده</v>
      </c>
      <c r="D970" s="1" t="str">
        <f t="shared" si="102"/>
        <v>قراردادي کارگري</v>
      </c>
      <c r="E970" s="1" t="str">
        <f t="shared" si="103"/>
        <v>پروژه تعميرات نيروگاه بوشهر</v>
      </c>
      <c r="F970" s="1">
        <v>0</v>
      </c>
      <c r="G970" s="1">
        <v>4777191</v>
      </c>
      <c r="H970" s="1">
        <v>2388595</v>
      </c>
      <c r="I970" s="1">
        <v>0</v>
      </c>
      <c r="J970" s="1">
        <v>0</v>
      </c>
      <c r="K970" s="1">
        <v>4299472</v>
      </c>
      <c r="L970" s="1">
        <v>0</v>
      </c>
      <c r="M970" s="1">
        <v>0</v>
      </c>
      <c r="N970" s="1">
        <v>11572430</v>
      </c>
      <c r="O970" s="1">
        <v>2000000</v>
      </c>
      <c r="P970" s="1">
        <v>3821752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2640000</v>
      </c>
      <c r="W970" s="1">
        <v>0</v>
      </c>
      <c r="X970" s="1">
        <v>10909616</v>
      </c>
      <c r="Y970" s="1">
        <v>4000000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46409056</v>
      </c>
      <c r="AS970" s="1">
        <v>7179077</v>
      </c>
      <c r="AT970" s="1">
        <v>39229979</v>
      </c>
      <c r="AU970" s="1">
        <v>9281811</v>
      </c>
      <c r="AV970" s="1">
        <v>1392272</v>
      </c>
      <c r="AW970" s="1">
        <f t="shared" si="104"/>
        <v>57083139</v>
      </c>
    </row>
    <row r="971" spans="1:49" x14ac:dyDescent="0.2">
      <c r="A971" s="1" t="str">
        <f>"01266"</f>
        <v>01266</v>
      </c>
      <c r="B971" s="1" t="str">
        <f>"مجيد"</f>
        <v>مجيد</v>
      </c>
      <c r="C971" s="1" t="str">
        <f>"ماندني زاده"</f>
        <v>ماندني زاده</v>
      </c>
      <c r="D971" s="1" t="str">
        <f t="shared" si="102"/>
        <v>قراردادي کارگري</v>
      </c>
      <c r="E971" s="1" t="str">
        <f t="shared" si="103"/>
        <v>پروژه تعميرات نيروگاه بوشهر</v>
      </c>
      <c r="F971" s="1">
        <v>0</v>
      </c>
      <c r="G971" s="1">
        <v>4744438</v>
      </c>
      <c r="H971" s="1">
        <v>2372219</v>
      </c>
      <c r="I971" s="1">
        <v>0</v>
      </c>
      <c r="J971" s="1">
        <v>0</v>
      </c>
      <c r="K971" s="1">
        <v>4269995</v>
      </c>
      <c r="L971" s="1">
        <v>0</v>
      </c>
      <c r="M971" s="1">
        <v>0</v>
      </c>
      <c r="N971" s="1">
        <v>11572430</v>
      </c>
      <c r="O971" s="1">
        <v>2000000</v>
      </c>
      <c r="P971" s="1">
        <v>3795551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2640000</v>
      </c>
      <c r="W971" s="1">
        <v>0</v>
      </c>
      <c r="X971" s="1">
        <v>6261380</v>
      </c>
      <c r="Y971" s="1">
        <v>4000000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41656013</v>
      </c>
      <c r="AS971" s="1">
        <v>23987921</v>
      </c>
      <c r="AT971" s="1">
        <v>17668092</v>
      </c>
      <c r="AU971" s="1">
        <v>8331203</v>
      </c>
      <c r="AV971" s="1">
        <v>1249680</v>
      </c>
      <c r="AW971" s="1">
        <f t="shared" si="104"/>
        <v>51236896</v>
      </c>
    </row>
    <row r="972" spans="1:49" x14ac:dyDescent="0.2">
      <c r="A972" s="1" t="str">
        <f>"01267"</f>
        <v>01267</v>
      </c>
      <c r="B972" s="1" t="str">
        <f>"کريم"</f>
        <v>کريم</v>
      </c>
      <c r="C972" s="1" t="str">
        <f>"محمدي"</f>
        <v>محمدي</v>
      </c>
      <c r="D972" s="1" t="str">
        <f t="shared" si="102"/>
        <v>قراردادي کارگري</v>
      </c>
      <c r="E972" s="1" t="str">
        <f t="shared" si="103"/>
        <v>پروژه تعميرات نيروگاه بوشهر</v>
      </c>
      <c r="F972" s="1">
        <v>0</v>
      </c>
      <c r="G972" s="1">
        <v>4356087</v>
      </c>
      <c r="H972" s="1">
        <v>2178043</v>
      </c>
      <c r="I972" s="1">
        <v>0</v>
      </c>
      <c r="J972" s="1">
        <v>0</v>
      </c>
      <c r="K972" s="1">
        <v>3920478</v>
      </c>
      <c r="L972" s="1">
        <v>0</v>
      </c>
      <c r="M972" s="1">
        <v>0</v>
      </c>
      <c r="N972" s="1">
        <v>11572430</v>
      </c>
      <c r="O972" s="1">
        <v>2000000</v>
      </c>
      <c r="P972" s="1">
        <v>3484869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2640000</v>
      </c>
      <c r="W972" s="1">
        <v>0</v>
      </c>
      <c r="X972" s="1">
        <v>10464929</v>
      </c>
      <c r="Y972" s="1">
        <v>4000000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6499042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51115878</v>
      </c>
      <c r="AS972" s="1">
        <v>6611888</v>
      </c>
      <c r="AT972" s="1">
        <v>44503990</v>
      </c>
      <c r="AU972" s="1">
        <v>10223176</v>
      </c>
      <c r="AV972" s="1">
        <v>1533476</v>
      </c>
      <c r="AW972" s="1">
        <f t="shared" si="104"/>
        <v>62872530</v>
      </c>
    </row>
    <row r="973" spans="1:49" x14ac:dyDescent="0.2">
      <c r="A973" s="1" t="str">
        <f>"01268"</f>
        <v>01268</v>
      </c>
      <c r="B973" s="1" t="str">
        <f>"رضا"</f>
        <v>رضا</v>
      </c>
      <c r="C973" s="1" t="str">
        <f>"سهيلي راد"</f>
        <v>سهيلي راد</v>
      </c>
      <c r="D973" s="1" t="str">
        <f>"قراردادي بهره بردار"</f>
        <v>قراردادي بهره بردار</v>
      </c>
      <c r="E973" s="1" t="str">
        <f>"پروژه بهره برداري نيروگاه بوشهر"</f>
        <v>پروژه بهره برداري نيروگاه بوشهر</v>
      </c>
      <c r="F973" s="1">
        <v>18554399</v>
      </c>
      <c r="G973" s="1">
        <v>0</v>
      </c>
      <c r="H973" s="1">
        <v>0</v>
      </c>
      <c r="I973" s="1">
        <v>7045251</v>
      </c>
      <c r="J973" s="1">
        <v>0</v>
      </c>
      <c r="K973" s="1">
        <v>12089663</v>
      </c>
      <c r="L973" s="1">
        <v>0</v>
      </c>
      <c r="M973" s="1">
        <v>5500000</v>
      </c>
      <c r="N973" s="1">
        <v>0</v>
      </c>
      <c r="O973" s="1">
        <v>1000000</v>
      </c>
      <c r="P973" s="1">
        <v>2856848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1848000</v>
      </c>
      <c r="W973" s="1">
        <v>0</v>
      </c>
      <c r="X973" s="1">
        <v>4125672</v>
      </c>
      <c r="Y973" s="1">
        <v>4000000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2244667</v>
      </c>
      <c r="AH973" s="1">
        <v>1835427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5511148</v>
      </c>
      <c r="AO973" s="1">
        <v>0</v>
      </c>
      <c r="AP973" s="1">
        <v>0</v>
      </c>
      <c r="AQ973" s="1">
        <v>0</v>
      </c>
      <c r="AR973" s="1">
        <v>66611075</v>
      </c>
      <c r="AS973" s="1">
        <v>9144373</v>
      </c>
      <c r="AT973" s="1">
        <v>57466702</v>
      </c>
      <c r="AU973" s="1">
        <v>12955130</v>
      </c>
      <c r="AV973" s="1">
        <v>1943269</v>
      </c>
      <c r="AW973" s="1">
        <f t="shared" si="104"/>
        <v>81509474</v>
      </c>
    </row>
    <row r="974" spans="1:49" x14ac:dyDescent="0.2">
      <c r="A974" s="1" t="str">
        <f>"01269"</f>
        <v>01269</v>
      </c>
      <c r="B974" s="1" t="str">
        <f>"حسن"</f>
        <v>حسن</v>
      </c>
      <c r="C974" s="1" t="str">
        <f>"انصاري"</f>
        <v>انصاري</v>
      </c>
      <c r="D974" s="1" t="str">
        <f>"قراردادي کارگري"</f>
        <v>قراردادي کارگري</v>
      </c>
      <c r="E974" s="1" t="str">
        <f>"پروژه تعميرات نيروگاه بوشهر"</f>
        <v>پروژه تعميرات نيروگاه بوشهر</v>
      </c>
      <c r="F974" s="1">
        <v>0</v>
      </c>
      <c r="G974" s="1">
        <v>4912880</v>
      </c>
      <c r="H974" s="1">
        <v>2456440</v>
      </c>
      <c r="I974" s="1">
        <v>1662515</v>
      </c>
      <c r="J974" s="1">
        <v>0</v>
      </c>
      <c r="K974" s="1">
        <v>4421592</v>
      </c>
      <c r="L974" s="1">
        <v>0</v>
      </c>
      <c r="M974" s="1">
        <v>0</v>
      </c>
      <c r="N974" s="1">
        <v>11572430</v>
      </c>
      <c r="O974" s="1">
        <v>2000000</v>
      </c>
      <c r="P974" s="1">
        <v>3930304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6363793</v>
      </c>
      <c r="Y974" s="1">
        <v>4000000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4094047</v>
      </c>
      <c r="AG974" s="1">
        <v>0</v>
      </c>
      <c r="AH974" s="1">
        <v>1835427</v>
      </c>
      <c r="AI974" s="1">
        <v>0</v>
      </c>
      <c r="AJ974" s="1">
        <v>0</v>
      </c>
      <c r="AK974" s="1">
        <v>0</v>
      </c>
      <c r="AL974" s="1">
        <v>3040027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50289455</v>
      </c>
      <c r="AS974" s="1">
        <v>9304224</v>
      </c>
      <c r="AT974" s="1">
        <v>40985231</v>
      </c>
      <c r="AU974" s="1">
        <v>9690806</v>
      </c>
      <c r="AV974" s="1">
        <v>1453621</v>
      </c>
      <c r="AW974" s="1">
        <f t="shared" si="104"/>
        <v>61433882</v>
      </c>
    </row>
    <row r="975" spans="1:49" x14ac:dyDescent="0.2">
      <c r="A975" s="1" t="str">
        <f>"01270"</f>
        <v>01270</v>
      </c>
      <c r="B975" s="1" t="str">
        <f>"عليرضا"</f>
        <v>عليرضا</v>
      </c>
      <c r="C975" s="1" t="str">
        <f>"رجب زاده"</f>
        <v>رجب زاده</v>
      </c>
      <c r="D975" s="1" t="str">
        <f>"قراردادي کارگري"</f>
        <v>قراردادي کارگري</v>
      </c>
      <c r="E975" s="1" t="str">
        <f>"پروژه تعميرات نيروگاه بوشهر"</f>
        <v>پروژه تعميرات نيروگاه بوشهر</v>
      </c>
      <c r="F975" s="1">
        <v>0</v>
      </c>
      <c r="G975" s="1">
        <v>4356087</v>
      </c>
      <c r="H975" s="1">
        <v>2178043</v>
      </c>
      <c r="I975" s="1">
        <v>1335243</v>
      </c>
      <c r="J975" s="1">
        <v>0</v>
      </c>
      <c r="K975" s="1">
        <v>3920478</v>
      </c>
      <c r="L975" s="1">
        <v>0</v>
      </c>
      <c r="M975" s="1">
        <v>0</v>
      </c>
      <c r="N975" s="1">
        <v>11572430</v>
      </c>
      <c r="O975" s="1">
        <v>2000000</v>
      </c>
      <c r="P975" s="1">
        <v>3484869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2640000</v>
      </c>
      <c r="W975" s="1">
        <v>0</v>
      </c>
      <c r="X975" s="1">
        <v>6025262</v>
      </c>
      <c r="Y975" s="1">
        <v>4000000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1835427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43347839</v>
      </c>
      <c r="AS975" s="1">
        <v>6202066</v>
      </c>
      <c r="AT975" s="1">
        <v>37145773</v>
      </c>
      <c r="AU975" s="1">
        <v>8302482</v>
      </c>
      <c r="AV975" s="1">
        <v>1245372</v>
      </c>
      <c r="AW975" s="1">
        <f t="shared" si="104"/>
        <v>52895693</v>
      </c>
    </row>
    <row r="976" spans="1:49" x14ac:dyDescent="0.2">
      <c r="A976" s="1" t="str">
        <f>"01271"</f>
        <v>01271</v>
      </c>
      <c r="B976" s="1" t="str">
        <f>"عباس"</f>
        <v>عباس</v>
      </c>
      <c r="C976" s="1" t="str">
        <f>"محياوي"</f>
        <v>محياوي</v>
      </c>
      <c r="D976" s="1" t="str">
        <f>"قراردادي کارگري"</f>
        <v>قراردادي کارگري</v>
      </c>
      <c r="E976" s="1" t="str">
        <f>"پروژه تعميرات نيروگاه بوشهر"</f>
        <v>پروژه تعميرات نيروگاه بوشهر</v>
      </c>
      <c r="F976" s="1">
        <v>-89516254</v>
      </c>
      <c r="G976" s="1">
        <v>34338821</v>
      </c>
      <c r="H976" s="1">
        <v>17169410</v>
      </c>
      <c r="I976" s="1">
        <v>12580535</v>
      </c>
      <c r="J976" s="1">
        <v>0</v>
      </c>
      <c r="K976" s="1">
        <v>30904939</v>
      </c>
      <c r="L976" s="1">
        <v>0</v>
      </c>
      <c r="M976" s="1">
        <v>0</v>
      </c>
      <c r="N976" s="1">
        <v>37421645</v>
      </c>
      <c r="O976" s="1">
        <v>6000000</v>
      </c>
      <c r="P976" s="1">
        <v>27471056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2640000</v>
      </c>
      <c r="W976" s="1">
        <v>0</v>
      </c>
      <c r="X976" s="1">
        <v>18091585</v>
      </c>
      <c r="Y976" s="1">
        <v>4000000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10589404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111691141</v>
      </c>
      <c r="AS976" s="1">
        <v>10894380</v>
      </c>
      <c r="AT976" s="1">
        <v>100796761</v>
      </c>
      <c r="AU976" s="1">
        <v>20220346</v>
      </c>
      <c r="AV976" s="1">
        <v>3033054</v>
      </c>
      <c r="AW976" s="1">
        <f t="shared" si="104"/>
        <v>134944541</v>
      </c>
    </row>
    <row r="977" spans="1:49" x14ac:dyDescent="0.2">
      <c r="A977" s="1" t="str">
        <f>"01272"</f>
        <v>01272</v>
      </c>
      <c r="B977" s="1" t="str">
        <f>"عبداله"</f>
        <v>عبداله</v>
      </c>
      <c r="C977" s="1" t="str">
        <f>"هنرمند"</f>
        <v>هنرمند</v>
      </c>
      <c r="D977" s="1" t="str">
        <f>"قراردادي کارگري"</f>
        <v>قراردادي کارگري</v>
      </c>
      <c r="E977" s="1" t="str">
        <f>"پروژه تعميرات نيروگاه بوشهر"</f>
        <v>پروژه تعميرات نيروگاه بوشهر</v>
      </c>
      <c r="F977" s="1">
        <v>0</v>
      </c>
      <c r="G977" s="1">
        <v>5090679</v>
      </c>
      <c r="H977" s="1">
        <v>2545340</v>
      </c>
      <c r="I977" s="1">
        <v>7268392</v>
      </c>
      <c r="J977" s="1">
        <v>0</v>
      </c>
      <c r="K977" s="1">
        <v>4581612</v>
      </c>
      <c r="L977" s="1">
        <v>0</v>
      </c>
      <c r="M977" s="1">
        <v>0</v>
      </c>
      <c r="N977" s="1">
        <v>11572430</v>
      </c>
      <c r="O977" s="1">
        <v>2000000</v>
      </c>
      <c r="P977" s="1">
        <v>4072543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2640000</v>
      </c>
      <c r="W977" s="1">
        <v>0</v>
      </c>
      <c r="X977" s="1">
        <v>6471895</v>
      </c>
      <c r="Y977" s="1">
        <v>4000000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1835427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52078318</v>
      </c>
      <c r="AS977" s="1">
        <v>5438134</v>
      </c>
      <c r="AT977" s="1">
        <v>46640184</v>
      </c>
      <c r="AU977" s="1">
        <v>10048578</v>
      </c>
      <c r="AV977" s="1">
        <v>1507287</v>
      </c>
      <c r="AW977" s="1">
        <f t="shared" si="104"/>
        <v>63634183</v>
      </c>
    </row>
    <row r="978" spans="1:49" x14ac:dyDescent="0.2">
      <c r="A978" s="1" t="str">
        <f>"01273"</f>
        <v>01273</v>
      </c>
      <c r="B978" s="1" t="str">
        <f>"ايمان"</f>
        <v>ايمان</v>
      </c>
      <c r="C978" s="1" t="str">
        <f>"آشوري"</f>
        <v>آشوري</v>
      </c>
      <c r="D978" s="1" t="str">
        <f>"قراردادي کارگري"</f>
        <v>قراردادي کارگري</v>
      </c>
      <c r="E978" s="1" t="str">
        <f>"پروژه تعميرات نيروگاه بوشهر"</f>
        <v>پروژه تعميرات نيروگاه بوشهر</v>
      </c>
      <c r="F978" s="1">
        <v>0</v>
      </c>
      <c r="G978" s="1">
        <v>6068577</v>
      </c>
      <c r="H978" s="1">
        <v>3034288</v>
      </c>
      <c r="I978" s="1">
        <v>0</v>
      </c>
      <c r="J978" s="1">
        <v>0</v>
      </c>
      <c r="K978" s="1">
        <v>5461718</v>
      </c>
      <c r="L978" s="1">
        <v>0</v>
      </c>
      <c r="M978" s="1">
        <v>0</v>
      </c>
      <c r="N978" s="1">
        <v>11572430</v>
      </c>
      <c r="O978" s="1">
        <v>2000000</v>
      </c>
      <c r="P978" s="1">
        <v>4854861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2640000</v>
      </c>
      <c r="W978" s="1">
        <v>0</v>
      </c>
      <c r="X978" s="1">
        <v>7066456</v>
      </c>
      <c r="Y978" s="1">
        <v>4000000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3670854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50369184</v>
      </c>
      <c r="AS978" s="1">
        <v>4314914</v>
      </c>
      <c r="AT978" s="1">
        <v>46054270</v>
      </c>
      <c r="AU978" s="1">
        <v>9339666</v>
      </c>
      <c r="AV978" s="1">
        <v>1400950</v>
      </c>
      <c r="AW978" s="1">
        <f t="shared" si="104"/>
        <v>61109800</v>
      </c>
    </row>
    <row r="979" spans="1:49" x14ac:dyDescent="0.2">
      <c r="A979" s="1" t="str">
        <f>"01274"</f>
        <v>01274</v>
      </c>
      <c r="B979" s="1" t="str">
        <f>"حيدر"</f>
        <v>حيدر</v>
      </c>
      <c r="C979" s="1" t="str">
        <f>"قاسمي قلعه سيدي"</f>
        <v>قاسمي قلعه سيدي</v>
      </c>
      <c r="D979" s="1" t="str">
        <f>"قراردادي بهره بردار"</f>
        <v>قراردادي بهره بردار</v>
      </c>
      <c r="E979" s="1" t="str">
        <f>"پروژه بهره برداري نيروگاه بوشهر"</f>
        <v>پروژه بهره برداري نيروگاه بوشهر</v>
      </c>
      <c r="F979" s="1">
        <v>17133533</v>
      </c>
      <c r="G979" s="1">
        <v>0</v>
      </c>
      <c r="H979" s="1">
        <v>0</v>
      </c>
      <c r="I979" s="1">
        <v>4275156</v>
      </c>
      <c r="J979" s="1">
        <v>0</v>
      </c>
      <c r="K979" s="1">
        <v>15453768</v>
      </c>
      <c r="L979" s="1">
        <v>0</v>
      </c>
      <c r="M979" s="1">
        <v>4620000</v>
      </c>
      <c r="N979" s="1">
        <v>0</v>
      </c>
      <c r="O979" s="1">
        <v>1000000</v>
      </c>
      <c r="P979" s="1">
        <v>3007626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1848000</v>
      </c>
      <c r="W979" s="1">
        <v>0</v>
      </c>
      <c r="X979" s="1">
        <v>4589778</v>
      </c>
      <c r="Y979" s="1">
        <v>4000000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2363135</v>
      </c>
      <c r="AH979" s="1">
        <v>3670854</v>
      </c>
      <c r="AI979" s="1">
        <v>1007707</v>
      </c>
      <c r="AJ979" s="1">
        <v>0</v>
      </c>
      <c r="AK979" s="1">
        <v>0</v>
      </c>
      <c r="AL979" s="1">
        <v>0</v>
      </c>
      <c r="AM979" s="1">
        <v>0</v>
      </c>
      <c r="AN979" s="1">
        <v>6932014</v>
      </c>
      <c r="AO979" s="1">
        <v>0</v>
      </c>
      <c r="AP979" s="1">
        <v>0</v>
      </c>
      <c r="AQ979" s="1">
        <v>0</v>
      </c>
      <c r="AR979" s="1">
        <v>69901571</v>
      </c>
      <c r="AS979" s="1">
        <v>33350358</v>
      </c>
      <c r="AT979" s="1">
        <v>36551213</v>
      </c>
      <c r="AU979" s="1">
        <v>13246143</v>
      </c>
      <c r="AV979" s="1">
        <v>1986922</v>
      </c>
      <c r="AW979" s="1">
        <f t="shared" si="104"/>
        <v>85134636</v>
      </c>
    </row>
    <row r="980" spans="1:49" x14ac:dyDescent="0.2">
      <c r="A980" s="1" t="str">
        <f>"01275"</f>
        <v>01275</v>
      </c>
      <c r="B980" s="1" t="str">
        <f>"ماجد"</f>
        <v>ماجد</v>
      </c>
      <c r="C980" s="1" t="str">
        <f>"مجدميان سعدوني"</f>
        <v>مجدميان سعدوني</v>
      </c>
      <c r="D980" s="1" t="str">
        <f t="shared" ref="D980:D986" si="105">"قراردادي کارگري"</f>
        <v>قراردادي کارگري</v>
      </c>
      <c r="E980" s="1" t="str">
        <f t="shared" ref="E980:E1011" si="106">"پروژه تعميرات نيروگاه بوشهر"</f>
        <v>پروژه تعميرات نيروگاه بوشهر</v>
      </c>
      <c r="F980" s="1">
        <v>0</v>
      </c>
      <c r="G980" s="1">
        <v>4791228</v>
      </c>
      <c r="H980" s="1">
        <v>2395614</v>
      </c>
      <c r="I980" s="1">
        <v>0</v>
      </c>
      <c r="J980" s="1">
        <v>0</v>
      </c>
      <c r="K980" s="1">
        <v>4312105</v>
      </c>
      <c r="L980" s="1">
        <v>0</v>
      </c>
      <c r="M980" s="1">
        <v>0</v>
      </c>
      <c r="N980" s="1">
        <v>11572430</v>
      </c>
      <c r="O980" s="1">
        <v>2000000</v>
      </c>
      <c r="P980" s="1">
        <v>3832982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2640000</v>
      </c>
      <c r="W980" s="1">
        <v>0</v>
      </c>
      <c r="X980" s="1">
        <v>10262352</v>
      </c>
      <c r="Y980" s="1">
        <v>4000000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45806711</v>
      </c>
      <c r="AS980" s="1">
        <v>5576094</v>
      </c>
      <c r="AT980" s="1">
        <v>40230617</v>
      </c>
      <c r="AU980" s="1">
        <v>9161342</v>
      </c>
      <c r="AV980" s="1">
        <v>1374201</v>
      </c>
      <c r="AW980" s="1">
        <f t="shared" si="104"/>
        <v>56342254</v>
      </c>
    </row>
    <row r="981" spans="1:49" x14ac:dyDescent="0.2">
      <c r="A981" s="1" t="str">
        <f>"01276"</f>
        <v>01276</v>
      </c>
      <c r="B981" s="1" t="str">
        <f>"کاظم"</f>
        <v>کاظم</v>
      </c>
      <c r="C981" s="1" t="str">
        <f>"زارعي نيا"</f>
        <v>زارعي نيا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0</v>
      </c>
      <c r="G981" s="1">
        <v>4393518</v>
      </c>
      <c r="H981" s="1">
        <v>2196759</v>
      </c>
      <c r="I981" s="1">
        <v>0</v>
      </c>
      <c r="J981" s="1">
        <v>0</v>
      </c>
      <c r="K981" s="1">
        <v>3954167</v>
      </c>
      <c r="L981" s="1">
        <v>0</v>
      </c>
      <c r="M981" s="1">
        <v>0</v>
      </c>
      <c r="N981" s="1">
        <v>11572430</v>
      </c>
      <c r="O981" s="1">
        <v>2000000</v>
      </c>
      <c r="P981" s="1">
        <v>3514815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9867824</v>
      </c>
      <c r="Y981" s="1">
        <v>4000000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41499513</v>
      </c>
      <c r="AS981" s="1">
        <v>5539981</v>
      </c>
      <c r="AT981" s="1">
        <v>35959532</v>
      </c>
      <c r="AU981" s="1">
        <v>8299903</v>
      </c>
      <c r="AV981" s="1">
        <v>1244985</v>
      </c>
      <c r="AW981" s="1">
        <f t="shared" si="104"/>
        <v>51044401</v>
      </c>
    </row>
    <row r="982" spans="1:49" x14ac:dyDescent="0.2">
      <c r="A982" s="1" t="str">
        <f>"01277"</f>
        <v>01277</v>
      </c>
      <c r="B982" s="1" t="str">
        <f>"عبدالمجيد"</f>
        <v>عبدالمجيد</v>
      </c>
      <c r="C982" s="1" t="str">
        <f>"صادقي پور"</f>
        <v>صادقي پور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0</v>
      </c>
      <c r="G982" s="1">
        <v>6541149</v>
      </c>
      <c r="H982" s="1">
        <v>3270574</v>
      </c>
      <c r="I982" s="1">
        <v>4396404</v>
      </c>
      <c r="J982" s="1">
        <v>0</v>
      </c>
      <c r="K982" s="1">
        <v>5887034</v>
      </c>
      <c r="L982" s="1">
        <v>0</v>
      </c>
      <c r="M982" s="1">
        <v>0</v>
      </c>
      <c r="N982" s="1">
        <v>11572430</v>
      </c>
      <c r="O982" s="1">
        <v>2000000</v>
      </c>
      <c r="P982" s="1">
        <v>5232919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2640000</v>
      </c>
      <c r="W982" s="1">
        <v>0</v>
      </c>
      <c r="X982" s="1">
        <v>11998273</v>
      </c>
      <c r="Y982" s="1">
        <v>4000000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1835427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59374210</v>
      </c>
      <c r="AS982" s="1">
        <v>15437023</v>
      </c>
      <c r="AT982" s="1">
        <v>43937187</v>
      </c>
      <c r="AU982" s="1">
        <v>11507757</v>
      </c>
      <c r="AV982" s="1">
        <v>1726163</v>
      </c>
      <c r="AW982" s="1">
        <f t="shared" si="104"/>
        <v>72608130</v>
      </c>
    </row>
    <row r="983" spans="1:49" x14ac:dyDescent="0.2">
      <c r="A983" s="1" t="str">
        <f>"01278"</f>
        <v>01278</v>
      </c>
      <c r="B983" s="1" t="str">
        <f>"روح الله"</f>
        <v>روح الله</v>
      </c>
      <c r="C983" s="1" t="str">
        <f>"ونکي"</f>
        <v>ونکي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0</v>
      </c>
      <c r="G983" s="1">
        <v>6447570</v>
      </c>
      <c r="H983" s="1">
        <v>3223785</v>
      </c>
      <c r="I983" s="1">
        <v>2801347</v>
      </c>
      <c r="J983" s="1">
        <v>0</v>
      </c>
      <c r="K983" s="1">
        <v>5802814</v>
      </c>
      <c r="L983" s="1">
        <v>0</v>
      </c>
      <c r="M983" s="1">
        <v>0</v>
      </c>
      <c r="N983" s="1">
        <v>11572430</v>
      </c>
      <c r="O983" s="1">
        <v>2000000</v>
      </c>
      <c r="P983" s="1">
        <v>5158056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2640000</v>
      </c>
      <c r="W983" s="1">
        <v>0</v>
      </c>
      <c r="X983" s="1">
        <v>11905443</v>
      </c>
      <c r="Y983" s="1">
        <v>4000000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1835427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57386872</v>
      </c>
      <c r="AS983" s="1">
        <v>7583228</v>
      </c>
      <c r="AT983" s="1">
        <v>49803644</v>
      </c>
      <c r="AU983" s="1">
        <v>11110289</v>
      </c>
      <c r="AV983" s="1">
        <v>1666543</v>
      </c>
      <c r="AW983" s="1">
        <f t="shared" si="104"/>
        <v>70163704</v>
      </c>
    </row>
    <row r="984" spans="1:49" x14ac:dyDescent="0.2">
      <c r="A984" s="1" t="str">
        <f>"01279"</f>
        <v>01279</v>
      </c>
      <c r="B984" s="1" t="str">
        <f>"بهرام"</f>
        <v>بهرام</v>
      </c>
      <c r="C984" s="1" t="str">
        <f>"قائدي"</f>
        <v>قائدي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0</v>
      </c>
      <c r="G984" s="1">
        <v>5394810</v>
      </c>
      <c r="H984" s="1">
        <v>2697405</v>
      </c>
      <c r="I984" s="1">
        <v>13668211</v>
      </c>
      <c r="J984" s="1">
        <v>0</v>
      </c>
      <c r="K984" s="1">
        <v>4855330</v>
      </c>
      <c r="L984" s="1">
        <v>0</v>
      </c>
      <c r="M984" s="1">
        <v>0</v>
      </c>
      <c r="N984" s="1">
        <v>11521166</v>
      </c>
      <c r="O984" s="1">
        <v>2000000</v>
      </c>
      <c r="P984" s="1">
        <v>4315848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2640000</v>
      </c>
      <c r="W984" s="1">
        <v>0</v>
      </c>
      <c r="X984" s="1">
        <v>3498455</v>
      </c>
      <c r="Y984" s="1">
        <v>4000000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54591225</v>
      </c>
      <c r="AS984" s="1">
        <v>6821209</v>
      </c>
      <c r="AT984" s="1">
        <v>47770016</v>
      </c>
      <c r="AU984" s="1">
        <v>10918245</v>
      </c>
      <c r="AV984" s="1">
        <v>1637737</v>
      </c>
      <c r="AW984" s="1">
        <f t="shared" si="104"/>
        <v>67147207</v>
      </c>
    </row>
    <row r="985" spans="1:49" x14ac:dyDescent="0.2">
      <c r="A985" s="1" t="str">
        <f>"01280"</f>
        <v>01280</v>
      </c>
      <c r="B985" s="1" t="str">
        <f>"روح اله"</f>
        <v>روح اله</v>
      </c>
      <c r="C985" s="1" t="str">
        <f>"حقيقي"</f>
        <v>حقيقي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0</v>
      </c>
      <c r="G985" s="1">
        <v>4342050</v>
      </c>
      <c r="H985" s="1">
        <v>2171025</v>
      </c>
      <c r="I985" s="1">
        <v>4902607</v>
      </c>
      <c r="J985" s="1">
        <v>0</v>
      </c>
      <c r="K985" s="1">
        <v>3972976</v>
      </c>
      <c r="L985" s="1">
        <v>0</v>
      </c>
      <c r="M985" s="1">
        <v>0</v>
      </c>
      <c r="N985" s="1">
        <v>11521166</v>
      </c>
      <c r="O985" s="1">
        <v>2000000</v>
      </c>
      <c r="P985" s="1">
        <v>3473640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2640000</v>
      </c>
      <c r="W985" s="1">
        <v>0</v>
      </c>
      <c r="X985" s="1">
        <v>7603405</v>
      </c>
      <c r="Y985" s="1">
        <v>4000000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46626869</v>
      </c>
      <c r="AS985" s="1">
        <v>9400980</v>
      </c>
      <c r="AT985" s="1">
        <v>37225889</v>
      </c>
      <c r="AU985" s="1">
        <v>9325374</v>
      </c>
      <c r="AV985" s="1">
        <v>1398806</v>
      </c>
      <c r="AW985" s="1">
        <f t="shared" si="104"/>
        <v>57351049</v>
      </c>
    </row>
    <row r="986" spans="1:49" x14ac:dyDescent="0.2">
      <c r="A986" s="1" t="str">
        <f>"01281"</f>
        <v>01281</v>
      </c>
      <c r="B986" s="1" t="str">
        <f>"فرشيد"</f>
        <v>فرشيد</v>
      </c>
      <c r="C986" s="1" t="str">
        <f>"نگين تاجي"</f>
        <v>نگين تاجي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0</v>
      </c>
      <c r="G986" s="1">
        <v>4271866</v>
      </c>
      <c r="H986" s="1">
        <v>2135933</v>
      </c>
      <c r="I986" s="1">
        <v>0</v>
      </c>
      <c r="J986" s="1">
        <v>0</v>
      </c>
      <c r="K986" s="1">
        <v>3844680</v>
      </c>
      <c r="L986" s="1">
        <v>0</v>
      </c>
      <c r="M986" s="1">
        <v>0</v>
      </c>
      <c r="N986" s="1">
        <v>11521166</v>
      </c>
      <c r="O986" s="1">
        <v>2000000</v>
      </c>
      <c r="P986" s="1">
        <v>3417493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2640000</v>
      </c>
      <c r="W986" s="1">
        <v>0</v>
      </c>
      <c r="X986" s="1">
        <v>5964316</v>
      </c>
      <c r="Y986" s="1">
        <v>4000000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39795454</v>
      </c>
      <c r="AS986" s="1">
        <v>10453682</v>
      </c>
      <c r="AT986" s="1">
        <v>29341772</v>
      </c>
      <c r="AU986" s="1">
        <v>7959091</v>
      </c>
      <c r="AV986" s="1">
        <v>1193864</v>
      </c>
      <c r="AW986" s="1">
        <f t="shared" si="104"/>
        <v>48948409</v>
      </c>
    </row>
    <row r="987" spans="1:49" x14ac:dyDescent="0.2">
      <c r="A987" s="1" t="str">
        <f>"01282"</f>
        <v>01282</v>
      </c>
      <c r="B987" s="1" t="str">
        <f>"محمدرضا"</f>
        <v>محمدرضا</v>
      </c>
      <c r="C987" s="1" t="str">
        <f>"ارجمند"</f>
        <v>ارجمند</v>
      </c>
      <c r="D987" s="1" t="str">
        <f t="shared" ref="D987:D1018" si="107">"قراردادي بهره بردار"</f>
        <v>قراردادي بهره بردار</v>
      </c>
      <c r="E987" s="1" t="str">
        <f t="shared" si="106"/>
        <v>پروژه تعميرات نيروگاه بوشهر</v>
      </c>
      <c r="F987" s="1">
        <v>14226299</v>
      </c>
      <c r="G987" s="1">
        <v>0</v>
      </c>
      <c r="H987" s="1">
        <v>0</v>
      </c>
      <c r="I987" s="1">
        <v>0</v>
      </c>
      <c r="J987" s="1">
        <v>0</v>
      </c>
      <c r="K987" s="1">
        <v>10463588</v>
      </c>
      <c r="L987" s="1">
        <v>0</v>
      </c>
      <c r="M987" s="1">
        <v>4620000</v>
      </c>
      <c r="N987" s="1">
        <v>0</v>
      </c>
      <c r="O987" s="1">
        <v>1000000</v>
      </c>
      <c r="P987" s="1">
        <v>2356019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1848000</v>
      </c>
      <c r="W987" s="1">
        <v>0</v>
      </c>
      <c r="X987" s="1">
        <v>3909505</v>
      </c>
      <c r="Y987" s="1">
        <v>4000000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1851157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10197991</v>
      </c>
      <c r="AO987" s="1">
        <v>0</v>
      </c>
      <c r="AP987" s="1">
        <v>0</v>
      </c>
      <c r="AQ987" s="1">
        <v>0</v>
      </c>
      <c r="AR987" s="1">
        <v>54472559</v>
      </c>
      <c r="AS987" s="1">
        <v>22530975</v>
      </c>
      <c r="AT987" s="1">
        <v>31941584</v>
      </c>
      <c r="AU987" s="1">
        <v>10894512</v>
      </c>
      <c r="AV987" s="1">
        <v>1634177</v>
      </c>
      <c r="AW987" s="1">
        <f t="shared" si="104"/>
        <v>67001248</v>
      </c>
    </row>
    <row r="988" spans="1:49" x14ac:dyDescent="0.2">
      <c r="A988" s="1" t="str">
        <f>"01283"</f>
        <v>01283</v>
      </c>
      <c r="B988" s="1" t="str">
        <f>"داوود"</f>
        <v>داوود</v>
      </c>
      <c r="C988" s="1" t="str">
        <f>"اسدي زاده قره جلو"</f>
        <v>اسدي زاده قره جلو</v>
      </c>
      <c r="D988" s="1" t="str">
        <f t="shared" si="107"/>
        <v>قراردادي بهره بردار</v>
      </c>
      <c r="E988" s="1" t="str">
        <f t="shared" si="106"/>
        <v>پروژه تعميرات نيروگاه بوشهر</v>
      </c>
      <c r="F988" s="1">
        <v>13299209</v>
      </c>
      <c r="G988" s="1">
        <v>0</v>
      </c>
      <c r="H988" s="1">
        <v>0</v>
      </c>
      <c r="I988" s="1">
        <v>0</v>
      </c>
      <c r="J988" s="1">
        <v>0</v>
      </c>
      <c r="K988" s="1">
        <v>8991704</v>
      </c>
      <c r="L988" s="1">
        <v>0</v>
      </c>
      <c r="M988" s="1">
        <v>4620000</v>
      </c>
      <c r="N988" s="1">
        <v>0</v>
      </c>
      <c r="O988" s="1">
        <v>1000000</v>
      </c>
      <c r="P988" s="1">
        <v>2163798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1848000</v>
      </c>
      <c r="W988" s="1">
        <v>0</v>
      </c>
      <c r="X988" s="1">
        <v>3411834</v>
      </c>
      <c r="Y988" s="1">
        <v>4000000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1700127</v>
      </c>
      <c r="AH988" s="1">
        <v>0</v>
      </c>
      <c r="AI988" s="1">
        <v>0</v>
      </c>
      <c r="AJ988" s="1">
        <v>0</v>
      </c>
      <c r="AK988" s="1">
        <v>5000000</v>
      </c>
      <c r="AL988" s="1">
        <v>0</v>
      </c>
      <c r="AM988" s="1">
        <v>0</v>
      </c>
      <c r="AN988" s="1">
        <v>7963503</v>
      </c>
      <c r="AO988" s="1">
        <v>0</v>
      </c>
      <c r="AP988" s="1">
        <v>0</v>
      </c>
      <c r="AQ988" s="1">
        <v>0</v>
      </c>
      <c r="AR988" s="1">
        <v>53998175</v>
      </c>
      <c r="AS988" s="1">
        <v>12110705</v>
      </c>
      <c r="AT988" s="1">
        <v>41887470</v>
      </c>
      <c r="AU988" s="1">
        <v>9799635</v>
      </c>
      <c r="AV988" s="1">
        <v>1469945</v>
      </c>
      <c r="AW988" s="1">
        <f t="shared" si="104"/>
        <v>65267755</v>
      </c>
    </row>
    <row r="989" spans="1:49" x14ac:dyDescent="0.2">
      <c r="A989" s="1" t="str">
        <f>"01284"</f>
        <v>01284</v>
      </c>
      <c r="B989" s="1" t="str">
        <f>"جاسم"</f>
        <v>جاسم</v>
      </c>
      <c r="C989" s="1" t="str">
        <f>"اسکندري"</f>
        <v>اسکندري</v>
      </c>
      <c r="D989" s="1" t="str">
        <f t="shared" si="107"/>
        <v>قراردادي بهره بردار</v>
      </c>
      <c r="E989" s="1" t="str">
        <f t="shared" si="106"/>
        <v>پروژه تعميرات نيروگاه بوشهر</v>
      </c>
      <c r="F989" s="1">
        <v>17964891</v>
      </c>
      <c r="G989" s="1">
        <v>0</v>
      </c>
      <c r="H989" s="1">
        <v>0</v>
      </c>
      <c r="I989" s="1">
        <v>0</v>
      </c>
      <c r="J989" s="1">
        <v>0</v>
      </c>
      <c r="K989" s="1">
        <v>11997250</v>
      </c>
      <c r="L989" s="1">
        <v>0</v>
      </c>
      <c r="M989" s="1">
        <v>4125000</v>
      </c>
      <c r="N989" s="1">
        <v>0</v>
      </c>
      <c r="O989" s="1">
        <v>1000000</v>
      </c>
      <c r="P989" s="1">
        <v>2650521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1848000</v>
      </c>
      <c r="W989" s="1">
        <v>0</v>
      </c>
      <c r="X989" s="1">
        <v>4193962</v>
      </c>
      <c r="Y989" s="1">
        <v>4000000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2082552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7244403</v>
      </c>
      <c r="AO989" s="1">
        <v>0</v>
      </c>
      <c r="AP989" s="1">
        <v>0</v>
      </c>
      <c r="AQ989" s="1">
        <v>0</v>
      </c>
      <c r="AR989" s="1">
        <v>57106579</v>
      </c>
      <c r="AS989" s="1">
        <v>20399235</v>
      </c>
      <c r="AT989" s="1">
        <v>36707344</v>
      </c>
      <c r="AU989" s="1">
        <v>11421316</v>
      </c>
      <c r="AV989" s="1">
        <v>1713197</v>
      </c>
      <c r="AW989" s="1">
        <f t="shared" si="104"/>
        <v>70241092</v>
      </c>
    </row>
    <row r="990" spans="1:49" x14ac:dyDescent="0.2">
      <c r="A990" s="1" t="str">
        <f>"01285"</f>
        <v>01285</v>
      </c>
      <c r="B990" s="1" t="str">
        <f>"مجتبي"</f>
        <v>مجتبي</v>
      </c>
      <c r="C990" s="1" t="str">
        <f>"اعتمادي"</f>
        <v>اعتمادي</v>
      </c>
      <c r="D990" s="1" t="str">
        <f t="shared" si="107"/>
        <v>قراردادي بهره بردار</v>
      </c>
      <c r="E990" s="1" t="str">
        <f t="shared" si="106"/>
        <v>پروژه تعميرات نيروگاه بوشهر</v>
      </c>
      <c r="F990" s="1">
        <v>14362339</v>
      </c>
      <c r="G990" s="1">
        <v>0</v>
      </c>
      <c r="H990" s="1">
        <v>0</v>
      </c>
      <c r="I990" s="1">
        <v>8835617</v>
      </c>
      <c r="J990" s="1">
        <v>0</v>
      </c>
      <c r="K990" s="1">
        <v>10685138</v>
      </c>
      <c r="L990" s="1">
        <v>0</v>
      </c>
      <c r="M990" s="1">
        <v>4620000</v>
      </c>
      <c r="N990" s="1">
        <v>0</v>
      </c>
      <c r="O990" s="1">
        <v>1000000</v>
      </c>
      <c r="P990" s="1">
        <v>2403633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1848000</v>
      </c>
      <c r="W990" s="1">
        <v>0</v>
      </c>
      <c r="X990" s="1">
        <v>3794342</v>
      </c>
      <c r="Y990" s="1">
        <v>4000000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1888569</v>
      </c>
      <c r="AH990" s="1">
        <v>3670854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8603749</v>
      </c>
      <c r="AO990" s="1">
        <v>0</v>
      </c>
      <c r="AP990" s="1">
        <v>0</v>
      </c>
      <c r="AQ990" s="1">
        <v>0</v>
      </c>
      <c r="AR990" s="1">
        <v>65712241</v>
      </c>
      <c r="AS990" s="1">
        <v>27090311</v>
      </c>
      <c r="AT990" s="1">
        <v>38621930</v>
      </c>
      <c r="AU990" s="1">
        <v>12408277</v>
      </c>
      <c r="AV990" s="1">
        <v>1861242</v>
      </c>
      <c r="AW990" s="1">
        <f t="shared" si="104"/>
        <v>79981760</v>
      </c>
    </row>
    <row r="991" spans="1:49" x14ac:dyDescent="0.2">
      <c r="A991" s="1" t="str">
        <f>"01288"</f>
        <v>01288</v>
      </c>
      <c r="B991" s="1" t="str">
        <f>"مهدي"</f>
        <v>مهدي</v>
      </c>
      <c r="C991" s="1" t="str">
        <f>"انصاري جابري"</f>
        <v>انصاري جابري</v>
      </c>
      <c r="D991" s="1" t="str">
        <f t="shared" si="107"/>
        <v>قراردادي بهره بردار</v>
      </c>
      <c r="E991" s="1" t="str">
        <f t="shared" si="106"/>
        <v>پروژه تعميرات نيروگاه بوشهر</v>
      </c>
      <c r="F991" s="1">
        <v>18521649</v>
      </c>
      <c r="G991" s="1">
        <v>0</v>
      </c>
      <c r="H991" s="1">
        <v>0</v>
      </c>
      <c r="I991" s="1">
        <v>0</v>
      </c>
      <c r="J991" s="1">
        <v>0</v>
      </c>
      <c r="K991" s="1">
        <v>12900842</v>
      </c>
      <c r="L991" s="1">
        <v>0</v>
      </c>
      <c r="M991" s="1">
        <v>5500000</v>
      </c>
      <c r="N991" s="1">
        <v>0</v>
      </c>
      <c r="O991" s="1">
        <v>1000000</v>
      </c>
      <c r="P991" s="1">
        <v>2845386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1848000</v>
      </c>
      <c r="W991" s="1">
        <v>0</v>
      </c>
      <c r="X991" s="1">
        <v>4487480</v>
      </c>
      <c r="Y991" s="1">
        <v>4000000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2235660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8371271</v>
      </c>
      <c r="AO991" s="1">
        <v>0</v>
      </c>
      <c r="AP991" s="1">
        <v>0</v>
      </c>
      <c r="AQ991" s="1">
        <v>0</v>
      </c>
      <c r="AR991" s="1">
        <v>61710288</v>
      </c>
      <c r="AS991" s="1">
        <v>24803513</v>
      </c>
      <c r="AT991" s="1">
        <v>36906775</v>
      </c>
      <c r="AU991" s="1">
        <v>12342058</v>
      </c>
      <c r="AV991" s="1">
        <v>1851309</v>
      </c>
      <c r="AW991" s="1">
        <f t="shared" si="104"/>
        <v>75903655</v>
      </c>
    </row>
    <row r="992" spans="1:49" x14ac:dyDescent="0.2">
      <c r="A992" s="1" t="str">
        <f>"01289"</f>
        <v>01289</v>
      </c>
      <c r="B992" s="1" t="str">
        <f>"احسان"</f>
        <v>احسان</v>
      </c>
      <c r="C992" s="1" t="str">
        <f>"اوستاد"</f>
        <v>اوستاد</v>
      </c>
      <c r="D992" s="1" t="str">
        <f t="shared" si="107"/>
        <v>قراردادي بهره بردار</v>
      </c>
      <c r="E992" s="1" t="str">
        <f t="shared" si="106"/>
        <v>پروژه تعميرات نيروگاه بوشهر</v>
      </c>
      <c r="F992" s="1">
        <v>18874346</v>
      </c>
      <c r="G992" s="1">
        <v>0</v>
      </c>
      <c r="H992" s="1">
        <v>0</v>
      </c>
      <c r="I992" s="1">
        <v>712909</v>
      </c>
      <c r="J992" s="1">
        <v>0</v>
      </c>
      <c r="K992" s="1">
        <v>13261980</v>
      </c>
      <c r="L992" s="1">
        <v>0</v>
      </c>
      <c r="M992" s="1">
        <v>5500000</v>
      </c>
      <c r="N992" s="1">
        <v>0</v>
      </c>
      <c r="O992" s="1">
        <v>1000000</v>
      </c>
      <c r="P992" s="1">
        <v>2968830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1848000</v>
      </c>
      <c r="W992" s="1">
        <v>0</v>
      </c>
      <c r="X992" s="1">
        <v>4592245</v>
      </c>
      <c r="Y992" s="1">
        <v>4000000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2332652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8484638</v>
      </c>
      <c r="AO992" s="1">
        <v>0</v>
      </c>
      <c r="AP992" s="1">
        <v>0</v>
      </c>
      <c r="AQ992" s="1">
        <v>0</v>
      </c>
      <c r="AR992" s="1">
        <v>63575600</v>
      </c>
      <c r="AS992" s="1">
        <v>23453674</v>
      </c>
      <c r="AT992" s="1">
        <v>40121926</v>
      </c>
      <c r="AU992" s="1">
        <v>12715120</v>
      </c>
      <c r="AV992" s="1">
        <v>1907268</v>
      </c>
      <c r="AW992" s="1">
        <f t="shared" si="104"/>
        <v>78197988</v>
      </c>
    </row>
    <row r="993" spans="1:49" x14ac:dyDescent="0.2">
      <c r="A993" s="1" t="str">
        <f>"01290"</f>
        <v>01290</v>
      </c>
      <c r="B993" s="1" t="str">
        <f>"مرتضي"</f>
        <v>مرتضي</v>
      </c>
      <c r="C993" s="1" t="str">
        <f>"اوشال"</f>
        <v>اوشال</v>
      </c>
      <c r="D993" s="1" t="str">
        <f t="shared" si="107"/>
        <v>قراردادي بهره بردار</v>
      </c>
      <c r="E993" s="1" t="str">
        <f t="shared" si="106"/>
        <v>پروژه تعميرات نيروگاه بوشهر</v>
      </c>
      <c r="F993" s="1">
        <v>13193400</v>
      </c>
      <c r="G993" s="1">
        <v>0</v>
      </c>
      <c r="H993" s="1">
        <v>0</v>
      </c>
      <c r="I993" s="1">
        <v>0</v>
      </c>
      <c r="J993" s="1">
        <v>0</v>
      </c>
      <c r="K993" s="1">
        <v>8911681</v>
      </c>
      <c r="L993" s="1">
        <v>0</v>
      </c>
      <c r="M993" s="1">
        <v>3465000</v>
      </c>
      <c r="N993" s="1">
        <v>0</v>
      </c>
      <c r="O993" s="1">
        <v>1000000</v>
      </c>
      <c r="P993" s="1">
        <v>2126765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1848000</v>
      </c>
      <c r="W993" s="1">
        <v>0</v>
      </c>
      <c r="X993" s="1">
        <v>3383131</v>
      </c>
      <c r="Y993" s="1">
        <v>4000000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1671029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7928435</v>
      </c>
      <c r="AO993" s="1">
        <v>0</v>
      </c>
      <c r="AP993" s="1">
        <v>0</v>
      </c>
      <c r="AQ993" s="1">
        <v>0</v>
      </c>
      <c r="AR993" s="1">
        <v>47527441</v>
      </c>
      <c r="AS993" s="1">
        <v>14024537</v>
      </c>
      <c r="AT993" s="1">
        <v>33502904</v>
      </c>
      <c r="AU993" s="1">
        <v>9505488</v>
      </c>
      <c r="AV993" s="1">
        <v>1425823</v>
      </c>
      <c r="AW993" s="1">
        <f t="shared" si="104"/>
        <v>58458752</v>
      </c>
    </row>
    <row r="994" spans="1:49" x14ac:dyDescent="0.2">
      <c r="A994" s="1" t="str">
        <f>"01291"</f>
        <v>01291</v>
      </c>
      <c r="B994" s="1" t="str">
        <f>"منصور"</f>
        <v>منصور</v>
      </c>
      <c r="C994" s="1" t="str">
        <f>"ايزدپناه"</f>
        <v>ايزدپناه</v>
      </c>
      <c r="D994" s="1" t="str">
        <f t="shared" si="107"/>
        <v>قراردادي بهره بردار</v>
      </c>
      <c r="E994" s="1" t="str">
        <f t="shared" si="106"/>
        <v>پروژه تعميرات نيروگاه بوشهر</v>
      </c>
      <c r="F994" s="1">
        <v>14483264</v>
      </c>
      <c r="G994" s="1">
        <v>0</v>
      </c>
      <c r="H994" s="1">
        <v>0</v>
      </c>
      <c r="I994" s="1">
        <v>0</v>
      </c>
      <c r="J994" s="1">
        <v>0</v>
      </c>
      <c r="K994" s="1">
        <v>10961111</v>
      </c>
      <c r="L994" s="1">
        <v>0</v>
      </c>
      <c r="M994" s="1">
        <v>4620000</v>
      </c>
      <c r="N994" s="1">
        <v>0</v>
      </c>
      <c r="O994" s="1">
        <v>1000000</v>
      </c>
      <c r="P994" s="1">
        <v>2445956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1848000</v>
      </c>
      <c r="W994" s="1">
        <v>0</v>
      </c>
      <c r="X994" s="1">
        <v>3954156</v>
      </c>
      <c r="Y994" s="1">
        <v>4000000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1921822</v>
      </c>
      <c r="AH994" s="1">
        <v>1835427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9729408</v>
      </c>
      <c r="AO994" s="1">
        <v>0</v>
      </c>
      <c r="AP994" s="1">
        <v>0</v>
      </c>
      <c r="AQ994" s="1">
        <v>0</v>
      </c>
      <c r="AR994" s="1">
        <v>56799144</v>
      </c>
      <c r="AS994" s="1">
        <v>22136393</v>
      </c>
      <c r="AT994" s="1">
        <v>34662751</v>
      </c>
      <c r="AU994" s="1">
        <v>10992743</v>
      </c>
      <c r="AV994" s="1">
        <v>1648912</v>
      </c>
      <c r="AW994" s="1">
        <f t="shared" si="104"/>
        <v>69440799</v>
      </c>
    </row>
    <row r="995" spans="1:49" x14ac:dyDescent="0.2">
      <c r="A995" s="1" t="str">
        <f>"01292"</f>
        <v>01292</v>
      </c>
      <c r="B995" s="1" t="str">
        <f>"عباس"</f>
        <v>عباس</v>
      </c>
      <c r="C995" s="1" t="str">
        <f>"ايمان منش"</f>
        <v>ايمان منش</v>
      </c>
      <c r="D995" s="1" t="str">
        <f t="shared" si="107"/>
        <v>قراردادي بهره بردار</v>
      </c>
      <c r="E995" s="1" t="str">
        <f t="shared" si="106"/>
        <v>پروژه تعميرات نيروگاه بوشهر</v>
      </c>
      <c r="F995" s="1">
        <v>13757715</v>
      </c>
      <c r="G995" s="1">
        <v>0</v>
      </c>
      <c r="H995" s="1">
        <v>0</v>
      </c>
      <c r="I995" s="1">
        <v>0</v>
      </c>
      <c r="J995" s="1">
        <v>0</v>
      </c>
      <c r="K995" s="1">
        <v>7457626</v>
      </c>
      <c r="L995" s="1">
        <v>0</v>
      </c>
      <c r="M995" s="1">
        <v>3465000</v>
      </c>
      <c r="N995" s="1">
        <v>0</v>
      </c>
      <c r="O995" s="1">
        <v>1000000</v>
      </c>
      <c r="P995" s="1">
        <v>2487398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1848000</v>
      </c>
      <c r="W995" s="1">
        <v>0</v>
      </c>
      <c r="X995" s="1">
        <v>3140949</v>
      </c>
      <c r="Y995" s="1">
        <v>4000000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1954384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5752367</v>
      </c>
      <c r="AO995" s="1">
        <v>0</v>
      </c>
      <c r="AP995" s="1">
        <v>0</v>
      </c>
      <c r="AQ995" s="1">
        <v>0</v>
      </c>
      <c r="AR995" s="1">
        <v>44863439</v>
      </c>
      <c r="AS995" s="1">
        <v>17808469</v>
      </c>
      <c r="AT995" s="1">
        <v>27054970</v>
      </c>
      <c r="AU995" s="1">
        <v>8972688</v>
      </c>
      <c r="AV995" s="1">
        <v>1345903</v>
      </c>
      <c r="AW995" s="1">
        <f t="shared" si="104"/>
        <v>55182030</v>
      </c>
    </row>
    <row r="996" spans="1:49" x14ac:dyDescent="0.2">
      <c r="A996" s="1" t="str">
        <f>"01294"</f>
        <v>01294</v>
      </c>
      <c r="B996" s="1" t="str">
        <f>"حسين"</f>
        <v>حسين</v>
      </c>
      <c r="C996" s="1" t="str">
        <f>"باغباني"</f>
        <v>باغباني</v>
      </c>
      <c r="D996" s="1" t="str">
        <f t="shared" si="107"/>
        <v>قراردادي بهره بردار</v>
      </c>
      <c r="E996" s="1" t="str">
        <f t="shared" si="106"/>
        <v>پروژه تعميرات نيروگاه بوشهر</v>
      </c>
      <c r="F996" s="1">
        <v>12432581</v>
      </c>
      <c r="G996" s="1">
        <v>0</v>
      </c>
      <c r="H996" s="1">
        <v>0</v>
      </c>
      <c r="I996" s="1">
        <v>0</v>
      </c>
      <c r="J996" s="1">
        <v>0</v>
      </c>
      <c r="K996" s="1">
        <v>6645127</v>
      </c>
      <c r="L996" s="1">
        <v>0</v>
      </c>
      <c r="M996" s="1">
        <v>4620000</v>
      </c>
      <c r="N996" s="1">
        <v>0</v>
      </c>
      <c r="O996" s="1">
        <v>1000000</v>
      </c>
      <c r="P996" s="1">
        <v>2155863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1848000</v>
      </c>
      <c r="W996" s="1">
        <v>0</v>
      </c>
      <c r="X996" s="1">
        <v>3247612</v>
      </c>
      <c r="Y996" s="1">
        <v>4000000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1693892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9548651</v>
      </c>
      <c r="AO996" s="1">
        <v>0</v>
      </c>
      <c r="AP996" s="1">
        <v>0</v>
      </c>
      <c r="AQ996" s="1">
        <v>0</v>
      </c>
      <c r="AR996" s="1">
        <v>47191726</v>
      </c>
      <c r="AS996" s="1">
        <v>15540475</v>
      </c>
      <c r="AT996" s="1">
        <v>31651251</v>
      </c>
      <c r="AU996" s="1">
        <v>9438345</v>
      </c>
      <c r="AV996" s="1">
        <v>1415752</v>
      </c>
      <c r="AW996" s="1">
        <f t="shared" si="104"/>
        <v>58045823</v>
      </c>
    </row>
    <row r="997" spans="1:49" x14ac:dyDescent="0.2">
      <c r="A997" s="1" t="str">
        <f>"01295"</f>
        <v>01295</v>
      </c>
      <c r="B997" s="1" t="str">
        <f>"مهدي"</f>
        <v>مهدي</v>
      </c>
      <c r="C997" s="1" t="str">
        <f>"برمک"</f>
        <v>برمک</v>
      </c>
      <c r="D997" s="1" t="str">
        <f t="shared" si="107"/>
        <v>قراردادي بهره بردار</v>
      </c>
      <c r="E997" s="1" t="str">
        <f t="shared" si="106"/>
        <v>پروژه تعميرات نيروگاه بوشهر</v>
      </c>
      <c r="F997" s="1">
        <v>13359671</v>
      </c>
      <c r="G997" s="1">
        <v>0</v>
      </c>
      <c r="H997" s="1">
        <v>0</v>
      </c>
      <c r="I997" s="1">
        <v>0</v>
      </c>
      <c r="J997" s="1">
        <v>0</v>
      </c>
      <c r="K997" s="1">
        <v>9373406</v>
      </c>
      <c r="L997" s="1">
        <v>0</v>
      </c>
      <c r="M997" s="1">
        <v>4620000</v>
      </c>
      <c r="N997" s="1">
        <v>0</v>
      </c>
      <c r="O997" s="1">
        <v>1000000</v>
      </c>
      <c r="P997" s="1">
        <v>2184960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1848000</v>
      </c>
      <c r="W997" s="1">
        <v>0</v>
      </c>
      <c r="X997" s="1">
        <v>3561870</v>
      </c>
      <c r="Y997" s="1">
        <v>4000000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1716754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8983906</v>
      </c>
      <c r="AO997" s="1">
        <v>0</v>
      </c>
      <c r="AP997" s="1">
        <v>0</v>
      </c>
      <c r="AQ997" s="1">
        <v>0</v>
      </c>
      <c r="AR997" s="1">
        <v>50648567</v>
      </c>
      <c r="AS997" s="1">
        <v>7476901</v>
      </c>
      <c r="AT997" s="1">
        <v>43171666</v>
      </c>
      <c r="AU997" s="1">
        <v>10129713</v>
      </c>
      <c r="AV997" s="1">
        <v>1519457</v>
      </c>
      <c r="AW997" s="1">
        <f t="shared" si="104"/>
        <v>62297737</v>
      </c>
    </row>
    <row r="998" spans="1:49" x14ac:dyDescent="0.2">
      <c r="A998" s="1" t="str">
        <f>"01297"</f>
        <v>01297</v>
      </c>
      <c r="B998" s="1" t="str">
        <f>"مهدي"</f>
        <v>مهدي</v>
      </c>
      <c r="C998" s="1" t="str">
        <f>"بيژني"</f>
        <v>بيژني</v>
      </c>
      <c r="D998" s="1" t="str">
        <f t="shared" si="107"/>
        <v>قراردادي بهره بردار</v>
      </c>
      <c r="E998" s="1" t="str">
        <f t="shared" si="106"/>
        <v>پروژه تعميرات نيروگاه بوشهر</v>
      </c>
      <c r="F998" s="1">
        <v>13430211</v>
      </c>
      <c r="G998" s="1">
        <v>0</v>
      </c>
      <c r="H998" s="1">
        <v>0</v>
      </c>
      <c r="I998" s="1">
        <v>0</v>
      </c>
      <c r="J998" s="1">
        <v>0</v>
      </c>
      <c r="K998" s="1">
        <v>8801965</v>
      </c>
      <c r="L998" s="1">
        <v>0</v>
      </c>
      <c r="M998" s="1">
        <v>4620000</v>
      </c>
      <c r="N998" s="1">
        <v>0</v>
      </c>
      <c r="O998" s="1">
        <v>1000000</v>
      </c>
      <c r="P998" s="1">
        <v>2209649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1848000</v>
      </c>
      <c r="W998" s="1">
        <v>0</v>
      </c>
      <c r="X998" s="1">
        <v>3368559</v>
      </c>
      <c r="Y998" s="1">
        <v>4000000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1736153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7507616</v>
      </c>
      <c r="AO998" s="1">
        <v>0</v>
      </c>
      <c r="AP998" s="1">
        <v>0</v>
      </c>
      <c r="AQ998" s="1">
        <v>0</v>
      </c>
      <c r="AR998" s="1">
        <v>48522153</v>
      </c>
      <c r="AS998" s="1">
        <v>21052875</v>
      </c>
      <c r="AT998" s="1">
        <v>27469278</v>
      </c>
      <c r="AU998" s="1">
        <v>9704431</v>
      </c>
      <c r="AV998" s="1">
        <v>1455665</v>
      </c>
      <c r="AW998" s="1">
        <f t="shared" si="104"/>
        <v>59682249</v>
      </c>
    </row>
    <row r="999" spans="1:49" x14ac:dyDescent="0.2">
      <c r="A999" s="1" t="str">
        <f>"01298"</f>
        <v>01298</v>
      </c>
      <c r="B999" s="1" t="str">
        <f>"کريم"</f>
        <v>کريم</v>
      </c>
      <c r="C999" s="1" t="str">
        <f>"پرتابيان"</f>
        <v>پرتابيان</v>
      </c>
      <c r="D999" s="1" t="str">
        <f t="shared" si="107"/>
        <v>قراردادي بهره بردار</v>
      </c>
      <c r="E999" s="1" t="str">
        <f t="shared" si="106"/>
        <v>پروژه تعميرات نيروگاه بوشهر</v>
      </c>
      <c r="F999" s="1">
        <v>12868414</v>
      </c>
      <c r="G999" s="1">
        <v>0</v>
      </c>
      <c r="H999" s="1">
        <v>0</v>
      </c>
      <c r="I999" s="1">
        <v>0</v>
      </c>
      <c r="J999" s="1">
        <v>0</v>
      </c>
      <c r="K999" s="1">
        <v>7512980</v>
      </c>
      <c r="L999" s="1">
        <v>0</v>
      </c>
      <c r="M999" s="1">
        <v>4620000</v>
      </c>
      <c r="N999" s="1">
        <v>0</v>
      </c>
      <c r="O999" s="1">
        <v>1000000</v>
      </c>
      <c r="P999" s="1">
        <v>2013020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1848000</v>
      </c>
      <c r="W999" s="1">
        <v>0</v>
      </c>
      <c r="X999" s="1">
        <v>3004045</v>
      </c>
      <c r="Y999" s="1">
        <v>4000000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1581658</v>
      </c>
      <c r="AH999" s="1">
        <v>1835427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6064379</v>
      </c>
      <c r="AO999" s="1">
        <v>0</v>
      </c>
      <c r="AP999" s="1">
        <v>0</v>
      </c>
      <c r="AQ999" s="1">
        <v>0</v>
      </c>
      <c r="AR999" s="1">
        <v>46347923</v>
      </c>
      <c r="AS999" s="1">
        <v>7267080</v>
      </c>
      <c r="AT999" s="1">
        <v>39080843</v>
      </c>
      <c r="AU999" s="1">
        <v>8902499</v>
      </c>
      <c r="AV999" s="1">
        <v>1335375</v>
      </c>
      <c r="AW999" s="1">
        <f t="shared" si="104"/>
        <v>56585797</v>
      </c>
    </row>
    <row r="1000" spans="1:49" x14ac:dyDescent="0.2">
      <c r="A1000" s="1" t="str">
        <f>"01299"</f>
        <v>01299</v>
      </c>
      <c r="B1000" s="1" t="str">
        <f>"عارف"</f>
        <v>عارف</v>
      </c>
      <c r="C1000" s="1" t="str">
        <f>"پورسوسن"</f>
        <v>پورسوسن</v>
      </c>
      <c r="D1000" s="1" t="str">
        <f t="shared" si="107"/>
        <v>قراردادي بهره بردار</v>
      </c>
      <c r="E1000" s="1" t="str">
        <f t="shared" si="106"/>
        <v>پروژه تعميرات نيروگاه بوشهر</v>
      </c>
      <c r="F1000" s="1">
        <v>12467851</v>
      </c>
      <c r="G1000" s="1">
        <v>0</v>
      </c>
      <c r="H1000" s="1">
        <v>0</v>
      </c>
      <c r="I1000" s="1">
        <v>0</v>
      </c>
      <c r="J1000" s="1">
        <v>0</v>
      </c>
      <c r="K1000" s="1">
        <v>6670231</v>
      </c>
      <c r="L1000" s="1">
        <v>0</v>
      </c>
      <c r="M1000" s="1">
        <v>4620000</v>
      </c>
      <c r="N1000" s="1">
        <v>0</v>
      </c>
      <c r="O1000" s="1">
        <v>1000000</v>
      </c>
      <c r="P1000" s="1">
        <v>2168207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1848000</v>
      </c>
      <c r="W1000" s="1">
        <v>0</v>
      </c>
      <c r="X1000" s="1">
        <v>2883102</v>
      </c>
      <c r="Y1000" s="1">
        <v>4000000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1703592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5821144</v>
      </c>
      <c r="AO1000" s="1">
        <v>0</v>
      </c>
      <c r="AP1000" s="1">
        <v>0</v>
      </c>
      <c r="AQ1000" s="1">
        <v>0</v>
      </c>
      <c r="AR1000" s="1">
        <v>43182127</v>
      </c>
      <c r="AS1000" s="1">
        <v>10159858</v>
      </c>
      <c r="AT1000" s="1">
        <v>33022269</v>
      </c>
      <c r="AU1000" s="1">
        <v>8636425</v>
      </c>
      <c r="AV1000" s="1">
        <v>1295464</v>
      </c>
      <c r="AW1000" s="1">
        <f t="shared" si="104"/>
        <v>53114016</v>
      </c>
    </row>
    <row r="1001" spans="1:49" x14ac:dyDescent="0.2">
      <c r="A1001" s="1" t="str">
        <f>"01300"</f>
        <v>01300</v>
      </c>
      <c r="B1001" s="1" t="str">
        <f>"محمدجواد"</f>
        <v>محمدجواد</v>
      </c>
      <c r="C1001" s="1" t="str">
        <f>"پولادي"</f>
        <v>پولادي</v>
      </c>
      <c r="D1001" s="1" t="str">
        <f t="shared" si="107"/>
        <v>قراردادي بهره بردار</v>
      </c>
      <c r="E1001" s="1" t="str">
        <f t="shared" si="106"/>
        <v>پروژه تعميرات نيروگاه بوشهر</v>
      </c>
      <c r="F1001" s="1">
        <v>19778763</v>
      </c>
      <c r="G1001" s="1">
        <v>0</v>
      </c>
      <c r="H1001" s="1">
        <v>0</v>
      </c>
      <c r="I1001" s="1">
        <v>3707611</v>
      </c>
      <c r="J1001" s="1">
        <v>0</v>
      </c>
      <c r="K1001" s="1">
        <v>13954315</v>
      </c>
      <c r="L1001" s="1">
        <v>0</v>
      </c>
      <c r="M1001" s="1">
        <v>5500000</v>
      </c>
      <c r="N1001" s="1">
        <v>0</v>
      </c>
      <c r="O1001" s="1">
        <v>1000000</v>
      </c>
      <c r="P1001" s="1">
        <v>3060531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1848000</v>
      </c>
      <c r="W1001" s="1">
        <v>0</v>
      </c>
      <c r="X1001" s="1">
        <v>4776559</v>
      </c>
      <c r="Y1001" s="1">
        <v>4000000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2404703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8567271</v>
      </c>
      <c r="AO1001" s="1">
        <v>0</v>
      </c>
      <c r="AP1001" s="1">
        <v>0</v>
      </c>
      <c r="AQ1001" s="1">
        <v>0</v>
      </c>
      <c r="AR1001" s="1">
        <v>68597753</v>
      </c>
      <c r="AS1001" s="1">
        <v>9583834</v>
      </c>
      <c r="AT1001" s="1">
        <v>59013919</v>
      </c>
      <c r="AU1001" s="1">
        <v>13719551</v>
      </c>
      <c r="AV1001" s="1">
        <v>2057933</v>
      </c>
      <c r="AW1001" s="1">
        <f t="shared" si="104"/>
        <v>84375237</v>
      </c>
    </row>
    <row r="1002" spans="1:49" x14ac:dyDescent="0.2">
      <c r="A1002" s="1" t="str">
        <f>"01301"</f>
        <v>01301</v>
      </c>
      <c r="B1002" s="1" t="str">
        <f>"حامد"</f>
        <v>حامد</v>
      </c>
      <c r="C1002" s="1" t="str">
        <f>"تاروردي چماچايي"</f>
        <v>تاروردي چماچايي</v>
      </c>
      <c r="D1002" s="1" t="str">
        <f t="shared" si="107"/>
        <v>قراردادي بهره بردار</v>
      </c>
      <c r="E1002" s="1" t="str">
        <f t="shared" si="106"/>
        <v>پروژه تعميرات نيروگاه بوشهر</v>
      </c>
      <c r="F1002" s="1">
        <v>20970376</v>
      </c>
      <c r="G1002" s="1">
        <v>0</v>
      </c>
      <c r="H1002" s="1">
        <v>0</v>
      </c>
      <c r="I1002" s="1">
        <v>0</v>
      </c>
      <c r="J1002" s="1">
        <v>0</v>
      </c>
      <c r="K1002" s="1">
        <v>15039067</v>
      </c>
      <c r="L1002" s="1">
        <v>0</v>
      </c>
      <c r="M1002" s="1">
        <v>6416667</v>
      </c>
      <c r="N1002" s="1">
        <v>0</v>
      </c>
      <c r="O1002" s="1">
        <v>1000000</v>
      </c>
      <c r="P1002" s="1">
        <v>3477596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1848000</v>
      </c>
      <c r="W1002" s="1">
        <v>0</v>
      </c>
      <c r="X1002" s="1">
        <v>5048304</v>
      </c>
      <c r="Y1002" s="1">
        <v>4000000</v>
      </c>
      <c r="Z1002" s="1">
        <v>0</v>
      </c>
      <c r="AA1002" s="1">
        <v>0</v>
      </c>
      <c r="AB1002" s="1">
        <v>0</v>
      </c>
      <c r="AC1002" s="1">
        <v>10000000</v>
      </c>
      <c r="AD1002" s="1">
        <v>0</v>
      </c>
      <c r="AE1002" s="1">
        <v>0</v>
      </c>
      <c r="AF1002" s="1">
        <v>0</v>
      </c>
      <c r="AG1002" s="1">
        <v>2732397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8263598</v>
      </c>
      <c r="AO1002" s="1">
        <v>0</v>
      </c>
      <c r="AP1002" s="1">
        <v>0</v>
      </c>
      <c r="AQ1002" s="1">
        <v>0</v>
      </c>
      <c r="AR1002" s="1">
        <v>78796005</v>
      </c>
      <c r="AS1002" s="1">
        <v>10881516</v>
      </c>
      <c r="AT1002" s="1">
        <v>67914489</v>
      </c>
      <c r="AU1002" s="1">
        <v>13759201</v>
      </c>
      <c r="AV1002" s="1">
        <v>2063880</v>
      </c>
      <c r="AW1002" s="1">
        <f t="shared" si="104"/>
        <v>94619086</v>
      </c>
    </row>
    <row r="1003" spans="1:49" x14ac:dyDescent="0.2">
      <c r="A1003" s="1" t="str">
        <f>"01303"</f>
        <v>01303</v>
      </c>
      <c r="B1003" s="1" t="str">
        <f>"رضا"</f>
        <v>رضا</v>
      </c>
      <c r="C1003" s="1" t="str">
        <f>"تيموري"</f>
        <v>تيموري</v>
      </c>
      <c r="D1003" s="1" t="str">
        <f t="shared" si="107"/>
        <v>قراردادي بهره بردار</v>
      </c>
      <c r="E1003" s="1" t="str">
        <f t="shared" si="106"/>
        <v>پروژه تعميرات نيروگاه بوشهر</v>
      </c>
      <c r="F1003" s="1">
        <v>18755940</v>
      </c>
      <c r="G1003" s="1">
        <v>0</v>
      </c>
      <c r="H1003" s="1">
        <v>0</v>
      </c>
      <c r="I1003" s="1">
        <v>25230029</v>
      </c>
      <c r="J1003" s="1">
        <v>0</v>
      </c>
      <c r="K1003" s="1">
        <v>11757329</v>
      </c>
      <c r="L1003" s="1">
        <v>0</v>
      </c>
      <c r="M1003" s="1">
        <v>5500000</v>
      </c>
      <c r="N1003" s="1">
        <v>0</v>
      </c>
      <c r="O1003" s="1">
        <v>1000000</v>
      </c>
      <c r="P1003" s="1">
        <v>2927388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1848000</v>
      </c>
      <c r="W1003" s="1">
        <v>0</v>
      </c>
      <c r="X1003" s="1">
        <v>4333886</v>
      </c>
      <c r="Y1003" s="1">
        <v>4000000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2300090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7598108</v>
      </c>
      <c r="AO1003" s="1">
        <v>0</v>
      </c>
      <c r="AP1003" s="1">
        <v>0</v>
      </c>
      <c r="AQ1003" s="1">
        <v>0</v>
      </c>
      <c r="AR1003" s="1">
        <v>85250770</v>
      </c>
      <c r="AS1003" s="1">
        <v>16369750</v>
      </c>
      <c r="AT1003" s="1">
        <v>68881020</v>
      </c>
      <c r="AU1003" s="1">
        <v>17050154</v>
      </c>
      <c r="AV1003" s="1">
        <v>2557523</v>
      </c>
      <c r="AW1003" s="1">
        <f t="shared" si="104"/>
        <v>104858447</v>
      </c>
    </row>
    <row r="1004" spans="1:49" x14ac:dyDescent="0.2">
      <c r="A1004" s="1" t="str">
        <f>"01304"</f>
        <v>01304</v>
      </c>
      <c r="B1004" s="1" t="str">
        <f>"محسن"</f>
        <v>محسن</v>
      </c>
      <c r="C1004" s="1" t="str">
        <f>"جعفري"</f>
        <v>جعفري</v>
      </c>
      <c r="D1004" s="1" t="str">
        <f t="shared" si="107"/>
        <v>قراردادي بهره بردار</v>
      </c>
      <c r="E1004" s="1" t="str">
        <f t="shared" si="106"/>
        <v>پروژه تعميرات نيروگاه بوشهر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f t="shared" si="104"/>
        <v>0</v>
      </c>
    </row>
    <row r="1005" spans="1:49" x14ac:dyDescent="0.2">
      <c r="A1005" s="1" t="str">
        <f>"01305"</f>
        <v>01305</v>
      </c>
      <c r="B1005" s="1" t="str">
        <f>"حسن"</f>
        <v>حسن</v>
      </c>
      <c r="C1005" s="1" t="str">
        <f>"جلوه گر خوش"</f>
        <v>جلوه گر خوش</v>
      </c>
      <c r="D1005" s="1" t="str">
        <f t="shared" si="107"/>
        <v>قراردادي بهره بردار</v>
      </c>
      <c r="E1005" s="1" t="str">
        <f t="shared" si="106"/>
        <v>پروژه تعميرات نيروگاه بوشهر</v>
      </c>
      <c r="F1005" s="1">
        <v>13067436</v>
      </c>
      <c r="G1005" s="1">
        <v>0</v>
      </c>
      <c r="H1005" s="1">
        <v>0</v>
      </c>
      <c r="I1005" s="1">
        <v>0</v>
      </c>
      <c r="J1005" s="1">
        <v>0</v>
      </c>
      <c r="K1005" s="1">
        <v>8273007</v>
      </c>
      <c r="L1005" s="1">
        <v>0</v>
      </c>
      <c r="M1005" s="1">
        <v>4620000</v>
      </c>
      <c r="N1005" s="1">
        <v>0</v>
      </c>
      <c r="O1005" s="1">
        <v>1000000</v>
      </c>
      <c r="P1005" s="1">
        <v>2082678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1848000</v>
      </c>
      <c r="W1005" s="1">
        <v>0</v>
      </c>
      <c r="X1005" s="1">
        <v>3229282</v>
      </c>
      <c r="Y1005" s="1">
        <v>4000000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1636390</v>
      </c>
      <c r="AH1005" s="1">
        <v>1835427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7233319</v>
      </c>
      <c r="AO1005" s="1">
        <v>0</v>
      </c>
      <c r="AP1005" s="1">
        <v>0</v>
      </c>
      <c r="AQ1005" s="1">
        <v>0</v>
      </c>
      <c r="AR1005" s="1">
        <v>48825539</v>
      </c>
      <c r="AS1005" s="1">
        <v>14205270</v>
      </c>
      <c r="AT1005" s="1">
        <v>34620269</v>
      </c>
      <c r="AU1005" s="1">
        <v>9398022</v>
      </c>
      <c r="AV1005" s="1">
        <v>1409703</v>
      </c>
      <c r="AW1005" s="1">
        <f t="shared" si="104"/>
        <v>59633264</v>
      </c>
    </row>
    <row r="1006" spans="1:49" x14ac:dyDescent="0.2">
      <c r="A1006" s="1" t="str">
        <f>"01306"</f>
        <v>01306</v>
      </c>
      <c r="B1006" s="1" t="str">
        <f>"علي اكبر"</f>
        <v>علي اكبر</v>
      </c>
      <c r="C1006" s="1" t="str">
        <f>"جوان فر"</f>
        <v>جوان فر</v>
      </c>
      <c r="D1006" s="1" t="str">
        <f t="shared" si="107"/>
        <v>قراردادي بهره بردار</v>
      </c>
      <c r="E1006" s="1" t="str">
        <f t="shared" si="106"/>
        <v>پروژه تعميرات نيروگاه بوشهر</v>
      </c>
      <c r="F1006" s="1">
        <v>14009642</v>
      </c>
      <c r="G1006" s="1">
        <v>0</v>
      </c>
      <c r="H1006" s="1">
        <v>0</v>
      </c>
      <c r="I1006" s="1">
        <v>0</v>
      </c>
      <c r="J1006" s="1">
        <v>0</v>
      </c>
      <c r="K1006" s="1">
        <v>10220257</v>
      </c>
      <c r="L1006" s="1">
        <v>0</v>
      </c>
      <c r="M1006" s="1">
        <v>4620000</v>
      </c>
      <c r="N1006" s="1">
        <v>0</v>
      </c>
      <c r="O1006" s="1">
        <v>1000000</v>
      </c>
      <c r="P1006" s="1">
        <v>2412450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1848000</v>
      </c>
      <c r="W1006" s="1">
        <v>0</v>
      </c>
      <c r="X1006" s="1">
        <v>3849650</v>
      </c>
      <c r="Y1006" s="1">
        <v>4000000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1895496</v>
      </c>
      <c r="AH1006" s="1">
        <v>1835427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9958661</v>
      </c>
      <c r="AO1006" s="1">
        <v>0</v>
      </c>
      <c r="AP1006" s="1">
        <v>0</v>
      </c>
      <c r="AQ1006" s="1">
        <v>0</v>
      </c>
      <c r="AR1006" s="1">
        <v>55649583</v>
      </c>
      <c r="AS1006" s="1">
        <v>5370450</v>
      </c>
      <c r="AT1006" s="1">
        <v>50279133</v>
      </c>
      <c r="AU1006" s="1">
        <v>10762831</v>
      </c>
      <c r="AV1006" s="1">
        <v>1614425</v>
      </c>
      <c r="AW1006" s="1">
        <f t="shared" si="104"/>
        <v>68026839</v>
      </c>
    </row>
    <row r="1007" spans="1:49" x14ac:dyDescent="0.2">
      <c r="A1007" s="1" t="str">
        <f>"01307"</f>
        <v>01307</v>
      </c>
      <c r="B1007" s="1" t="str">
        <f>"سيد صادق"</f>
        <v>سيد صادق</v>
      </c>
      <c r="C1007" s="1" t="str">
        <f>"حسيني"</f>
        <v>حسيني</v>
      </c>
      <c r="D1007" s="1" t="str">
        <f t="shared" si="107"/>
        <v>قراردادي بهره بردار</v>
      </c>
      <c r="E1007" s="1" t="str">
        <f t="shared" si="106"/>
        <v>پروژه تعميرات نيروگاه بوشهر</v>
      </c>
      <c r="F1007" s="1">
        <v>18549360</v>
      </c>
      <c r="G1007" s="1">
        <v>0</v>
      </c>
      <c r="H1007" s="1">
        <v>0</v>
      </c>
      <c r="I1007" s="1">
        <v>0</v>
      </c>
      <c r="J1007" s="1">
        <v>0</v>
      </c>
      <c r="K1007" s="1">
        <v>12424982</v>
      </c>
      <c r="L1007" s="1">
        <v>0</v>
      </c>
      <c r="M1007" s="1">
        <v>4125000</v>
      </c>
      <c r="N1007" s="1">
        <v>0</v>
      </c>
      <c r="O1007" s="1">
        <v>1000000</v>
      </c>
      <c r="P1007" s="1">
        <v>2855085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1848000</v>
      </c>
      <c r="W1007" s="1">
        <v>0</v>
      </c>
      <c r="X1007" s="1">
        <v>4395882</v>
      </c>
      <c r="Y1007" s="1">
        <v>4000000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2243281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7886111</v>
      </c>
      <c r="AO1007" s="1">
        <v>0</v>
      </c>
      <c r="AP1007" s="1">
        <v>0</v>
      </c>
      <c r="AQ1007" s="1">
        <v>0</v>
      </c>
      <c r="AR1007" s="1">
        <v>59327701</v>
      </c>
      <c r="AS1007" s="1">
        <v>18819745</v>
      </c>
      <c r="AT1007" s="1">
        <v>40507956</v>
      </c>
      <c r="AU1007" s="1">
        <v>11865540</v>
      </c>
      <c r="AV1007" s="1">
        <v>1779831</v>
      </c>
      <c r="AW1007" s="1">
        <f t="shared" si="104"/>
        <v>72973072</v>
      </c>
    </row>
    <row r="1008" spans="1:49" x14ac:dyDescent="0.2">
      <c r="A1008" s="1" t="str">
        <f>"01308"</f>
        <v>01308</v>
      </c>
      <c r="B1008" s="1" t="str">
        <f>"رضا"</f>
        <v>رضا</v>
      </c>
      <c r="C1008" s="1" t="str">
        <f>"خدري"</f>
        <v>خدري</v>
      </c>
      <c r="D1008" s="1" t="str">
        <f t="shared" si="107"/>
        <v>قراردادي بهره بردار</v>
      </c>
      <c r="E1008" s="1" t="str">
        <f t="shared" si="106"/>
        <v>پروژه تعميرات نيروگاه بوشهر</v>
      </c>
      <c r="F1008" s="1">
        <v>12513198</v>
      </c>
      <c r="G1008" s="1">
        <v>0</v>
      </c>
      <c r="H1008" s="1">
        <v>0</v>
      </c>
      <c r="I1008" s="1">
        <v>0</v>
      </c>
      <c r="J1008" s="1">
        <v>0</v>
      </c>
      <c r="K1008" s="1">
        <v>6702509</v>
      </c>
      <c r="L1008" s="1">
        <v>0</v>
      </c>
      <c r="M1008" s="1">
        <v>3465000</v>
      </c>
      <c r="N1008" s="1">
        <v>0</v>
      </c>
      <c r="O1008" s="1">
        <v>1000000</v>
      </c>
      <c r="P1008" s="1">
        <v>2184078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1848000</v>
      </c>
      <c r="W1008" s="1">
        <v>0</v>
      </c>
      <c r="X1008" s="1">
        <v>2894027</v>
      </c>
      <c r="Y1008" s="1">
        <v>4000000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1716062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5824418</v>
      </c>
      <c r="AO1008" s="1">
        <v>0</v>
      </c>
      <c r="AP1008" s="1">
        <v>0</v>
      </c>
      <c r="AQ1008" s="1">
        <v>0</v>
      </c>
      <c r="AR1008" s="1">
        <v>42147292</v>
      </c>
      <c r="AS1008" s="1">
        <v>4991609</v>
      </c>
      <c r="AT1008" s="1">
        <v>37155683</v>
      </c>
      <c r="AU1008" s="1">
        <v>8429458</v>
      </c>
      <c r="AV1008" s="1">
        <v>1264419</v>
      </c>
      <c r="AW1008" s="1">
        <f t="shared" si="104"/>
        <v>51841169</v>
      </c>
    </row>
    <row r="1009" spans="1:49" x14ac:dyDescent="0.2">
      <c r="A1009" s="1" t="str">
        <f>"01309"</f>
        <v>01309</v>
      </c>
      <c r="B1009" s="1" t="str">
        <f>"سجاد"</f>
        <v>سجاد</v>
      </c>
      <c r="C1009" s="1" t="str">
        <f>"ذكاوت جو"</f>
        <v>ذكاوت جو</v>
      </c>
      <c r="D1009" s="1" t="str">
        <f t="shared" si="107"/>
        <v>قراردادي بهره بردار</v>
      </c>
      <c r="E1009" s="1" t="str">
        <f t="shared" si="106"/>
        <v>پروژه تعميرات نيروگاه بوشهر</v>
      </c>
      <c r="F1009" s="1">
        <v>13331959</v>
      </c>
      <c r="G1009" s="1">
        <v>0</v>
      </c>
      <c r="H1009" s="1">
        <v>0</v>
      </c>
      <c r="I1009" s="1">
        <v>513624</v>
      </c>
      <c r="J1009" s="1">
        <v>0</v>
      </c>
      <c r="K1009" s="1">
        <v>8648344</v>
      </c>
      <c r="L1009" s="1">
        <v>0</v>
      </c>
      <c r="M1009" s="1">
        <v>3465000</v>
      </c>
      <c r="N1009" s="1">
        <v>0</v>
      </c>
      <c r="O1009" s="1">
        <v>1000000</v>
      </c>
      <c r="P1009" s="1">
        <v>2175261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1848000</v>
      </c>
      <c r="W1009" s="1">
        <v>0</v>
      </c>
      <c r="X1009" s="1">
        <v>3308542</v>
      </c>
      <c r="Y1009" s="1">
        <v>4000000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1709133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7220723</v>
      </c>
      <c r="AO1009" s="1">
        <v>0</v>
      </c>
      <c r="AP1009" s="1">
        <v>0</v>
      </c>
      <c r="AQ1009" s="1">
        <v>0</v>
      </c>
      <c r="AR1009" s="1">
        <v>47220586</v>
      </c>
      <c r="AS1009" s="1">
        <v>6623742</v>
      </c>
      <c r="AT1009" s="1">
        <v>40596844</v>
      </c>
      <c r="AU1009" s="1">
        <v>9444117</v>
      </c>
      <c r="AV1009" s="1">
        <v>1416618</v>
      </c>
      <c r="AW1009" s="1">
        <f t="shared" si="104"/>
        <v>58081321</v>
      </c>
    </row>
    <row r="1010" spans="1:49" x14ac:dyDescent="0.2">
      <c r="A1010" s="1" t="str">
        <f>"01310"</f>
        <v>01310</v>
      </c>
      <c r="B1010" s="1" t="str">
        <f>"فرهاد"</f>
        <v>فرهاد</v>
      </c>
      <c r="C1010" s="1" t="str">
        <f>"رازقي نيا"</f>
        <v>رازقي نيا</v>
      </c>
      <c r="D1010" s="1" t="str">
        <f t="shared" si="107"/>
        <v>قراردادي بهره بردار</v>
      </c>
      <c r="E1010" s="1" t="str">
        <f t="shared" si="106"/>
        <v>پروژه تعميرات نيروگاه بوشهر</v>
      </c>
      <c r="F1010" s="1">
        <v>12828106</v>
      </c>
      <c r="G1010" s="1">
        <v>0</v>
      </c>
      <c r="H1010" s="1">
        <v>0</v>
      </c>
      <c r="I1010" s="1">
        <v>2632944</v>
      </c>
      <c r="J1010" s="1">
        <v>0</v>
      </c>
      <c r="K1010" s="1">
        <v>8958389</v>
      </c>
      <c r="L1010" s="1">
        <v>0</v>
      </c>
      <c r="M1010" s="1">
        <v>4620000</v>
      </c>
      <c r="N1010" s="1">
        <v>0</v>
      </c>
      <c r="O1010" s="1">
        <v>1000000</v>
      </c>
      <c r="P1010" s="1">
        <v>1998912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1848000</v>
      </c>
      <c r="W1010" s="1">
        <v>0</v>
      </c>
      <c r="X1010" s="1">
        <v>3392053</v>
      </c>
      <c r="Y1010" s="1">
        <v>4000000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1570574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8564550</v>
      </c>
      <c r="AO1010" s="1">
        <v>0</v>
      </c>
      <c r="AP1010" s="1">
        <v>0</v>
      </c>
      <c r="AQ1010" s="1">
        <v>0</v>
      </c>
      <c r="AR1010" s="1">
        <v>51413528</v>
      </c>
      <c r="AS1010" s="1">
        <v>8316451</v>
      </c>
      <c r="AT1010" s="1">
        <v>43097077</v>
      </c>
      <c r="AU1010" s="1">
        <v>10282706</v>
      </c>
      <c r="AV1010" s="1">
        <v>1542406</v>
      </c>
      <c r="AW1010" s="1">
        <f t="shared" si="104"/>
        <v>63238640</v>
      </c>
    </row>
    <row r="1011" spans="1:49" x14ac:dyDescent="0.2">
      <c r="A1011" s="1" t="str">
        <f>"01311"</f>
        <v>01311</v>
      </c>
      <c r="B1011" s="1" t="str">
        <f>"محمدرضا"</f>
        <v>محمدرضا</v>
      </c>
      <c r="C1011" s="1" t="str">
        <f>"ربيعي"</f>
        <v>ربيعي</v>
      </c>
      <c r="D1011" s="1" t="str">
        <f t="shared" si="107"/>
        <v>قراردادي بهره بردار</v>
      </c>
      <c r="E1011" s="1" t="str">
        <f t="shared" si="106"/>
        <v>پروژه تعميرات نيروگاه بوشهر</v>
      </c>
      <c r="F1011" s="1">
        <v>12790317</v>
      </c>
      <c r="G1011" s="1">
        <v>0</v>
      </c>
      <c r="H1011" s="1">
        <v>0</v>
      </c>
      <c r="I1011" s="1">
        <v>0</v>
      </c>
      <c r="J1011" s="1">
        <v>0</v>
      </c>
      <c r="K1011" s="1">
        <v>7994848</v>
      </c>
      <c r="L1011" s="1">
        <v>0</v>
      </c>
      <c r="M1011" s="1">
        <v>4620000</v>
      </c>
      <c r="N1011" s="1">
        <v>0</v>
      </c>
      <c r="O1011" s="1">
        <v>1000000</v>
      </c>
      <c r="P1011" s="1">
        <v>1985686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1848000</v>
      </c>
      <c r="W1011" s="1">
        <v>0</v>
      </c>
      <c r="X1011" s="1">
        <v>3162501</v>
      </c>
      <c r="Y1011" s="1">
        <v>4000000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1560181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7293983</v>
      </c>
      <c r="AO1011" s="1">
        <v>0</v>
      </c>
      <c r="AP1011" s="1">
        <v>0</v>
      </c>
      <c r="AQ1011" s="1">
        <v>0</v>
      </c>
      <c r="AR1011" s="1">
        <v>46255516</v>
      </c>
      <c r="AS1011" s="1">
        <v>24914247</v>
      </c>
      <c r="AT1011" s="1">
        <v>21341269</v>
      </c>
      <c r="AU1011" s="1">
        <v>9251103</v>
      </c>
      <c r="AV1011" s="1">
        <v>1387665</v>
      </c>
      <c r="AW1011" s="1">
        <f t="shared" si="104"/>
        <v>56894284</v>
      </c>
    </row>
    <row r="1012" spans="1:49" x14ac:dyDescent="0.2">
      <c r="A1012" s="1" t="str">
        <f>"01312"</f>
        <v>01312</v>
      </c>
      <c r="B1012" s="1" t="str">
        <f>"عباس"</f>
        <v>عباس</v>
      </c>
      <c r="C1012" s="1" t="str">
        <f>"رضايي"</f>
        <v>رضايي</v>
      </c>
      <c r="D1012" s="1" t="str">
        <f t="shared" si="107"/>
        <v>قراردادي بهره بردار</v>
      </c>
      <c r="E1012" s="1" t="str">
        <f t="shared" ref="E1012:E1036" si="108">"پروژه تعميرات نيروگاه بوشهر"</f>
        <v>پروژه تعميرات نيروگاه بوشهر</v>
      </c>
      <c r="F1012" s="1">
        <v>12729854</v>
      </c>
      <c r="G1012" s="1">
        <v>0</v>
      </c>
      <c r="H1012" s="1">
        <v>0</v>
      </c>
      <c r="I1012" s="1">
        <v>0</v>
      </c>
      <c r="J1012" s="1">
        <v>0</v>
      </c>
      <c r="K1012" s="1">
        <v>6856723</v>
      </c>
      <c r="L1012" s="1">
        <v>0</v>
      </c>
      <c r="M1012" s="1">
        <v>3465000</v>
      </c>
      <c r="N1012" s="1">
        <v>0</v>
      </c>
      <c r="O1012" s="1">
        <v>1000000</v>
      </c>
      <c r="P1012" s="1">
        <v>2259908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1848000</v>
      </c>
      <c r="W1012" s="1">
        <v>0</v>
      </c>
      <c r="X1012" s="1">
        <v>2953245</v>
      </c>
      <c r="Y1012" s="1">
        <v>4000000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1775642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5910326</v>
      </c>
      <c r="AO1012" s="1">
        <v>0</v>
      </c>
      <c r="AP1012" s="1">
        <v>0</v>
      </c>
      <c r="AQ1012" s="1">
        <v>0</v>
      </c>
      <c r="AR1012" s="1">
        <v>42798698</v>
      </c>
      <c r="AS1012" s="1">
        <v>23273538</v>
      </c>
      <c r="AT1012" s="1">
        <v>19525160</v>
      </c>
      <c r="AU1012" s="1">
        <v>8559740</v>
      </c>
      <c r="AV1012" s="1">
        <v>1283961</v>
      </c>
      <c r="AW1012" s="1">
        <f t="shared" si="104"/>
        <v>52642399</v>
      </c>
    </row>
    <row r="1013" spans="1:49" x14ac:dyDescent="0.2">
      <c r="A1013" s="1" t="str">
        <f>"01313"</f>
        <v>01313</v>
      </c>
      <c r="B1013" s="1" t="str">
        <f>"سعيد"</f>
        <v>سعيد</v>
      </c>
      <c r="C1013" s="1" t="str">
        <f>"زارعي"</f>
        <v>زارعي</v>
      </c>
      <c r="D1013" s="1" t="str">
        <f t="shared" si="107"/>
        <v>قراردادي بهره بردار</v>
      </c>
      <c r="E1013" s="1" t="str">
        <f t="shared" si="108"/>
        <v>پروژه تعميرات نيروگاه بوشهر</v>
      </c>
      <c r="F1013" s="1">
        <v>13266458</v>
      </c>
      <c r="G1013" s="1">
        <v>0</v>
      </c>
      <c r="H1013" s="1">
        <v>0</v>
      </c>
      <c r="I1013" s="1">
        <v>0</v>
      </c>
      <c r="J1013" s="1">
        <v>0</v>
      </c>
      <c r="K1013" s="1">
        <v>8648646</v>
      </c>
      <c r="L1013" s="1">
        <v>0</v>
      </c>
      <c r="M1013" s="1">
        <v>4620000</v>
      </c>
      <c r="N1013" s="1">
        <v>0</v>
      </c>
      <c r="O1013" s="1">
        <v>1000000</v>
      </c>
      <c r="P1013" s="1">
        <v>2152335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1848000</v>
      </c>
      <c r="W1013" s="1">
        <v>0</v>
      </c>
      <c r="X1013" s="1">
        <v>3325056</v>
      </c>
      <c r="Y1013" s="1">
        <v>4000000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1691120</v>
      </c>
      <c r="AH1013" s="1">
        <v>1835427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7491996</v>
      </c>
      <c r="AO1013" s="1">
        <v>0</v>
      </c>
      <c r="AP1013" s="1">
        <v>0</v>
      </c>
      <c r="AQ1013" s="1">
        <v>0</v>
      </c>
      <c r="AR1013" s="1">
        <v>49879038</v>
      </c>
      <c r="AS1013" s="1">
        <v>5232667</v>
      </c>
      <c r="AT1013" s="1">
        <v>44646371</v>
      </c>
      <c r="AU1013" s="1">
        <v>9608722</v>
      </c>
      <c r="AV1013" s="1">
        <v>1441308</v>
      </c>
      <c r="AW1013" s="1">
        <f t="shared" si="104"/>
        <v>60929068</v>
      </c>
    </row>
    <row r="1014" spans="1:49" x14ac:dyDescent="0.2">
      <c r="A1014" s="1" t="str">
        <f>"01314"</f>
        <v>01314</v>
      </c>
      <c r="B1014" s="1" t="str">
        <f>"عزيز"</f>
        <v>عزيز</v>
      </c>
      <c r="C1014" s="1" t="str">
        <f>"سالمي نيا"</f>
        <v>سالمي نيا</v>
      </c>
      <c r="D1014" s="1" t="str">
        <f t="shared" si="107"/>
        <v>قراردادي بهره بردار</v>
      </c>
      <c r="E1014" s="1" t="str">
        <f t="shared" si="108"/>
        <v>پروژه تعميرات نيروگاه بوشهر</v>
      </c>
      <c r="F1014" s="1">
        <v>12475409</v>
      </c>
      <c r="G1014" s="1">
        <v>0</v>
      </c>
      <c r="H1014" s="1">
        <v>0</v>
      </c>
      <c r="I1014" s="1">
        <v>0</v>
      </c>
      <c r="J1014" s="1">
        <v>0</v>
      </c>
      <c r="K1014" s="1">
        <v>6675610</v>
      </c>
      <c r="L1014" s="1">
        <v>0</v>
      </c>
      <c r="M1014" s="1">
        <v>3465000</v>
      </c>
      <c r="N1014" s="1">
        <v>0</v>
      </c>
      <c r="O1014" s="1">
        <v>1000000</v>
      </c>
      <c r="P1014" s="1">
        <v>2170853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1848000</v>
      </c>
      <c r="W1014" s="1">
        <v>0</v>
      </c>
      <c r="X1014" s="1">
        <v>2884881</v>
      </c>
      <c r="Y1014" s="1">
        <v>4000000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1705670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5821270</v>
      </c>
      <c r="AO1014" s="1">
        <v>0</v>
      </c>
      <c r="AP1014" s="1">
        <v>0</v>
      </c>
      <c r="AQ1014" s="1">
        <v>0</v>
      </c>
      <c r="AR1014" s="1">
        <v>42046693</v>
      </c>
      <c r="AS1014" s="1">
        <v>20879142</v>
      </c>
      <c r="AT1014" s="1">
        <v>21167551</v>
      </c>
      <c r="AU1014" s="1">
        <v>8409339</v>
      </c>
      <c r="AV1014" s="1">
        <v>1261401</v>
      </c>
      <c r="AW1014" s="1">
        <f t="shared" si="104"/>
        <v>51717433</v>
      </c>
    </row>
    <row r="1015" spans="1:49" x14ac:dyDescent="0.2">
      <c r="A1015" s="1" t="str">
        <f>"01315"</f>
        <v>01315</v>
      </c>
      <c r="B1015" s="1" t="str">
        <f>"مهران"</f>
        <v>مهران</v>
      </c>
      <c r="C1015" s="1" t="str">
        <f>"سليمي"</f>
        <v>سليمي</v>
      </c>
      <c r="D1015" s="1" t="str">
        <f t="shared" si="107"/>
        <v>قراردادي بهره بردار</v>
      </c>
      <c r="E1015" s="1" t="str">
        <f t="shared" si="108"/>
        <v>پروژه تعميرات نيروگاه بوشهر</v>
      </c>
      <c r="F1015" s="1">
        <v>18821441</v>
      </c>
      <c r="G1015" s="1">
        <v>0</v>
      </c>
      <c r="H1015" s="1">
        <v>0</v>
      </c>
      <c r="I1015" s="1">
        <v>0</v>
      </c>
      <c r="J1015" s="1">
        <v>0</v>
      </c>
      <c r="K1015" s="1">
        <v>12985069</v>
      </c>
      <c r="L1015" s="1">
        <v>0</v>
      </c>
      <c r="M1015" s="1">
        <v>4125000</v>
      </c>
      <c r="N1015" s="1">
        <v>0</v>
      </c>
      <c r="O1015" s="1">
        <v>1000000</v>
      </c>
      <c r="P1015" s="1">
        <v>2950313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1848000</v>
      </c>
      <c r="W1015" s="1">
        <v>0</v>
      </c>
      <c r="X1015" s="1">
        <v>4503944</v>
      </c>
      <c r="Y1015" s="1">
        <v>4000000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2318104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7964511</v>
      </c>
      <c r="AO1015" s="1">
        <v>0</v>
      </c>
      <c r="AP1015" s="1">
        <v>0</v>
      </c>
      <c r="AQ1015" s="1">
        <v>0</v>
      </c>
      <c r="AR1015" s="1">
        <v>60516382</v>
      </c>
      <c r="AS1015" s="1">
        <v>20313227</v>
      </c>
      <c r="AT1015" s="1">
        <v>40203155</v>
      </c>
      <c r="AU1015" s="1">
        <v>12103276</v>
      </c>
      <c r="AV1015" s="1">
        <v>1815491</v>
      </c>
      <c r="AW1015" s="1">
        <f t="shared" si="104"/>
        <v>74435149</v>
      </c>
    </row>
    <row r="1016" spans="1:49" x14ac:dyDescent="0.2">
      <c r="A1016" s="1" t="str">
        <f>"01316"</f>
        <v>01316</v>
      </c>
      <c r="B1016" s="1" t="str">
        <f>"اميد"</f>
        <v>اميد</v>
      </c>
      <c r="C1016" s="1" t="str">
        <f>"شاهسوندحسيني"</f>
        <v>شاهسوندحسيني</v>
      </c>
      <c r="D1016" s="1" t="str">
        <f t="shared" si="107"/>
        <v>قراردادي بهره بردار</v>
      </c>
      <c r="E1016" s="1" t="str">
        <f t="shared" si="108"/>
        <v>پروژه تعميرات نيروگاه بوشهر</v>
      </c>
      <c r="F1016" s="1">
        <v>13188361</v>
      </c>
      <c r="G1016" s="1">
        <v>0</v>
      </c>
      <c r="H1016" s="1">
        <v>0</v>
      </c>
      <c r="I1016" s="1">
        <v>0</v>
      </c>
      <c r="J1016" s="1">
        <v>0</v>
      </c>
      <c r="K1016" s="1">
        <v>8787940</v>
      </c>
      <c r="L1016" s="1">
        <v>0</v>
      </c>
      <c r="M1016" s="1">
        <v>3465000</v>
      </c>
      <c r="N1016" s="1">
        <v>0</v>
      </c>
      <c r="O1016" s="1">
        <v>1000000</v>
      </c>
      <c r="P1016" s="1">
        <v>2125001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1848000</v>
      </c>
      <c r="W1016" s="1">
        <v>0</v>
      </c>
      <c r="X1016" s="1">
        <v>3369555</v>
      </c>
      <c r="Y1016" s="1">
        <v>4000000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1669645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7924605</v>
      </c>
      <c r="AO1016" s="1">
        <v>0</v>
      </c>
      <c r="AP1016" s="1">
        <v>0</v>
      </c>
      <c r="AQ1016" s="1">
        <v>0</v>
      </c>
      <c r="AR1016" s="1">
        <v>47378107</v>
      </c>
      <c r="AS1016" s="1">
        <v>9636231</v>
      </c>
      <c r="AT1016" s="1">
        <v>37741876</v>
      </c>
      <c r="AU1016" s="1">
        <v>9475621</v>
      </c>
      <c r="AV1016" s="1">
        <v>1421343</v>
      </c>
      <c r="AW1016" s="1">
        <f t="shared" si="104"/>
        <v>58275071</v>
      </c>
    </row>
    <row r="1017" spans="1:49" x14ac:dyDescent="0.2">
      <c r="A1017" s="1" t="str">
        <f>"01317"</f>
        <v>01317</v>
      </c>
      <c r="B1017" s="1" t="str">
        <f>"امين"</f>
        <v>امين</v>
      </c>
      <c r="C1017" s="1" t="str">
        <f>"شفيعي"</f>
        <v>شفيعي</v>
      </c>
      <c r="D1017" s="1" t="str">
        <f t="shared" si="107"/>
        <v>قراردادي بهره بردار</v>
      </c>
      <c r="E1017" s="1" t="str">
        <f t="shared" si="108"/>
        <v>پروژه تعميرات نيروگاه بوشهر</v>
      </c>
      <c r="F1017" s="1">
        <v>14306915</v>
      </c>
      <c r="G1017" s="1">
        <v>0</v>
      </c>
      <c r="H1017" s="1">
        <v>0</v>
      </c>
      <c r="I1017" s="1">
        <v>0</v>
      </c>
      <c r="J1017" s="1">
        <v>0</v>
      </c>
      <c r="K1017" s="1">
        <v>9800103</v>
      </c>
      <c r="L1017" s="1">
        <v>0</v>
      </c>
      <c r="M1017" s="1">
        <v>4620000</v>
      </c>
      <c r="N1017" s="1">
        <v>0</v>
      </c>
      <c r="O1017" s="1">
        <v>1000000</v>
      </c>
      <c r="P1017" s="1">
        <v>2384234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1848000</v>
      </c>
      <c r="W1017" s="1">
        <v>0</v>
      </c>
      <c r="X1017" s="1">
        <v>3583310</v>
      </c>
      <c r="Y1017" s="1">
        <v>4000000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1873327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7468517</v>
      </c>
      <c r="AO1017" s="1">
        <v>0</v>
      </c>
      <c r="AP1017" s="1">
        <v>0</v>
      </c>
      <c r="AQ1017" s="1">
        <v>0</v>
      </c>
      <c r="AR1017" s="1">
        <v>50884406</v>
      </c>
      <c r="AS1017" s="1">
        <v>8122158</v>
      </c>
      <c r="AT1017" s="1">
        <v>42762248</v>
      </c>
      <c r="AU1017" s="1">
        <v>10176881</v>
      </c>
      <c r="AV1017" s="1">
        <v>1526532</v>
      </c>
      <c r="AW1017" s="1">
        <f t="shared" si="104"/>
        <v>62587819</v>
      </c>
    </row>
    <row r="1018" spans="1:49" x14ac:dyDescent="0.2">
      <c r="A1018" s="1" t="str">
        <f>"01318"</f>
        <v>01318</v>
      </c>
      <c r="B1018" s="1" t="str">
        <f>"محمدامين"</f>
        <v>محمدامين</v>
      </c>
      <c r="C1018" s="1" t="str">
        <f>"صالحي"</f>
        <v>صالحي</v>
      </c>
      <c r="D1018" s="1" t="str">
        <f t="shared" si="107"/>
        <v>قراردادي بهره بردار</v>
      </c>
      <c r="E1018" s="1" t="str">
        <f t="shared" si="108"/>
        <v>پروژه تعميرات نيروگاه بوشهر</v>
      </c>
      <c r="F1018" s="1">
        <v>13306767</v>
      </c>
      <c r="G1018" s="1">
        <v>0</v>
      </c>
      <c r="H1018" s="1">
        <v>0</v>
      </c>
      <c r="I1018" s="1">
        <v>0</v>
      </c>
      <c r="J1018" s="1">
        <v>0</v>
      </c>
      <c r="K1018" s="1">
        <v>8624372</v>
      </c>
      <c r="L1018" s="1">
        <v>0</v>
      </c>
      <c r="M1018" s="1">
        <v>3465000</v>
      </c>
      <c r="N1018" s="1">
        <v>0</v>
      </c>
      <c r="O1018" s="1">
        <v>1000000</v>
      </c>
      <c r="P1018" s="1">
        <v>2166443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1848000</v>
      </c>
      <c r="W1018" s="1">
        <v>0</v>
      </c>
      <c r="X1018" s="1">
        <v>3326881</v>
      </c>
      <c r="Y1018" s="1">
        <v>4000000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1702206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7469021</v>
      </c>
      <c r="AO1018" s="1">
        <v>0</v>
      </c>
      <c r="AP1018" s="1">
        <v>0</v>
      </c>
      <c r="AQ1018" s="1">
        <v>0</v>
      </c>
      <c r="AR1018" s="1">
        <v>46908690</v>
      </c>
      <c r="AS1018" s="1">
        <v>12339370</v>
      </c>
      <c r="AT1018" s="1">
        <v>34569320</v>
      </c>
      <c r="AU1018" s="1">
        <v>9381738</v>
      </c>
      <c r="AV1018" s="1">
        <v>1407261</v>
      </c>
      <c r="AW1018" s="1">
        <f t="shared" si="104"/>
        <v>57697689</v>
      </c>
    </row>
    <row r="1019" spans="1:49" x14ac:dyDescent="0.2">
      <c r="A1019" s="1" t="str">
        <f>"01319"</f>
        <v>01319</v>
      </c>
      <c r="B1019" s="1" t="str">
        <f>"رضا"</f>
        <v>رضا</v>
      </c>
      <c r="C1019" s="1" t="str">
        <f>"عاليبري"</f>
        <v>عاليبري</v>
      </c>
      <c r="D1019" s="1" t="str">
        <f t="shared" ref="D1019:D1035" si="109">"قراردادي بهره بردار"</f>
        <v>قراردادي بهره بردار</v>
      </c>
      <c r="E1019" s="1" t="str">
        <f t="shared" si="108"/>
        <v>پروژه تعميرات نيروگاه بوشهر</v>
      </c>
      <c r="F1019" s="1">
        <v>13548616</v>
      </c>
      <c r="G1019" s="1">
        <v>0</v>
      </c>
      <c r="H1019" s="1">
        <v>0</v>
      </c>
      <c r="I1019" s="1">
        <v>5733982</v>
      </c>
      <c r="J1019" s="1">
        <v>0</v>
      </c>
      <c r="K1019" s="1">
        <v>10173095</v>
      </c>
      <c r="L1019" s="1">
        <v>0</v>
      </c>
      <c r="M1019" s="1">
        <v>3465000</v>
      </c>
      <c r="N1019" s="1">
        <v>0</v>
      </c>
      <c r="O1019" s="1">
        <v>1000000</v>
      </c>
      <c r="P1019" s="1">
        <v>2251091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1848000</v>
      </c>
      <c r="W1019" s="1">
        <v>0</v>
      </c>
      <c r="X1019" s="1">
        <v>3693579</v>
      </c>
      <c r="Y1019" s="1">
        <v>4000000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1768714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9194265</v>
      </c>
      <c r="AO1019" s="1">
        <v>0</v>
      </c>
      <c r="AP1019" s="1">
        <v>0</v>
      </c>
      <c r="AQ1019" s="1">
        <v>0</v>
      </c>
      <c r="AR1019" s="1">
        <v>56676342</v>
      </c>
      <c r="AS1019" s="1">
        <v>15858849</v>
      </c>
      <c r="AT1019" s="1">
        <v>40817493</v>
      </c>
      <c r="AU1019" s="1">
        <v>11335268</v>
      </c>
      <c r="AV1019" s="1">
        <v>1700290</v>
      </c>
      <c r="AW1019" s="1">
        <f t="shared" si="104"/>
        <v>69711900</v>
      </c>
    </row>
    <row r="1020" spans="1:49" x14ac:dyDescent="0.2">
      <c r="A1020" s="1" t="str">
        <f>"01320"</f>
        <v>01320</v>
      </c>
      <c r="B1020" s="1" t="str">
        <f>"حسين"</f>
        <v>حسين</v>
      </c>
      <c r="C1020" s="1" t="str">
        <f>"عباسي"</f>
        <v>عباسي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f t="shared" si="104"/>
        <v>0</v>
      </c>
    </row>
    <row r="1021" spans="1:49" x14ac:dyDescent="0.2">
      <c r="A1021" s="1" t="str">
        <f>"01321"</f>
        <v>01321</v>
      </c>
      <c r="B1021" s="1" t="str">
        <f>"ابراهيم"</f>
        <v>ابراهيم</v>
      </c>
      <c r="C1021" s="1" t="str">
        <f>"عباسيان"</f>
        <v>عباسيان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19536913</v>
      </c>
      <c r="G1021" s="1">
        <v>0</v>
      </c>
      <c r="H1021" s="1">
        <v>0</v>
      </c>
      <c r="I1021" s="1">
        <v>0</v>
      </c>
      <c r="J1021" s="1">
        <v>0</v>
      </c>
      <c r="K1021" s="1">
        <v>13471122</v>
      </c>
      <c r="L1021" s="1">
        <v>0</v>
      </c>
      <c r="M1021" s="1">
        <v>5500000</v>
      </c>
      <c r="N1021" s="1">
        <v>0</v>
      </c>
      <c r="O1021" s="1">
        <v>1000000</v>
      </c>
      <c r="P1021" s="1">
        <v>2975884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1848000</v>
      </c>
      <c r="W1021" s="1">
        <v>0</v>
      </c>
      <c r="X1021" s="1">
        <v>4620993</v>
      </c>
      <c r="Y1021" s="1">
        <v>4000000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2338195</v>
      </c>
      <c r="AH1021" s="1">
        <v>1835427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7887824</v>
      </c>
      <c r="AO1021" s="1">
        <v>0</v>
      </c>
      <c r="AP1021" s="1">
        <v>0</v>
      </c>
      <c r="AQ1021" s="1">
        <v>0</v>
      </c>
      <c r="AR1021" s="1">
        <v>65014358</v>
      </c>
      <c r="AS1021" s="1">
        <v>26691770</v>
      </c>
      <c r="AT1021" s="1">
        <v>38322588</v>
      </c>
      <c r="AU1021" s="1">
        <v>12635786</v>
      </c>
      <c r="AV1021" s="1">
        <v>1895368</v>
      </c>
      <c r="AW1021" s="1">
        <f t="shared" si="104"/>
        <v>79545512</v>
      </c>
    </row>
    <row r="1022" spans="1:49" x14ac:dyDescent="0.2">
      <c r="A1022" s="1" t="str">
        <f>"01322"</f>
        <v>01322</v>
      </c>
      <c r="B1022" s="1" t="str">
        <f>"ميثم"</f>
        <v>ميثم</v>
      </c>
      <c r="C1022" s="1" t="str">
        <f>"علمداري"</f>
        <v>علمداري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13379825</v>
      </c>
      <c r="G1022" s="1">
        <v>0</v>
      </c>
      <c r="H1022" s="1">
        <v>0</v>
      </c>
      <c r="I1022" s="1">
        <v>15926228</v>
      </c>
      <c r="J1022" s="1">
        <v>0</v>
      </c>
      <c r="K1022" s="1">
        <v>8905380</v>
      </c>
      <c r="L1022" s="1">
        <v>0</v>
      </c>
      <c r="M1022" s="1">
        <v>3465000</v>
      </c>
      <c r="N1022" s="1">
        <v>0</v>
      </c>
      <c r="O1022" s="1">
        <v>1000000</v>
      </c>
      <c r="P1022" s="1">
        <v>2192014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1848000</v>
      </c>
      <c r="W1022" s="1">
        <v>0</v>
      </c>
      <c r="X1022" s="1">
        <v>3419658</v>
      </c>
      <c r="Y1022" s="1">
        <v>4000000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1722297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7997060</v>
      </c>
      <c r="AO1022" s="1">
        <v>0</v>
      </c>
      <c r="AP1022" s="1">
        <v>0</v>
      </c>
      <c r="AQ1022" s="1">
        <v>0</v>
      </c>
      <c r="AR1022" s="1">
        <v>63855462</v>
      </c>
      <c r="AS1022" s="1">
        <v>16312874</v>
      </c>
      <c r="AT1022" s="1">
        <v>47542588</v>
      </c>
      <c r="AU1022" s="1">
        <v>12771092</v>
      </c>
      <c r="AV1022" s="1">
        <v>1915664</v>
      </c>
      <c r="AW1022" s="1">
        <f t="shared" si="104"/>
        <v>78542218</v>
      </c>
    </row>
    <row r="1023" spans="1:49" x14ac:dyDescent="0.2">
      <c r="A1023" s="1" t="str">
        <f>"01324"</f>
        <v>01324</v>
      </c>
      <c r="B1023" s="1" t="str">
        <f>"نعمت الله"</f>
        <v>نعمت الله</v>
      </c>
      <c r="C1023" s="1" t="str">
        <f>"فقيه"</f>
        <v>فقيه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13626713</v>
      </c>
      <c r="G1023" s="1">
        <v>0</v>
      </c>
      <c r="H1023" s="1">
        <v>0</v>
      </c>
      <c r="I1023" s="1">
        <v>0</v>
      </c>
      <c r="J1023" s="1">
        <v>0</v>
      </c>
      <c r="K1023" s="1">
        <v>8941705</v>
      </c>
      <c r="L1023" s="1">
        <v>0</v>
      </c>
      <c r="M1023" s="1">
        <v>4620000</v>
      </c>
      <c r="N1023" s="1">
        <v>0</v>
      </c>
      <c r="O1023" s="1">
        <v>1000000</v>
      </c>
      <c r="P1023" s="1">
        <v>2278425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1848000</v>
      </c>
      <c r="W1023" s="1">
        <v>0</v>
      </c>
      <c r="X1023" s="1">
        <v>3422285</v>
      </c>
      <c r="Y1023" s="1">
        <v>4000000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1790191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7585815</v>
      </c>
      <c r="AO1023" s="1">
        <v>0</v>
      </c>
      <c r="AP1023" s="1">
        <v>0</v>
      </c>
      <c r="AQ1023" s="1">
        <v>0</v>
      </c>
      <c r="AR1023" s="1">
        <v>49113134</v>
      </c>
      <c r="AS1023" s="1">
        <v>4620640</v>
      </c>
      <c r="AT1023" s="1">
        <v>44492494</v>
      </c>
      <c r="AU1023" s="1">
        <v>9822627</v>
      </c>
      <c r="AV1023" s="1">
        <v>1473394</v>
      </c>
      <c r="AW1023" s="1">
        <f t="shared" si="104"/>
        <v>60409155</v>
      </c>
    </row>
    <row r="1024" spans="1:49" x14ac:dyDescent="0.2">
      <c r="A1024" s="1" t="str">
        <f>"01325"</f>
        <v>01325</v>
      </c>
      <c r="B1024" s="1" t="str">
        <f>"حسين"</f>
        <v>حسين</v>
      </c>
      <c r="C1024" s="1" t="str">
        <f>"قديريان"</f>
        <v>قديريان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18834038</v>
      </c>
      <c r="G1024" s="1">
        <v>0</v>
      </c>
      <c r="H1024" s="1">
        <v>0</v>
      </c>
      <c r="I1024" s="1">
        <v>7066542</v>
      </c>
      <c r="J1024" s="1">
        <v>0</v>
      </c>
      <c r="K1024" s="1">
        <v>13058600</v>
      </c>
      <c r="L1024" s="1">
        <v>0</v>
      </c>
      <c r="M1024" s="1">
        <v>5500000</v>
      </c>
      <c r="N1024" s="1">
        <v>0</v>
      </c>
      <c r="O1024" s="1">
        <v>1000000</v>
      </c>
      <c r="P1024" s="1">
        <v>2954722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1848000</v>
      </c>
      <c r="W1024" s="1">
        <v>0</v>
      </c>
      <c r="X1024" s="1">
        <v>4551954</v>
      </c>
      <c r="Y1024" s="1">
        <v>4000000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2321567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8350614</v>
      </c>
      <c r="AO1024" s="1">
        <v>0</v>
      </c>
      <c r="AP1024" s="1">
        <v>0</v>
      </c>
      <c r="AQ1024" s="1">
        <v>0</v>
      </c>
      <c r="AR1024" s="1">
        <v>69486037</v>
      </c>
      <c r="AS1024" s="1">
        <v>11465004</v>
      </c>
      <c r="AT1024" s="1">
        <v>58021033</v>
      </c>
      <c r="AU1024" s="1">
        <v>13897207</v>
      </c>
      <c r="AV1024" s="1">
        <v>2084581</v>
      </c>
      <c r="AW1024" s="1">
        <f t="shared" si="104"/>
        <v>85467825</v>
      </c>
    </row>
    <row r="1025" spans="1:49" x14ac:dyDescent="0.2">
      <c r="A1025" s="1" t="str">
        <f>"01326"</f>
        <v>01326</v>
      </c>
      <c r="B1025" s="1" t="str">
        <f>"مسعود"</f>
        <v>مسعود</v>
      </c>
      <c r="C1025" s="1" t="str">
        <f>"قرباني"</f>
        <v>قرباني</v>
      </c>
      <c r="D1025" s="1" t="str">
        <f t="shared" si="109"/>
        <v>قراردادي بهره بردار</v>
      </c>
      <c r="E1025" s="1" t="str">
        <f t="shared" si="108"/>
        <v>پروژه تعميرات نيروگاه بوشهر</v>
      </c>
      <c r="F1025" s="1">
        <v>13677099</v>
      </c>
      <c r="G1025" s="1">
        <v>0</v>
      </c>
      <c r="H1025" s="1">
        <v>0</v>
      </c>
      <c r="I1025" s="1">
        <v>0</v>
      </c>
      <c r="J1025" s="1">
        <v>0</v>
      </c>
      <c r="K1025" s="1">
        <v>8995320</v>
      </c>
      <c r="L1025" s="1">
        <v>0</v>
      </c>
      <c r="M1025" s="1">
        <v>3465000</v>
      </c>
      <c r="N1025" s="1">
        <v>0</v>
      </c>
      <c r="O1025" s="1">
        <v>1000000</v>
      </c>
      <c r="P1025" s="1">
        <v>2296059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1848000</v>
      </c>
      <c r="W1025" s="1">
        <v>0</v>
      </c>
      <c r="X1025" s="1">
        <v>3435229</v>
      </c>
      <c r="Y1025" s="1">
        <v>4000000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1804047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7579768</v>
      </c>
      <c r="AO1025" s="1">
        <v>0</v>
      </c>
      <c r="AP1025" s="1">
        <v>0</v>
      </c>
      <c r="AQ1025" s="1">
        <v>0</v>
      </c>
      <c r="AR1025" s="1">
        <v>48100522</v>
      </c>
      <c r="AS1025" s="1">
        <v>19031248</v>
      </c>
      <c r="AT1025" s="1">
        <v>29069274</v>
      </c>
      <c r="AU1025" s="1">
        <v>9620104</v>
      </c>
      <c r="AV1025" s="1">
        <v>1443016</v>
      </c>
      <c r="AW1025" s="1">
        <f t="shared" si="104"/>
        <v>59163642</v>
      </c>
    </row>
    <row r="1026" spans="1:49" x14ac:dyDescent="0.2">
      <c r="A1026" s="1" t="str">
        <f>"01327"</f>
        <v>01327</v>
      </c>
      <c r="B1026" s="1" t="str">
        <f>"سجاد"</f>
        <v>سجاد</v>
      </c>
      <c r="C1026" s="1" t="str">
        <f>"قنبري"</f>
        <v>قنبري</v>
      </c>
      <c r="D1026" s="1" t="str">
        <f t="shared" si="109"/>
        <v>قراردادي بهره بردار</v>
      </c>
      <c r="E1026" s="1" t="str">
        <f t="shared" si="108"/>
        <v>پروژه تعميرات نيروگاه بوشهر</v>
      </c>
      <c r="F1026" s="1">
        <v>18902058</v>
      </c>
      <c r="G1026" s="1">
        <v>0</v>
      </c>
      <c r="H1026" s="1">
        <v>0</v>
      </c>
      <c r="I1026" s="1">
        <v>0</v>
      </c>
      <c r="J1026" s="1">
        <v>0</v>
      </c>
      <c r="K1026" s="1">
        <v>13516689</v>
      </c>
      <c r="L1026" s="1">
        <v>0</v>
      </c>
      <c r="M1026" s="1">
        <v>5500000</v>
      </c>
      <c r="N1026" s="1">
        <v>0</v>
      </c>
      <c r="O1026" s="1">
        <v>1000000</v>
      </c>
      <c r="P1026" s="1">
        <v>2978529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1848000</v>
      </c>
      <c r="W1026" s="1">
        <v>0</v>
      </c>
      <c r="X1026" s="1">
        <v>4623403</v>
      </c>
      <c r="Y1026" s="1">
        <v>4000000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2340273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8496479</v>
      </c>
      <c r="AO1026" s="1">
        <v>0</v>
      </c>
      <c r="AP1026" s="1">
        <v>0</v>
      </c>
      <c r="AQ1026" s="1">
        <v>0</v>
      </c>
      <c r="AR1026" s="1">
        <v>63205431</v>
      </c>
      <c r="AS1026" s="1">
        <v>24806147</v>
      </c>
      <c r="AT1026" s="1">
        <v>38399284</v>
      </c>
      <c r="AU1026" s="1">
        <v>12641086</v>
      </c>
      <c r="AV1026" s="1">
        <v>1896163</v>
      </c>
      <c r="AW1026" s="1">
        <f t="shared" si="104"/>
        <v>77742680</v>
      </c>
    </row>
    <row r="1027" spans="1:49" x14ac:dyDescent="0.2">
      <c r="A1027" s="1" t="str">
        <f>"01328"</f>
        <v>01328</v>
      </c>
      <c r="B1027" s="1" t="str">
        <f>"رامين"</f>
        <v>رامين</v>
      </c>
      <c r="C1027" s="1" t="str">
        <f>"كاوسي"</f>
        <v>كاوسي</v>
      </c>
      <c r="D1027" s="1" t="str">
        <f t="shared" si="109"/>
        <v>قراردادي بهره بردار</v>
      </c>
      <c r="E1027" s="1" t="str">
        <f t="shared" si="108"/>
        <v>پروژه تعميرات نيروگاه بوشهر</v>
      </c>
      <c r="F1027" s="1">
        <v>13923987</v>
      </c>
      <c r="G1027" s="1">
        <v>0</v>
      </c>
      <c r="H1027" s="1">
        <v>0</v>
      </c>
      <c r="I1027" s="1">
        <v>0</v>
      </c>
      <c r="J1027" s="1">
        <v>0</v>
      </c>
      <c r="K1027" s="1">
        <v>9972771</v>
      </c>
      <c r="L1027" s="1">
        <v>0</v>
      </c>
      <c r="M1027" s="1">
        <v>3465000</v>
      </c>
      <c r="N1027" s="1">
        <v>0</v>
      </c>
      <c r="O1027" s="1">
        <v>1000000</v>
      </c>
      <c r="P1027" s="1">
        <v>2250209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1848000</v>
      </c>
      <c r="W1027" s="1">
        <v>0</v>
      </c>
      <c r="X1027" s="1">
        <v>3787617</v>
      </c>
      <c r="Y1027" s="1">
        <v>4000000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1768021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9961180</v>
      </c>
      <c r="AO1027" s="1">
        <v>0</v>
      </c>
      <c r="AP1027" s="1">
        <v>0</v>
      </c>
      <c r="AQ1027" s="1">
        <v>0</v>
      </c>
      <c r="AR1027" s="1">
        <v>51976785</v>
      </c>
      <c r="AS1027" s="1">
        <v>17777739</v>
      </c>
      <c r="AT1027" s="1">
        <v>34199046</v>
      </c>
      <c r="AU1027" s="1">
        <v>10395357</v>
      </c>
      <c r="AV1027" s="1">
        <v>1559304</v>
      </c>
      <c r="AW1027" s="1">
        <f t="shared" ref="AW1027:AW1090" si="110">AR1027+AU1027+AV1027</f>
        <v>63931446</v>
      </c>
    </row>
    <row r="1028" spans="1:49" x14ac:dyDescent="0.2">
      <c r="A1028" s="1" t="str">
        <f>"01329"</f>
        <v>01329</v>
      </c>
      <c r="B1028" s="1" t="str">
        <f>"مجتبي"</f>
        <v>مجتبي</v>
      </c>
      <c r="C1028" s="1" t="str">
        <f>"كيايي"</f>
        <v>كيايي</v>
      </c>
      <c r="D1028" s="1" t="str">
        <f t="shared" si="109"/>
        <v>قراردادي بهره بردار</v>
      </c>
      <c r="E1028" s="1" t="str">
        <f t="shared" si="108"/>
        <v>پروژه تعميرات نيروگاه بوشهر</v>
      </c>
      <c r="F1028" s="1">
        <v>13178284</v>
      </c>
      <c r="G1028" s="1">
        <v>0</v>
      </c>
      <c r="H1028" s="1">
        <v>0</v>
      </c>
      <c r="I1028" s="1">
        <v>0</v>
      </c>
      <c r="J1028" s="1">
        <v>0</v>
      </c>
      <c r="K1028" s="1">
        <v>9021938</v>
      </c>
      <c r="L1028" s="1">
        <v>0</v>
      </c>
      <c r="M1028" s="1">
        <v>4620000</v>
      </c>
      <c r="N1028" s="1">
        <v>0</v>
      </c>
      <c r="O1028" s="1">
        <v>1000000</v>
      </c>
      <c r="P1028" s="1">
        <v>2121475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1848000</v>
      </c>
      <c r="W1028" s="1">
        <v>0</v>
      </c>
      <c r="X1028" s="1">
        <v>3390804</v>
      </c>
      <c r="Y1028" s="1">
        <v>4000000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1666873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7919466</v>
      </c>
      <c r="AO1028" s="1">
        <v>0</v>
      </c>
      <c r="AP1028" s="1">
        <v>0</v>
      </c>
      <c r="AQ1028" s="1">
        <v>0</v>
      </c>
      <c r="AR1028" s="1">
        <v>48766840</v>
      </c>
      <c r="AS1028" s="1">
        <v>6872325</v>
      </c>
      <c r="AT1028" s="1">
        <v>41894515</v>
      </c>
      <c r="AU1028" s="1">
        <v>9753368</v>
      </c>
      <c r="AV1028" s="1">
        <v>1463005</v>
      </c>
      <c r="AW1028" s="1">
        <f t="shared" si="110"/>
        <v>59983213</v>
      </c>
    </row>
    <row r="1029" spans="1:49" x14ac:dyDescent="0.2">
      <c r="A1029" s="1" t="str">
        <f>"01330"</f>
        <v>01330</v>
      </c>
      <c r="B1029" s="1" t="str">
        <f>"حسن"</f>
        <v>حسن</v>
      </c>
      <c r="C1029" s="1" t="str">
        <f>"محقق نژاد"</f>
        <v>محقق نژاد</v>
      </c>
      <c r="D1029" s="1" t="str">
        <f t="shared" si="109"/>
        <v>قراردادي بهره بردار</v>
      </c>
      <c r="E1029" s="1" t="str">
        <f t="shared" si="108"/>
        <v>پروژه تعميرات نيروگاه بوشهر</v>
      </c>
      <c r="F1029" s="1">
        <v>18816403</v>
      </c>
      <c r="G1029" s="1">
        <v>0</v>
      </c>
      <c r="H1029" s="1">
        <v>0</v>
      </c>
      <c r="I1029" s="1">
        <v>0</v>
      </c>
      <c r="J1029" s="1">
        <v>0</v>
      </c>
      <c r="K1029" s="1">
        <v>12831638</v>
      </c>
      <c r="L1029" s="1">
        <v>0</v>
      </c>
      <c r="M1029" s="1">
        <v>5500000</v>
      </c>
      <c r="N1029" s="1">
        <v>0</v>
      </c>
      <c r="O1029" s="1">
        <v>1000000</v>
      </c>
      <c r="P1029" s="1">
        <v>2948550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1848000</v>
      </c>
      <c r="W1029" s="1">
        <v>0</v>
      </c>
      <c r="X1029" s="1">
        <v>4541684</v>
      </c>
      <c r="Y1029" s="1">
        <v>4000000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2316718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8503533</v>
      </c>
      <c r="AO1029" s="1">
        <v>0</v>
      </c>
      <c r="AP1029" s="1">
        <v>0</v>
      </c>
      <c r="AQ1029" s="1">
        <v>0</v>
      </c>
      <c r="AR1029" s="1">
        <v>62306526</v>
      </c>
      <c r="AS1029" s="1">
        <v>7564764</v>
      </c>
      <c r="AT1029" s="1">
        <v>54741762</v>
      </c>
      <c r="AU1029" s="1">
        <v>12461305</v>
      </c>
      <c r="AV1029" s="1">
        <v>1869196</v>
      </c>
      <c r="AW1029" s="1">
        <f t="shared" si="110"/>
        <v>76637027</v>
      </c>
    </row>
    <row r="1030" spans="1:49" x14ac:dyDescent="0.2">
      <c r="A1030" s="1" t="str">
        <f>"01331"</f>
        <v>01331</v>
      </c>
      <c r="B1030" s="1" t="str">
        <f>"آرمين"</f>
        <v>آرمين</v>
      </c>
      <c r="C1030" s="1" t="str">
        <f>"محمودي"</f>
        <v>محمودي</v>
      </c>
      <c r="D1030" s="1" t="str">
        <f t="shared" si="109"/>
        <v>قراردادي بهره بردار</v>
      </c>
      <c r="E1030" s="1" t="str">
        <f t="shared" si="108"/>
        <v>پروژه تعميرات نيروگاه بوشهر</v>
      </c>
      <c r="F1030" s="1">
        <v>19025502</v>
      </c>
      <c r="G1030" s="1">
        <v>0</v>
      </c>
      <c r="H1030" s="1">
        <v>0</v>
      </c>
      <c r="I1030" s="1">
        <v>723793</v>
      </c>
      <c r="J1030" s="1">
        <v>0</v>
      </c>
      <c r="K1030" s="1">
        <v>13669612</v>
      </c>
      <c r="L1030" s="1">
        <v>0</v>
      </c>
      <c r="M1030" s="1">
        <v>4125000</v>
      </c>
      <c r="N1030" s="1">
        <v>0</v>
      </c>
      <c r="O1030" s="1">
        <v>1000000</v>
      </c>
      <c r="P1030" s="1">
        <v>3021734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1848000</v>
      </c>
      <c r="W1030" s="1">
        <v>0</v>
      </c>
      <c r="X1030" s="1">
        <v>4662358</v>
      </c>
      <c r="Y1030" s="1">
        <v>4000000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2374220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8532504</v>
      </c>
      <c r="AO1030" s="1">
        <v>0</v>
      </c>
      <c r="AP1030" s="1">
        <v>0</v>
      </c>
      <c r="AQ1030" s="1">
        <v>0</v>
      </c>
      <c r="AR1030" s="1">
        <v>62982723</v>
      </c>
      <c r="AS1030" s="1">
        <v>26112535</v>
      </c>
      <c r="AT1030" s="1">
        <v>36870188</v>
      </c>
      <c r="AU1030" s="1">
        <v>12596545</v>
      </c>
      <c r="AV1030" s="1">
        <v>1889482</v>
      </c>
      <c r="AW1030" s="1">
        <f t="shared" si="110"/>
        <v>77468750</v>
      </c>
    </row>
    <row r="1031" spans="1:49" x14ac:dyDescent="0.2">
      <c r="A1031" s="1" t="str">
        <f>"01332"</f>
        <v>01332</v>
      </c>
      <c r="B1031" s="1" t="str">
        <f>"فرامرز"</f>
        <v>فرامرز</v>
      </c>
      <c r="C1031" s="1" t="str">
        <f>"مقتدربهاري"</f>
        <v>مقتدربهاري</v>
      </c>
      <c r="D1031" s="1" t="str">
        <f t="shared" si="109"/>
        <v>قراردادي بهره بردار</v>
      </c>
      <c r="E1031" s="1" t="str">
        <f t="shared" si="108"/>
        <v>پروژه تعميرات نيروگاه بوشهر</v>
      </c>
      <c r="F1031" s="1">
        <v>18912135</v>
      </c>
      <c r="G1031" s="1">
        <v>0</v>
      </c>
      <c r="H1031" s="1">
        <v>0</v>
      </c>
      <c r="I1031" s="1">
        <v>0</v>
      </c>
      <c r="J1031" s="1">
        <v>0</v>
      </c>
      <c r="K1031" s="1">
        <v>12044965</v>
      </c>
      <c r="L1031" s="1">
        <v>0</v>
      </c>
      <c r="M1031" s="1">
        <v>5500000</v>
      </c>
      <c r="N1031" s="1">
        <v>0</v>
      </c>
      <c r="O1031" s="1">
        <v>1000000</v>
      </c>
      <c r="P1031" s="1">
        <v>2982056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1848000</v>
      </c>
      <c r="W1031" s="1">
        <v>0</v>
      </c>
      <c r="X1031" s="1">
        <v>4393120</v>
      </c>
      <c r="Y1031" s="1">
        <v>4000000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2343044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7648998</v>
      </c>
      <c r="AO1031" s="1">
        <v>0</v>
      </c>
      <c r="AP1031" s="1">
        <v>0</v>
      </c>
      <c r="AQ1031" s="1">
        <v>0</v>
      </c>
      <c r="AR1031" s="1">
        <v>60672318</v>
      </c>
      <c r="AS1031" s="1">
        <v>7432462</v>
      </c>
      <c r="AT1031" s="1">
        <v>53239856</v>
      </c>
      <c r="AU1031" s="1">
        <v>12134464</v>
      </c>
      <c r="AV1031" s="1">
        <v>1820170</v>
      </c>
      <c r="AW1031" s="1">
        <f t="shared" si="110"/>
        <v>74626952</v>
      </c>
    </row>
    <row r="1032" spans="1:49" x14ac:dyDescent="0.2">
      <c r="A1032" s="1" t="str">
        <f>"01333"</f>
        <v>01333</v>
      </c>
      <c r="B1032" s="1" t="str">
        <f>"حسين"</f>
        <v>حسين</v>
      </c>
      <c r="C1032" s="1" t="str">
        <f>"منصوري"</f>
        <v>منصوري</v>
      </c>
      <c r="D1032" s="1" t="str">
        <f t="shared" si="109"/>
        <v>قراردادي بهره بردار</v>
      </c>
      <c r="E1032" s="1" t="str">
        <f t="shared" si="108"/>
        <v>پروژه تعميرات نيروگاه بوشهر</v>
      </c>
      <c r="F1032" s="1">
        <v>13092629</v>
      </c>
      <c r="G1032" s="1">
        <v>0</v>
      </c>
      <c r="H1032" s="1">
        <v>0</v>
      </c>
      <c r="I1032" s="1">
        <v>2696066</v>
      </c>
      <c r="J1032" s="1">
        <v>0</v>
      </c>
      <c r="K1032" s="1">
        <v>9197392</v>
      </c>
      <c r="L1032" s="1">
        <v>0</v>
      </c>
      <c r="M1032" s="1">
        <v>3465000</v>
      </c>
      <c r="N1032" s="1">
        <v>0</v>
      </c>
      <c r="O1032" s="1">
        <v>1000000</v>
      </c>
      <c r="P1032" s="1">
        <v>2091496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1848000</v>
      </c>
      <c r="W1032" s="1">
        <v>0</v>
      </c>
      <c r="X1032" s="1">
        <v>3473373</v>
      </c>
      <c r="Y1032" s="1">
        <v>4000000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1643317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8708903</v>
      </c>
      <c r="AO1032" s="1">
        <v>0</v>
      </c>
      <c r="AP1032" s="1">
        <v>0</v>
      </c>
      <c r="AQ1032" s="1">
        <v>0</v>
      </c>
      <c r="AR1032" s="1">
        <v>51216176</v>
      </c>
      <c r="AS1032" s="1">
        <v>6469837</v>
      </c>
      <c r="AT1032" s="1">
        <v>44746339</v>
      </c>
      <c r="AU1032" s="1">
        <v>10243235</v>
      </c>
      <c r="AV1032" s="1">
        <v>1536485</v>
      </c>
      <c r="AW1032" s="1">
        <f t="shared" si="110"/>
        <v>62995896</v>
      </c>
    </row>
    <row r="1033" spans="1:49" x14ac:dyDescent="0.2">
      <c r="A1033" s="1" t="str">
        <f>"01334"</f>
        <v>01334</v>
      </c>
      <c r="B1033" s="1" t="str">
        <f>"حسين"</f>
        <v>حسين</v>
      </c>
      <c r="C1033" s="1" t="str">
        <f>"منفرد"</f>
        <v>منفرد</v>
      </c>
      <c r="D1033" s="1" t="str">
        <f t="shared" si="109"/>
        <v>قراردادي بهره بردار</v>
      </c>
      <c r="E1033" s="1" t="str">
        <f t="shared" si="108"/>
        <v>پروژه تعميرات نيروگاه بوشهر</v>
      </c>
      <c r="F1033" s="1">
        <v>13180803</v>
      </c>
      <c r="G1033" s="1">
        <v>0</v>
      </c>
      <c r="H1033" s="1">
        <v>0</v>
      </c>
      <c r="I1033" s="1">
        <v>21863695</v>
      </c>
      <c r="J1033" s="1">
        <v>0</v>
      </c>
      <c r="K1033" s="1">
        <v>8640340</v>
      </c>
      <c r="L1033" s="1">
        <v>0</v>
      </c>
      <c r="M1033" s="1">
        <v>3465000</v>
      </c>
      <c r="N1033" s="1">
        <v>0</v>
      </c>
      <c r="O1033" s="1">
        <v>1000000</v>
      </c>
      <c r="P1033" s="1">
        <v>2122356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1848000</v>
      </c>
      <c r="W1033" s="1">
        <v>0</v>
      </c>
      <c r="X1033" s="1">
        <v>3353244</v>
      </c>
      <c r="Y1033" s="1">
        <v>4000000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1667565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7921380</v>
      </c>
      <c r="AO1033" s="1">
        <v>0</v>
      </c>
      <c r="AP1033" s="1">
        <v>0</v>
      </c>
      <c r="AQ1033" s="1">
        <v>0</v>
      </c>
      <c r="AR1033" s="1">
        <v>69062383</v>
      </c>
      <c r="AS1033" s="1">
        <v>34358128</v>
      </c>
      <c r="AT1033" s="1">
        <v>34704255</v>
      </c>
      <c r="AU1033" s="1">
        <v>13812477</v>
      </c>
      <c r="AV1033" s="1">
        <v>2071871</v>
      </c>
      <c r="AW1033" s="1">
        <f t="shared" si="110"/>
        <v>84946731</v>
      </c>
    </row>
    <row r="1034" spans="1:49" x14ac:dyDescent="0.2">
      <c r="A1034" s="1" t="str">
        <f>"01338"</f>
        <v>01338</v>
      </c>
      <c r="B1034" s="1" t="str">
        <f>"عباس"</f>
        <v>عباس</v>
      </c>
      <c r="C1034" s="1" t="str">
        <f>"نياکان"</f>
        <v>نياکان</v>
      </c>
      <c r="D1034" s="1" t="str">
        <f t="shared" si="109"/>
        <v>قراردادي بهره بردار</v>
      </c>
      <c r="E1034" s="1" t="str">
        <f t="shared" si="108"/>
        <v>پروژه تعميرات نيروگاه بوشهر</v>
      </c>
      <c r="F1034" s="1">
        <v>20131460</v>
      </c>
      <c r="G1034" s="1">
        <v>0</v>
      </c>
      <c r="H1034" s="1">
        <v>0</v>
      </c>
      <c r="I1034" s="1">
        <v>0</v>
      </c>
      <c r="J1034" s="1">
        <v>0</v>
      </c>
      <c r="K1034" s="1">
        <v>14291452</v>
      </c>
      <c r="L1034" s="1">
        <v>0</v>
      </c>
      <c r="M1034" s="1">
        <v>4125000</v>
      </c>
      <c r="N1034" s="1">
        <v>0</v>
      </c>
      <c r="O1034" s="1">
        <v>1000000</v>
      </c>
      <c r="P1034" s="1">
        <v>3183975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1848000</v>
      </c>
      <c r="W1034" s="1">
        <v>0</v>
      </c>
      <c r="X1034" s="1">
        <v>4824843</v>
      </c>
      <c r="Y1034" s="1">
        <v>4000000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2501695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8139852</v>
      </c>
      <c r="AO1034" s="1">
        <v>0</v>
      </c>
      <c r="AP1034" s="1">
        <v>0</v>
      </c>
      <c r="AQ1034" s="1">
        <v>0</v>
      </c>
      <c r="AR1034" s="1">
        <v>64046277</v>
      </c>
      <c r="AS1034" s="1">
        <v>17534971</v>
      </c>
      <c r="AT1034" s="1">
        <v>46511306</v>
      </c>
      <c r="AU1034" s="1">
        <v>12809255</v>
      </c>
      <c r="AV1034" s="1">
        <v>1921388</v>
      </c>
      <c r="AW1034" s="1">
        <f t="shared" si="110"/>
        <v>78776920</v>
      </c>
    </row>
    <row r="1035" spans="1:49" x14ac:dyDescent="0.2">
      <c r="A1035" s="1" t="str">
        <f>"01339"</f>
        <v>01339</v>
      </c>
      <c r="B1035" s="1" t="str">
        <f>"جواد"</f>
        <v>جواد</v>
      </c>
      <c r="C1035" s="1" t="str">
        <f>"نيک پي"</f>
        <v>نيک پي</v>
      </c>
      <c r="D1035" s="1" t="str">
        <f t="shared" si="109"/>
        <v>قراردادي بهره بردار</v>
      </c>
      <c r="E1035" s="1" t="str">
        <f t="shared" si="108"/>
        <v>پروژه تعميرات نيروگاه بوشهر</v>
      </c>
      <c r="F1035" s="1">
        <v>13639310</v>
      </c>
      <c r="G1035" s="1">
        <v>0</v>
      </c>
      <c r="H1035" s="1">
        <v>0</v>
      </c>
      <c r="I1035" s="1">
        <v>0</v>
      </c>
      <c r="J1035" s="1">
        <v>0</v>
      </c>
      <c r="K1035" s="1">
        <v>9621582</v>
      </c>
      <c r="L1035" s="1">
        <v>0</v>
      </c>
      <c r="M1035" s="1">
        <v>4620000</v>
      </c>
      <c r="N1035" s="1">
        <v>0</v>
      </c>
      <c r="O1035" s="1">
        <v>1000000</v>
      </c>
      <c r="P1035" s="1">
        <v>2282834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1848000</v>
      </c>
      <c r="W1035" s="1">
        <v>0</v>
      </c>
      <c r="X1035" s="1">
        <v>3650131</v>
      </c>
      <c r="Y1035" s="1">
        <v>4000000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1793655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9163934</v>
      </c>
      <c r="AO1035" s="1">
        <v>0</v>
      </c>
      <c r="AP1035" s="1">
        <v>0</v>
      </c>
      <c r="AQ1035" s="1">
        <v>0</v>
      </c>
      <c r="AR1035" s="1">
        <v>51619446</v>
      </c>
      <c r="AS1035" s="1">
        <v>17969863</v>
      </c>
      <c r="AT1035" s="1">
        <v>33649583</v>
      </c>
      <c r="AU1035" s="1">
        <v>10323889</v>
      </c>
      <c r="AV1035" s="1">
        <v>1548583</v>
      </c>
      <c r="AW1035" s="1">
        <f t="shared" si="110"/>
        <v>63491918</v>
      </c>
    </row>
    <row r="1036" spans="1:49" x14ac:dyDescent="0.2">
      <c r="A1036" s="1" t="str">
        <f>"01340"</f>
        <v>01340</v>
      </c>
      <c r="B1036" s="1" t="str">
        <f>"فريبرز"</f>
        <v>فريبرز</v>
      </c>
      <c r="C1036" s="1" t="str">
        <f>"اشکني پور جفره"</f>
        <v>اشکني پور جفره</v>
      </c>
      <c r="D1036" s="1" t="str">
        <f>"قراردادي کارگري"</f>
        <v>قراردادي کارگري</v>
      </c>
      <c r="E1036" s="1" t="str">
        <f t="shared" si="108"/>
        <v>پروژه تعميرات نيروگاه بوشهر</v>
      </c>
      <c r="F1036" s="1">
        <v>0</v>
      </c>
      <c r="G1036" s="1">
        <v>4898843</v>
      </c>
      <c r="H1036" s="1">
        <v>2449422</v>
      </c>
      <c r="I1036" s="1">
        <v>0</v>
      </c>
      <c r="J1036" s="1">
        <v>0</v>
      </c>
      <c r="K1036" s="1">
        <v>4408958</v>
      </c>
      <c r="L1036" s="1">
        <v>0</v>
      </c>
      <c r="M1036" s="1">
        <v>0</v>
      </c>
      <c r="N1036" s="1">
        <v>11521166</v>
      </c>
      <c r="O1036" s="1">
        <v>2000000</v>
      </c>
      <c r="P1036" s="1">
        <v>3919075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2640000</v>
      </c>
      <c r="W1036" s="1">
        <v>0</v>
      </c>
      <c r="X1036" s="1">
        <v>6345518</v>
      </c>
      <c r="Y1036" s="1">
        <v>4000000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42182982</v>
      </c>
      <c r="AS1036" s="1">
        <v>7063826</v>
      </c>
      <c r="AT1036" s="1">
        <v>35119156</v>
      </c>
      <c r="AU1036" s="1">
        <v>8436596</v>
      </c>
      <c r="AV1036" s="1">
        <v>1265489</v>
      </c>
      <c r="AW1036" s="1">
        <f t="shared" si="110"/>
        <v>51885067</v>
      </c>
    </row>
    <row r="1037" spans="1:49" x14ac:dyDescent="0.2">
      <c r="A1037" s="1" t="str">
        <f>"01341"</f>
        <v>01341</v>
      </c>
      <c r="B1037" s="1" t="str">
        <f>"محسن"</f>
        <v>محسن</v>
      </c>
      <c r="C1037" s="1" t="str">
        <f>"ابراهيمي"</f>
        <v>ابراهيمي</v>
      </c>
      <c r="D1037" s="1" t="str">
        <f t="shared" ref="D1037:D1077" si="111">"قراردادي بهره بردار"</f>
        <v>قراردادي بهره بردار</v>
      </c>
      <c r="E1037" s="1" t="str">
        <f t="shared" ref="E1037:E1043" si="112">"پروژه بهره برداري نيروگاه بوشهر"</f>
        <v>پروژه بهره برداري نيروگاه بوشهر</v>
      </c>
      <c r="F1037" s="1">
        <v>19335372</v>
      </c>
      <c r="G1037" s="1">
        <v>0</v>
      </c>
      <c r="H1037" s="1">
        <v>0</v>
      </c>
      <c r="I1037" s="1">
        <v>6375249</v>
      </c>
      <c r="J1037" s="1">
        <v>0</v>
      </c>
      <c r="K1037" s="1">
        <v>13482006</v>
      </c>
      <c r="L1037" s="1">
        <v>0</v>
      </c>
      <c r="M1037" s="1">
        <v>5500000</v>
      </c>
      <c r="N1037" s="1">
        <v>0</v>
      </c>
      <c r="O1037" s="1">
        <v>1000000</v>
      </c>
      <c r="P1037" s="1">
        <v>2905345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1848000</v>
      </c>
      <c r="W1037" s="1">
        <v>0</v>
      </c>
      <c r="X1037" s="1">
        <v>4322793</v>
      </c>
      <c r="Y1037" s="1">
        <v>4000000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2282771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5222440</v>
      </c>
      <c r="AO1037" s="1">
        <v>0</v>
      </c>
      <c r="AP1037" s="1">
        <v>0</v>
      </c>
      <c r="AQ1037" s="1">
        <v>0</v>
      </c>
      <c r="AR1037" s="1">
        <v>66273976</v>
      </c>
      <c r="AS1037" s="1">
        <v>21183150</v>
      </c>
      <c r="AT1037" s="1">
        <v>45090826</v>
      </c>
      <c r="AU1037" s="1">
        <v>13254795</v>
      </c>
      <c r="AV1037" s="1">
        <v>1988219</v>
      </c>
      <c r="AW1037" s="1">
        <f t="shared" si="110"/>
        <v>81516990</v>
      </c>
    </row>
    <row r="1038" spans="1:49" x14ac:dyDescent="0.2">
      <c r="A1038" s="1" t="str">
        <f>"01342"</f>
        <v>01342</v>
      </c>
      <c r="B1038" s="1" t="str">
        <f>"صادق"</f>
        <v>صادق</v>
      </c>
      <c r="C1038" s="1" t="str">
        <f>"احمدي حبيب آباد"</f>
        <v>احمدي حبيب آباد</v>
      </c>
      <c r="D1038" s="1" t="str">
        <f t="shared" si="111"/>
        <v>قراردادي بهره بردار</v>
      </c>
      <c r="E1038" s="1" t="str">
        <f t="shared" si="112"/>
        <v>پروژه بهره برداري نيروگاه بوشهر</v>
      </c>
      <c r="F1038" s="1">
        <v>10517938</v>
      </c>
      <c r="G1038" s="1">
        <v>0</v>
      </c>
      <c r="H1038" s="1">
        <v>0</v>
      </c>
      <c r="I1038" s="1">
        <v>3725070</v>
      </c>
      <c r="J1038" s="1">
        <v>0</v>
      </c>
      <c r="K1038" s="1">
        <v>5856849</v>
      </c>
      <c r="L1038" s="1">
        <v>0</v>
      </c>
      <c r="M1038" s="1">
        <v>3465000</v>
      </c>
      <c r="N1038" s="1">
        <v>0</v>
      </c>
      <c r="O1038" s="1">
        <v>1000000</v>
      </c>
      <c r="P1038" s="1">
        <v>1485738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1848000</v>
      </c>
      <c r="W1038" s="1">
        <v>0</v>
      </c>
      <c r="X1038" s="1">
        <v>2399525</v>
      </c>
      <c r="Y1038" s="1">
        <v>4000000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1167365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4967365</v>
      </c>
      <c r="AO1038" s="1">
        <v>0</v>
      </c>
      <c r="AP1038" s="1">
        <v>0</v>
      </c>
      <c r="AQ1038" s="1">
        <v>0</v>
      </c>
      <c r="AR1038" s="1">
        <v>40432850</v>
      </c>
      <c r="AS1038" s="1">
        <v>9147341</v>
      </c>
      <c r="AT1038" s="1">
        <v>31285509</v>
      </c>
      <c r="AU1038" s="1">
        <v>8086570</v>
      </c>
      <c r="AV1038" s="1">
        <v>1212986</v>
      </c>
      <c r="AW1038" s="1">
        <f t="shared" si="110"/>
        <v>49732406</v>
      </c>
    </row>
    <row r="1039" spans="1:49" x14ac:dyDescent="0.2">
      <c r="A1039" s="1" t="str">
        <f>"01343"</f>
        <v>01343</v>
      </c>
      <c r="B1039" s="1" t="str">
        <f>"مهدي"</f>
        <v>مهدي</v>
      </c>
      <c r="C1039" s="1" t="str">
        <f>"بنافي"</f>
        <v>بنافي</v>
      </c>
      <c r="D1039" s="1" t="str">
        <f t="shared" si="111"/>
        <v>قراردادي بهره بردار</v>
      </c>
      <c r="E1039" s="1" t="str">
        <f t="shared" si="112"/>
        <v>پروژه بهره برداري نيروگاه بوشهر</v>
      </c>
      <c r="F1039" s="1">
        <v>20600044</v>
      </c>
      <c r="G1039" s="1">
        <v>0</v>
      </c>
      <c r="H1039" s="1">
        <v>0</v>
      </c>
      <c r="I1039" s="1">
        <v>0</v>
      </c>
      <c r="J1039" s="1">
        <v>0</v>
      </c>
      <c r="K1039" s="1">
        <v>10742179</v>
      </c>
      <c r="L1039" s="1">
        <v>0</v>
      </c>
      <c r="M1039" s="1">
        <v>4125000</v>
      </c>
      <c r="N1039" s="1">
        <v>0</v>
      </c>
      <c r="O1039" s="1">
        <v>1000000</v>
      </c>
      <c r="P1039" s="1">
        <v>3546372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1848000</v>
      </c>
      <c r="W1039" s="1">
        <v>0</v>
      </c>
      <c r="X1039" s="1">
        <v>4264202</v>
      </c>
      <c r="Y1039" s="1">
        <v>4000000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2786435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4966986</v>
      </c>
      <c r="AO1039" s="1">
        <v>0</v>
      </c>
      <c r="AP1039" s="1">
        <v>0</v>
      </c>
      <c r="AQ1039" s="1">
        <v>0</v>
      </c>
      <c r="AR1039" s="1">
        <v>57879218</v>
      </c>
      <c r="AS1039" s="1">
        <v>5849512</v>
      </c>
      <c r="AT1039" s="1">
        <v>52029706</v>
      </c>
      <c r="AU1039" s="1">
        <v>11575844</v>
      </c>
      <c r="AV1039" s="1">
        <v>1736377</v>
      </c>
      <c r="AW1039" s="1">
        <f t="shared" si="110"/>
        <v>71191439</v>
      </c>
    </row>
    <row r="1040" spans="1:49" x14ac:dyDescent="0.2">
      <c r="A1040" s="1" t="str">
        <f>"01344"</f>
        <v>01344</v>
      </c>
      <c r="B1040" s="1" t="str">
        <f>"جمشيد"</f>
        <v>جمشيد</v>
      </c>
      <c r="C1040" s="1" t="str">
        <f>"حيدري"</f>
        <v>حيدري</v>
      </c>
      <c r="D1040" s="1" t="str">
        <f t="shared" si="111"/>
        <v>قراردادي بهره بردار</v>
      </c>
      <c r="E1040" s="1" t="str">
        <f t="shared" si="112"/>
        <v>پروژه بهره برداري نيروگاه بوشهر</v>
      </c>
      <c r="F1040" s="1">
        <v>17377901</v>
      </c>
      <c r="G1040" s="1">
        <v>0</v>
      </c>
      <c r="H1040" s="1">
        <v>0</v>
      </c>
      <c r="I1040" s="1">
        <v>5449975</v>
      </c>
      <c r="J1040" s="1">
        <v>0</v>
      </c>
      <c r="K1040" s="1">
        <v>11653862</v>
      </c>
      <c r="L1040" s="1">
        <v>0</v>
      </c>
      <c r="M1040" s="1">
        <v>5500000</v>
      </c>
      <c r="N1040" s="1">
        <v>0</v>
      </c>
      <c r="O1040" s="1">
        <v>1000000</v>
      </c>
      <c r="P1040" s="1">
        <v>2418622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1848000</v>
      </c>
      <c r="W1040" s="1">
        <v>0</v>
      </c>
      <c r="X1040" s="1">
        <v>3900704</v>
      </c>
      <c r="Y1040" s="1">
        <v>4000000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1900345</v>
      </c>
      <c r="AH1040" s="1">
        <v>1835427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5656308</v>
      </c>
      <c r="AO1040" s="1">
        <v>0</v>
      </c>
      <c r="AP1040" s="1">
        <v>0</v>
      </c>
      <c r="AQ1040" s="1">
        <v>0</v>
      </c>
      <c r="AR1040" s="1">
        <v>62541144</v>
      </c>
      <c r="AS1040" s="1">
        <v>20578063</v>
      </c>
      <c r="AT1040" s="1">
        <v>41963081</v>
      </c>
      <c r="AU1040" s="1">
        <v>12141143</v>
      </c>
      <c r="AV1040" s="1">
        <v>1821172</v>
      </c>
      <c r="AW1040" s="1">
        <f t="shared" si="110"/>
        <v>76503459</v>
      </c>
    </row>
    <row r="1041" spans="1:49" x14ac:dyDescent="0.2">
      <c r="A1041" s="1" t="str">
        <f>"01345"</f>
        <v>01345</v>
      </c>
      <c r="B1041" s="1" t="str">
        <f>"وحيد"</f>
        <v>وحيد</v>
      </c>
      <c r="C1041" s="1" t="str">
        <f>"حياتي جعفر بيگي"</f>
        <v>حياتي جعفر بيگي</v>
      </c>
      <c r="D1041" s="1" t="str">
        <f t="shared" si="111"/>
        <v>قراردادي بهره بردار</v>
      </c>
      <c r="E1041" s="1" t="str">
        <f t="shared" si="112"/>
        <v>پروژه بهره برداري نيروگاه بوشهر</v>
      </c>
      <c r="F1041" s="1">
        <v>17521500</v>
      </c>
      <c r="G1041" s="1">
        <v>0</v>
      </c>
      <c r="H1041" s="1">
        <v>0</v>
      </c>
      <c r="I1041" s="1">
        <v>8774334</v>
      </c>
      <c r="J1041" s="1">
        <v>0</v>
      </c>
      <c r="K1041" s="1">
        <v>12929334</v>
      </c>
      <c r="L1041" s="1">
        <v>0</v>
      </c>
      <c r="M1041" s="1">
        <v>4125000</v>
      </c>
      <c r="N1041" s="1">
        <v>0</v>
      </c>
      <c r="O1041" s="1">
        <v>1000000</v>
      </c>
      <c r="P1041" s="1">
        <v>2680500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1848000</v>
      </c>
      <c r="W1041" s="1">
        <v>0</v>
      </c>
      <c r="X1041" s="1">
        <v>4037170</v>
      </c>
      <c r="Y1041" s="1">
        <v>4000000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2106107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5134265</v>
      </c>
      <c r="AO1041" s="1">
        <v>0</v>
      </c>
      <c r="AP1041" s="1">
        <v>0</v>
      </c>
      <c r="AQ1041" s="1">
        <v>0</v>
      </c>
      <c r="AR1041" s="1">
        <v>64156210</v>
      </c>
      <c r="AS1041" s="1">
        <v>25185285</v>
      </c>
      <c r="AT1041" s="1">
        <v>38970925</v>
      </c>
      <c r="AU1041" s="1">
        <v>12831242</v>
      </c>
      <c r="AV1041" s="1">
        <v>1924686</v>
      </c>
      <c r="AW1041" s="1">
        <f t="shared" si="110"/>
        <v>78912138</v>
      </c>
    </row>
    <row r="1042" spans="1:49" x14ac:dyDescent="0.2">
      <c r="A1042" s="1" t="str">
        <f>"01346"</f>
        <v>01346</v>
      </c>
      <c r="B1042" s="1" t="str">
        <f>"عيسي"</f>
        <v>عيسي</v>
      </c>
      <c r="C1042" s="1" t="str">
        <f>"قاسمي"</f>
        <v>قاسمي</v>
      </c>
      <c r="D1042" s="1" t="str">
        <f t="shared" si="111"/>
        <v>قراردادي بهره بردار</v>
      </c>
      <c r="E1042" s="1" t="str">
        <f t="shared" si="112"/>
        <v>پروژه بهره برداري نيروگاه بوشهر</v>
      </c>
      <c r="F1042" s="1">
        <v>11228372</v>
      </c>
      <c r="G1042" s="1">
        <v>0</v>
      </c>
      <c r="H1042" s="1">
        <v>0</v>
      </c>
      <c r="I1042" s="1">
        <v>11899564</v>
      </c>
      <c r="J1042" s="1">
        <v>0</v>
      </c>
      <c r="K1042" s="1">
        <v>7548669</v>
      </c>
      <c r="L1042" s="1">
        <v>0</v>
      </c>
      <c r="M1042" s="1">
        <v>4620000</v>
      </c>
      <c r="N1042" s="1">
        <v>0</v>
      </c>
      <c r="O1042" s="1">
        <v>1000000</v>
      </c>
      <c r="P1042" s="1">
        <v>1602128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1848000</v>
      </c>
      <c r="W1042" s="1">
        <v>0</v>
      </c>
      <c r="X1042" s="1">
        <v>4845799</v>
      </c>
      <c r="Y1042" s="1">
        <v>4000000</v>
      </c>
      <c r="Z1042" s="1">
        <v>1629925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1258815</v>
      </c>
      <c r="AH1042" s="1">
        <v>3670854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8648264</v>
      </c>
      <c r="AO1042" s="1">
        <v>0</v>
      </c>
      <c r="AP1042" s="1">
        <v>0</v>
      </c>
      <c r="AQ1042" s="1">
        <v>0</v>
      </c>
      <c r="AR1042" s="1">
        <v>63800390</v>
      </c>
      <c r="AS1042" s="1">
        <v>7361182</v>
      </c>
      <c r="AT1042" s="1">
        <v>56439208</v>
      </c>
      <c r="AU1042" s="1">
        <v>12025907</v>
      </c>
      <c r="AV1042" s="1">
        <v>1803886</v>
      </c>
      <c r="AW1042" s="1">
        <f t="shared" si="110"/>
        <v>77630183</v>
      </c>
    </row>
    <row r="1043" spans="1:49" x14ac:dyDescent="0.2">
      <c r="A1043" s="1" t="str">
        <f>"01347"</f>
        <v>01347</v>
      </c>
      <c r="B1043" s="1" t="str">
        <f>"مسعود"</f>
        <v>مسعود</v>
      </c>
      <c r="C1043" s="1" t="str">
        <f>"گلرخ"</f>
        <v>گلرخ</v>
      </c>
      <c r="D1043" s="1" t="str">
        <f t="shared" si="111"/>
        <v>قراردادي بهره بردار</v>
      </c>
      <c r="E1043" s="1" t="str">
        <f t="shared" si="112"/>
        <v>پروژه بهره برداري نيروگاه بوشهر</v>
      </c>
      <c r="F1043" s="1">
        <v>13661983</v>
      </c>
      <c r="G1043" s="1">
        <v>0</v>
      </c>
      <c r="H1043" s="1">
        <v>0</v>
      </c>
      <c r="I1043" s="1">
        <v>20257111</v>
      </c>
      <c r="J1043" s="1">
        <v>0</v>
      </c>
      <c r="K1043" s="1">
        <v>9786848</v>
      </c>
      <c r="L1043" s="1">
        <v>0</v>
      </c>
      <c r="M1043" s="1">
        <v>4620000</v>
      </c>
      <c r="N1043" s="1">
        <v>0</v>
      </c>
      <c r="O1043" s="1">
        <v>1000000</v>
      </c>
      <c r="P1043" s="1">
        <v>2189369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1848000</v>
      </c>
      <c r="W1043" s="1">
        <v>0</v>
      </c>
      <c r="X1043" s="1">
        <v>6091718</v>
      </c>
      <c r="Y1043" s="1">
        <v>4000000</v>
      </c>
      <c r="Z1043" s="1">
        <v>1983191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1720218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10714819</v>
      </c>
      <c r="AO1043" s="1">
        <v>0</v>
      </c>
      <c r="AP1043" s="1">
        <v>0</v>
      </c>
      <c r="AQ1043" s="1">
        <v>0</v>
      </c>
      <c r="AR1043" s="1">
        <v>77873257</v>
      </c>
      <c r="AS1043" s="1">
        <v>38737325</v>
      </c>
      <c r="AT1043" s="1">
        <v>39135932</v>
      </c>
      <c r="AU1043" s="1">
        <v>15574651</v>
      </c>
      <c r="AV1043" s="1">
        <v>2336198</v>
      </c>
      <c r="AW1043" s="1">
        <f t="shared" si="110"/>
        <v>95784106</v>
      </c>
    </row>
    <row r="1044" spans="1:49" x14ac:dyDescent="0.2">
      <c r="A1044" s="1" t="str">
        <f>"01349"</f>
        <v>01349</v>
      </c>
      <c r="B1044" s="1" t="str">
        <f>"روزبه"</f>
        <v>روزبه</v>
      </c>
      <c r="C1044" s="1" t="str">
        <f>"محمدي"</f>
        <v>محمدي</v>
      </c>
      <c r="D1044" s="1" t="str">
        <f t="shared" si="111"/>
        <v>قراردادي بهره بردار</v>
      </c>
      <c r="E1044" s="1" t="str">
        <f>"پروژه تعميرات نيروگاه بوشهر"</f>
        <v>پروژه تعميرات نيروگاه بوشهر</v>
      </c>
      <c r="F1044" s="1">
        <v>18730748</v>
      </c>
      <c r="G1044" s="1">
        <v>0</v>
      </c>
      <c r="H1044" s="1">
        <v>0</v>
      </c>
      <c r="I1044" s="1">
        <v>0</v>
      </c>
      <c r="J1044" s="1">
        <v>0</v>
      </c>
      <c r="K1044" s="1">
        <v>12591399</v>
      </c>
      <c r="L1044" s="1">
        <v>0</v>
      </c>
      <c r="M1044" s="1">
        <v>4125000</v>
      </c>
      <c r="N1044" s="1">
        <v>0</v>
      </c>
      <c r="O1044" s="1">
        <v>1000000</v>
      </c>
      <c r="P1044" s="1">
        <v>2918570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1848000</v>
      </c>
      <c r="W1044" s="1">
        <v>0</v>
      </c>
      <c r="X1044" s="1">
        <v>4411940</v>
      </c>
      <c r="Y1044" s="1">
        <v>4000000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2293163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7585512</v>
      </c>
      <c r="AO1044" s="1">
        <v>0</v>
      </c>
      <c r="AP1044" s="1">
        <v>0</v>
      </c>
      <c r="AQ1044" s="1">
        <v>0</v>
      </c>
      <c r="AR1044" s="1">
        <v>59504332</v>
      </c>
      <c r="AS1044" s="1">
        <v>19298769</v>
      </c>
      <c r="AT1044" s="1">
        <v>40205563</v>
      </c>
      <c r="AU1044" s="1">
        <v>11900866</v>
      </c>
      <c r="AV1044" s="1">
        <v>1785130</v>
      </c>
      <c r="AW1044" s="1">
        <f t="shared" si="110"/>
        <v>73190328</v>
      </c>
    </row>
    <row r="1045" spans="1:49" x14ac:dyDescent="0.2">
      <c r="A1045" s="1" t="str">
        <f>"01350"</f>
        <v>01350</v>
      </c>
      <c r="B1045" s="1" t="str">
        <f>"صياد"</f>
        <v>صياد</v>
      </c>
      <c r="C1045" s="1" t="str">
        <f>"شريفي"</f>
        <v>شريفي</v>
      </c>
      <c r="D1045" s="1" t="str">
        <f t="shared" si="111"/>
        <v>قراردادي بهره بردار</v>
      </c>
      <c r="E1045" s="1" t="str">
        <f t="shared" ref="E1045:E1077" si="113">"پروژه بهره برداري نيروگاه بوشهر"</f>
        <v>پروژه بهره برداري نيروگاه بوشهر</v>
      </c>
      <c r="F1045" s="1">
        <v>19007867</v>
      </c>
      <c r="G1045" s="1">
        <v>0</v>
      </c>
      <c r="H1045" s="1">
        <v>0</v>
      </c>
      <c r="I1045" s="1">
        <v>1220145</v>
      </c>
      <c r="J1045" s="1">
        <v>0</v>
      </c>
      <c r="K1045" s="1">
        <v>10012340</v>
      </c>
      <c r="L1045" s="1">
        <v>0</v>
      </c>
      <c r="M1045" s="1">
        <v>5500000</v>
      </c>
      <c r="N1045" s="1">
        <v>0</v>
      </c>
      <c r="O1045" s="1">
        <v>1000000</v>
      </c>
      <c r="P1045" s="1">
        <v>2989110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3929818</v>
      </c>
      <c r="Y1045" s="1">
        <v>4000000</v>
      </c>
      <c r="Z1045" s="1">
        <v>1525182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2348587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4940282</v>
      </c>
      <c r="AO1045" s="1">
        <v>0</v>
      </c>
      <c r="AP1045" s="1">
        <v>0</v>
      </c>
      <c r="AQ1045" s="1">
        <v>0</v>
      </c>
      <c r="AR1045" s="1">
        <v>56473331</v>
      </c>
      <c r="AS1045" s="1">
        <v>27432584</v>
      </c>
      <c r="AT1045" s="1">
        <v>29040747</v>
      </c>
      <c r="AU1045" s="1">
        <v>11294666</v>
      </c>
      <c r="AV1045" s="1">
        <v>1694200</v>
      </c>
      <c r="AW1045" s="1">
        <f t="shared" si="110"/>
        <v>69462197</v>
      </c>
    </row>
    <row r="1046" spans="1:49" x14ac:dyDescent="0.2">
      <c r="A1046" s="1" t="str">
        <f>"01351"</f>
        <v>01351</v>
      </c>
      <c r="B1046" s="1" t="str">
        <f>"رضا"</f>
        <v>رضا</v>
      </c>
      <c r="C1046" s="1" t="str">
        <f>"ثابت سروستاني"</f>
        <v>ثابت سروستاني</v>
      </c>
      <c r="D1046" s="1" t="str">
        <f t="shared" si="111"/>
        <v>قراردادي بهره بردار</v>
      </c>
      <c r="E1046" s="1" t="str">
        <f t="shared" si="113"/>
        <v>پروژه بهره برداري نيروگاه بوشهر</v>
      </c>
      <c r="F1046" s="1">
        <v>12875972</v>
      </c>
      <c r="G1046" s="1">
        <v>0</v>
      </c>
      <c r="H1046" s="1">
        <v>0</v>
      </c>
      <c r="I1046" s="1">
        <v>2325348</v>
      </c>
      <c r="J1046" s="1">
        <v>0</v>
      </c>
      <c r="K1046" s="1">
        <v>8646529</v>
      </c>
      <c r="L1046" s="1">
        <v>0</v>
      </c>
      <c r="M1046" s="1">
        <v>3465000</v>
      </c>
      <c r="N1046" s="1">
        <v>0</v>
      </c>
      <c r="O1046" s="1">
        <v>1000000</v>
      </c>
      <c r="P1046" s="1">
        <v>2015665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1848000</v>
      </c>
      <c r="W1046" s="1">
        <v>0</v>
      </c>
      <c r="X1046" s="1">
        <v>3744716</v>
      </c>
      <c r="Y1046" s="1">
        <v>4000000</v>
      </c>
      <c r="Z1046" s="1">
        <v>1744011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1583737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12325260</v>
      </c>
      <c r="AO1046" s="1">
        <v>0</v>
      </c>
      <c r="AP1046" s="1">
        <v>0</v>
      </c>
      <c r="AQ1046" s="1">
        <v>0</v>
      </c>
      <c r="AR1046" s="1">
        <v>55574238</v>
      </c>
      <c r="AS1046" s="1">
        <v>22534804</v>
      </c>
      <c r="AT1046" s="1">
        <v>33039434</v>
      </c>
      <c r="AU1046" s="1">
        <v>11114848</v>
      </c>
      <c r="AV1046" s="1">
        <v>1667227</v>
      </c>
      <c r="AW1046" s="1">
        <f t="shared" si="110"/>
        <v>68356313</v>
      </c>
    </row>
    <row r="1047" spans="1:49" x14ac:dyDescent="0.2">
      <c r="A1047" s="1" t="str">
        <f>"01352"</f>
        <v>01352</v>
      </c>
      <c r="B1047" s="1" t="str">
        <f>"امير"</f>
        <v>امير</v>
      </c>
      <c r="C1047" s="1" t="str">
        <f>"حسينلو"</f>
        <v>حسينلو</v>
      </c>
      <c r="D1047" s="1" t="str">
        <f t="shared" si="111"/>
        <v>قراردادي بهره بردار</v>
      </c>
      <c r="E1047" s="1" t="str">
        <f t="shared" si="113"/>
        <v>پروژه بهره برداري نيروگاه بوشهر</v>
      </c>
      <c r="F1047" s="1">
        <v>12765124</v>
      </c>
      <c r="G1047" s="1">
        <v>0</v>
      </c>
      <c r="H1047" s="1">
        <v>0</v>
      </c>
      <c r="I1047" s="1">
        <v>1489597</v>
      </c>
      <c r="J1047" s="1">
        <v>0</v>
      </c>
      <c r="K1047" s="1">
        <v>8877704</v>
      </c>
      <c r="L1047" s="1">
        <v>0</v>
      </c>
      <c r="M1047" s="1">
        <v>3465000</v>
      </c>
      <c r="N1047" s="1">
        <v>0</v>
      </c>
      <c r="O1047" s="1">
        <v>1000000</v>
      </c>
      <c r="P1047" s="1">
        <v>1976869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3838132</v>
      </c>
      <c r="Y1047" s="1">
        <v>4000000</v>
      </c>
      <c r="Z1047" s="1">
        <v>893758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1553254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13208364</v>
      </c>
      <c r="AO1047" s="1">
        <v>0</v>
      </c>
      <c r="AP1047" s="1">
        <v>0</v>
      </c>
      <c r="AQ1047" s="1">
        <v>0</v>
      </c>
      <c r="AR1047" s="1">
        <v>53067802</v>
      </c>
      <c r="AS1047" s="1">
        <v>31004212</v>
      </c>
      <c r="AT1047" s="1">
        <v>22063590</v>
      </c>
      <c r="AU1047" s="1">
        <v>10613560</v>
      </c>
      <c r="AV1047" s="1">
        <v>1592034</v>
      </c>
      <c r="AW1047" s="1">
        <f t="shared" si="110"/>
        <v>65273396</v>
      </c>
    </row>
    <row r="1048" spans="1:49" x14ac:dyDescent="0.2">
      <c r="A1048" s="1" t="str">
        <f>"01353"</f>
        <v>01353</v>
      </c>
      <c r="B1048" s="1" t="str">
        <f>"مجتبي"</f>
        <v>مجتبي</v>
      </c>
      <c r="C1048" s="1" t="str">
        <f>"چکي"</f>
        <v>چکي</v>
      </c>
      <c r="D1048" s="1" t="str">
        <f t="shared" si="111"/>
        <v>قراردادي بهره بردار</v>
      </c>
      <c r="E1048" s="1" t="str">
        <f t="shared" si="113"/>
        <v>پروژه بهره برداري نيروگاه بوشهر</v>
      </c>
      <c r="F1048" s="1">
        <v>18173990</v>
      </c>
      <c r="G1048" s="1">
        <v>0</v>
      </c>
      <c r="H1048" s="1">
        <v>0</v>
      </c>
      <c r="I1048" s="1">
        <v>977869</v>
      </c>
      <c r="J1048" s="1">
        <v>0</v>
      </c>
      <c r="K1048" s="1">
        <v>12043139</v>
      </c>
      <c r="L1048" s="1">
        <v>0</v>
      </c>
      <c r="M1048" s="1">
        <v>5500000</v>
      </c>
      <c r="N1048" s="1">
        <v>0</v>
      </c>
      <c r="O1048" s="1">
        <v>1000000</v>
      </c>
      <c r="P1048" s="1">
        <v>2723705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1848000</v>
      </c>
      <c r="W1048" s="1">
        <v>0</v>
      </c>
      <c r="X1048" s="1">
        <v>4199335</v>
      </c>
      <c r="Y1048" s="1">
        <v>4000000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2140054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6912465</v>
      </c>
      <c r="AO1048" s="1">
        <v>0</v>
      </c>
      <c r="AP1048" s="1">
        <v>0</v>
      </c>
      <c r="AQ1048" s="1">
        <v>0</v>
      </c>
      <c r="AR1048" s="1">
        <v>59518557</v>
      </c>
      <c r="AS1048" s="1">
        <v>23482654</v>
      </c>
      <c r="AT1048" s="1">
        <v>36035903</v>
      </c>
      <c r="AU1048" s="1">
        <v>11903711</v>
      </c>
      <c r="AV1048" s="1">
        <v>1785557</v>
      </c>
      <c r="AW1048" s="1">
        <f t="shared" si="110"/>
        <v>73207825</v>
      </c>
    </row>
    <row r="1049" spans="1:49" x14ac:dyDescent="0.2">
      <c r="A1049" s="1" t="str">
        <f>"01354"</f>
        <v>01354</v>
      </c>
      <c r="B1049" s="1" t="str">
        <f>"ايمان"</f>
        <v>ايمان</v>
      </c>
      <c r="C1049" s="1" t="str">
        <f>"زردپور"</f>
        <v>زردپور</v>
      </c>
      <c r="D1049" s="1" t="str">
        <f t="shared" si="111"/>
        <v>قراردادي بهره بردار</v>
      </c>
      <c r="E1049" s="1" t="str">
        <f t="shared" si="113"/>
        <v>پروژه بهره برداري نيروگاه بوشهر</v>
      </c>
      <c r="F1049" s="1">
        <v>17488749</v>
      </c>
      <c r="G1049" s="1">
        <v>0</v>
      </c>
      <c r="H1049" s="1">
        <v>0</v>
      </c>
      <c r="I1049" s="1">
        <v>0</v>
      </c>
      <c r="J1049" s="1">
        <v>0</v>
      </c>
      <c r="K1049" s="1">
        <v>11542656</v>
      </c>
      <c r="L1049" s="1">
        <v>0</v>
      </c>
      <c r="M1049" s="1">
        <v>5500000</v>
      </c>
      <c r="N1049" s="1">
        <v>0</v>
      </c>
      <c r="O1049" s="1">
        <v>1000000</v>
      </c>
      <c r="P1049" s="1">
        <v>2669037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1848000</v>
      </c>
      <c r="W1049" s="1">
        <v>0</v>
      </c>
      <c r="X1049" s="1">
        <v>3857943</v>
      </c>
      <c r="Y1049" s="1">
        <v>4000000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2097100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4781883</v>
      </c>
      <c r="AO1049" s="1">
        <v>0</v>
      </c>
      <c r="AP1049" s="1">
        <v>0</v>
      </c>
      <c r="AQ1049" s="1">
        <v>0</v>
      </c>
      <c r="AR1049" s="1">
        <v>54785368</v>
      </c>
      <c r="AS1049" s="1">
        <v>14923849</v>
      </c>
      <c r="AT1049" s="1">
        <v>39861519</v>
      </c>
      <c r="AU1049" s="1">
        <v>10957074</v>
      </c>
      <c r="AV1049" s="1">
        <v>1643561</v>
      </c>
      <c r="AW1049" s="1">
        <f t="shared" si="110"/>
        <v>67386003</v>
      </c>
    </row>
    <row r="1050" spans="1:49" x14ac:dyDescent="0.2">
      <c r="A1050" s="1" t="str">
        <f>"01355"</f>
        <v>01355</v>
      </c>
      <c r="B1050" s="1" t="str">
        <f>"حسن"</f>
        <v>حسن</v>
      </c>
      <c r="C1050" s="1" t="str">
        <f>"مشتاقي"</f>
        <v>مشتاقي</v>
      </c>
      <c r="D1050" s="1" t="str">
        <f t="shared" si="111"/>
        <v>قراردادي بهره بردار</v>
      </c>
      <c r="E1050" s="1" t="str">
        <f t="shared" si="113"/>
        <v>پروژه بهره برداري نيروگاه بوشهر</v>
      </c>
      <c r="F1050" s="1">
        <v>12823067</v>
      </c>
      <c r="G1050" s="1">
        <v>0</v>
      </c>
      <c r="H1050" s="1">
        <v>0</v>
      </c>
      <c r="I1050" s="1">
        <v>0</v>
      </c>
      <c r="J1050" s="1">
        <v>0</v>
      </c>
      <c r="K1050" s="1">
        <v>8089604</v>
      </c>
      <c r="L1050" s="1">
        <v>0</v>
      </c>
      <c r="M1050" s="1">
        <v>3465000</v>
      </c>
      <c r="N1050" s="1">
        <v>0</v>
      </c>
      <c r="O1050" s="1">
        <v>1000000</v>
      </c>
      <c r="P1050" s="1">
        <v>1997149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1848000</v>
      </c>
      <c r="W1050" s="1">
        <v>0</v>
      </c>
      <c r="X1050" s="1">
        <v>3179055</v>
      </c>
      <c r="Y1050" s="1">
        <v>4000000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1569188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7311542</v>
      </c>
      <c r="AO1050" s="1">
        <v>0</v>
      </c>
      <c r="AP1050" s="1">
        <v>0</v>
      </c>
      <c r="AQ1050" s="1">
        <v>0</v>
      </c>
      <c r="AR1050" s="1">
        <v>45282605</v>
      </c>
      <c r="AS1050" s="1">
        <v>5564161</v>
      </c>
      <c r="AT1050" s="1">
        <v>39718444</v>
      </c>
      <c r="AU1050" s="1">
        <v>9056521</v>
      </c>
      <c r="AV1050" s="1">
        <v>1358478</v>
      </c>
      <c r="AW1050" s="1">
        <f t="shared" si="110"/>
        <v>55697604</v>
      </c>
    </row>
    <row r="1051" spans="1:49" x14ac:dyDescent="0.2">
      <c r="A1051" s="1" t="str">
        <f>"01356"</f>
        <v>01356</v>
      </c>
      <c r="B1051" s="1" t="str">
        <f>"يداله"</f>
        <v>يداله</v>
      </c>
      <c r="C1051" s="1" t="str">
        <f>"ابوعلي نژاد"</f>
        <v>ابوعلي نژاد</v>
      </c>
      <c r="D1051" s="1" t="str">
        <f t="shared" si="111"/>
        <v>قراردادي بهره بردار</v>
      </c>
      <c r="E1051" s="1" t="str">
        <f t="shared" si="113"/>
        <v>پروژه بهره برداري نيروگاه بوشهر</v>
      </c>
      <c r="F1051" s="1">
        <v>13130418</v>
      </c>
      <c r="G1051" s="1">
        <v>0</v>
      </c>
      <c r="H1051" s="1">
        <v>0</v>
      </c>
      <c r="I1051" s="1">
        <v>0</v>
      </c>
      <c r="J1051" s="1">
        <v>0</v>
      </c>
      <c r="K1051" s="1">
        <v>8819607</v>
      </c>
      <c r="L1051" s="1">
        <v>0</v>
      </c>
      <c r="M1051" s="1">
        <v>3465000</v>
      </c>
      <c r="N1051" s="1">
        <v>0</v>
      </c>
      <c r="O1051" s="1">
        <v>1000000</v>
      </c>
      <c r="P1051" s="1">
        <v>2104721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1848000</v>
      </c>
      <c r="W1051" s="1">
        <v>0</v>
      </c>
      <c r="X1051" s="1">
        <v>3414633</v>
      </c>
      <c r="Y1051" s="1">
        <v>4000000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1653709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8437881</v>
      </c>
      <c r="AO1051" s="1">
        <v>0</v>
      </c>
      <c r="AP1051" s="1">
        <v>0</v>
      </c>
      <c r="AQ1051" s="1">
        <v>0</v>
      </c>
      <c r="AR1051" s="1">
        <v>47873969</v>
      </c>
      <c r="AS1051" s="1">
        <v>11203187</v>
      </c>
      <c r="AT1051" s="1">
        <v>36670782</v>
      </c>
      <c r="AU1051" s="1">
        <v>9574794</v>
      </c>
      <c r="AV1051" s="1">
        <v>1436219</v>
      </c>
      <c r="AW1051" s="1">
        <f t="shared" si="110"/>
        <v>58884982</v>
      </c>
    </row>
    <row r="1052" spans="1:49" x14ac:dyDescent="0.2">
      <c r="A1052" s="1" t="str">
        <f>"01357"</f>
        <v>01357</v>
      </c>
      <c r="B1052" s="1" t="str">
        <f>"پيمان"</f>
        <v>پيمان</v>
      </c>
      <c r="C1052" s="1" t="str">
        <f>"سلحشوري"</f>
        <v>سلحشوري</v>
      </c>
      <c r="D1052" s="1" t="str">
        <f t="shared" si="111"/>
        <v>قراردادي بهره بردار</v>
      </c>
      <c r="E1052" s="1" t="str">
        <f t="shared" si="113"/>
        <v>پروژه بهره برداري نيروگاه بوشهر</v>
      </c>
      <c r="F1052" s="1">
        <v>18803806</v>
      </c>
      <c r="G1052" s="1">
        <v>0</v>
      </c>
      <c r="H1052" s="1">
        <v>0</v>
      </c>
      <c r="I1052" s="1">
        <v>0</v>
      </c>
      <c r="J1052" s="1">
        <v>0</v>
      </c>
      <c r="K1052" s="1">
        <v>9960568</v>
      </c>
      <c r="L1052" s="1">
        <v>0</v>
      </c>
      <c r="M1052" s="1">
        <v>4620000</v>
      </c>
      <c r="N1052" s="1">
        <v>0</v>
      </c>
      <c r="O1052" s="1">
        <v>1000000</v>
      </c>
      <c r="P1052" s="1">
        <v>3129307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1848000</v>
      </c>
      <c r="W1052" s="1">
        <v>0</v>
      </c>
      <c r="X1052" s="1">
        <v>3916347</v>
      </c>
      <c r="Y1052" s="1">
        <v>4000000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2458741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4811044</v>
      </c>
      <c r="AO1052" s="1">
        <v>0</v>
      </c>
      <c r="AP1052" s="1">
        <v>0</v>
      </c>
      <c r="AQ1052" s="1">
        <v>0</v>
      </c>
      <c r="AR1052" s="1">
        <v>54547813</v>
      </c>
      <c r="AS1052" s="1">
        <v>25321335</v>
      </c>
      <c r="AT1052" s="1">
        <v>29226478</v>
      </c>
      <c r="AU1052" s="1">
        <v>10909563</v>
      </c>
      <c r="AV1052" s="1">
        <v>1636434</v>
      </c>
      <c r="AW1052" s="1">
        <f t="shared" si="110"/>
        <v>67093810</v>
      </c>
    </row>
    <row r="1053" spans="1:49" x14ac:dyDescent="0.2">
      <c r="A1053" s="1" t="str">
        <f>"01358"</f>
        <v>01358</v>
      </c>
      <c r="B1053" s="1" t="str">
        <f>"محمود"</f>
        <v>محمود</v>
      </c>
      <c r="C1053" s="1" t="str">
        <f>"دشتي"</f>
        <v>دشتي</v>
      </c>
      <c r="D1053" s="1" t="str">
        <f t="shared" si="111"/>
        <v>قراردادي بهره بردار</v>
      </c>
      <c r="E1053" s="1" t="str">
        <f t="shared" si="113"/>
        <v>پروژه بهره برداري نيروگاه بوشهر</v>
      </c>
      <c r="F1053" s="1">
        <v>12732374</v>
      </c>
      <c r="G1053" s="1">
        <v>0</v>
      </c>
      <c r="H1053" s="1">
        <v>0</v>
      </c>
      <c r="I1053" s="1">
        <v>1468752</v>
      </c>
      <c r="J1053" s="1">
        <v>0</v>
      </c>
      <c r="K1053" s="1">
        <v>8014514</v>
      </c>
      <c r="L1053" s="1">
        <v>0</v>
      </c>
      <c r="M1053" s="1">
        <v>4620000</v>
      </c>
      <c r="N1053" s="1">
        <v>0</v>
      </c>
      <c r="O1053" s="1">
        <v>1000000</v>
      </c>
      <c r="P1053" s="1">
        <v>1965406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1848000</v>
      </c>
      <c r="W1053" s="1">
        <v>0</v>
      </c>
      <c r="X1053" s="1">
        <v>3153685</v>
      </c>
      <c r="Y1053" s="1">
        <v>4000000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1544247</v>
      </c>
      <c r="AH1053" s="1">
        <v>1835427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7280302</v>
      </c>
      <c r="AO1053" s="1">
        <v>0</v>
      </c>
      <c r="AP1053" s="1">
        <v>0</v>
      </c>
      <c r="AQ1053" s="1">
        <v>0</v>
      </c>
      <c r="AR1053" s="1">
        <v>49462707</v>
      </c>
      <c r="AS1053" s="1">
        <v>17740426</v>
      </c>
      <c r="AT1053" s="1">
        <v>31722281</v>
      </c>
      <c r="AU1053" s="1">
        <v>9525456</v>
      </c>
      <c r="AV1053" s="1">
        <v>1428818</v>
      </c>
      <c r="AW1053" s="1">
        <f t="shared" si="110"/>
        <v>60416981</v>
      </c>
    </row>
    <row r="1054" spans="1:49" x14ac:dyDescent="0.2">
      <c r="A1054" s="1" t="str">
        <f>"01359"</f>
        <v>01359</v>
      </c>
      <c r="B1054" s="1" t="str">
        <f>"مسعود"</f>
        <v>مسعود</v>
      </c>
      <c r="C1054" s="1" t="str">
        <f>"محسني بناري"</f>
        <v>محسني بناري</v>
      </c>
      <c r="D1054" s="1" t="str">
        <f t="shared" si="111"/>
        <v>قراردادي بهره بردار</v>
      </c>
      <c r="E1054" s="1" t="str">
        <f t="shared" si="113"/>
        <v>پروژه بهره برداري نيروگاه بوشهر</v>
      </c>
      <c r="F1054" s="1">
        <v>12639161</v>
      </c>
      <c r="G1054" s="1">
        <v>0</v>
      </c>
      <c r="H1054" s="1">
        <v>0</v>
      </c>
      <c r="I1054" s="1">
        <v>1884914</v>
      </c>
      <c r="J1054" s="1">
        <v>0</v>
      </c>
      <c r="K1054" s="1">
        <v>7621395</v>
      </c>
      <c r="L1054" s="1">
        <v>0</v>
      </c>
      <c r="M1054" s="1">
        <v>7546000</v>
      </c>
      <c r="N1054" s="1">
        <v>0</v>
      </c>
      <c r="O1054" s="1">
        <v>1000000</v>
      </c>
      <c r="P1054" s="1">
        <v>1932782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1848000</v>
      </c>
      <c r="W1054" s="1">
        <v>0</v>
      </c>
      <c r="X1054" s="1">
        <v>3035446</v>
      </c>
      <c r="Y1054" s="1">
        <v>4000000</v>
      </c>
      <c r="Z1054" s="1">
        <v>1834717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1518614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6642500</v>
      </c>
      <c r="AO1054" s="1">
        <v>0</v>
      </c>
      <c r="AP1054" s="1">
        <v>0</v>
      </c>
      <c r="AQ1054" s="1">
        <v>0</v>
      </c>
      <c r="AR1054" s="1">
        <v>51503529</v>
      </c>
      <c r="AS1054" s="1">
        <v>11892354</v>
      </c>
      <c r="AT1054" s="1">
        <v>39611175</v>
      </c>
      <c r="AU1054" s="1">
        <v>10300706</v>
      </c>
      <c r="AV1054" s="1">
        <v>1545106</v>
      </c>
      <c r="AW1054" s="1">
        <f t="shared" si="110"/>
        <v>63349341</v>
      </c>
    </row>
    <row r="1055" spans="1:49" x14ac:dyDescent="0.2">
      <c r="A1055" s="1" t="str">
        <f>"01361"</f>
        <v>01361</v>
      </c>
      <c r="B1055" s="1" t="str">
        <f>"عباس"</f>
        <v>عباس</v>
      </c>
      <c r="C1055" s="1" t="str">
        <f>"فولادي"</f>
        <v>فولادي</v>
      </c>
      <c r="D1055" s="1" t="str">
        <f t="shared" si="111"/>
        <v>قراردادي بهره بردار</v>
      </c>
      <c r="E1055" s="1" t="str">
        <f t="shared" si="113"/>
        <v>پروژه بهره برداري نيروگاه بوشهر</v>
      </c>
      <c r="F1055" s="1">
        <v>14591593</v>
      </c>
      <c r="G1055" s="1">
        <v>0</v>
      </c>
      <c r="H1055" s="1">
        <v>0</v>
      </c>
      <c r="I1055" s="1">
        <v>2827488</v>
      </c>
      <c r="J1055" s="1">
        <v>0</v>
      </c>
      <c r="K1055" s="1">
        <v>9702918</v>
      </c>
      <c r="L1055" s="1">
        <v>0</v>
      </c>
      <c r="M1055" s="1">
        <v>4620000</v>
      </c>
      <c r="N1055" s="1">
        <v>0</v>
      </c>
      <c r="O1055" s="1">
        <v>1000000</v>
      </c>
      <c r="P1055" s="1">
        <v>2483871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1848000</v>
      </c>
      <c r="W1055" s="1">
        <v>0</v>
      </c>
      <c r="X1055" s="1">
        <v>3642686</v>
      </c>
      <c r="Y1055" s="1">
        <v>4000000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1951613</v>
      </c>
      <c r="AH1055" s="1">
        <v>1835427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7696864</v>
      </c>
      <c r="AO1055" s="1">
        <v>0</v>
      </c>
      <c r="AP1055" s="1">
        <v>0</v>
      </c>
      <c r="AQ1055" s="1">
        <v>0</v>
      </c>
      <c r="AR1055" s="1">
        <v>56200460</v>
      </c>
      <c r="AS1055" s="1">
        <v>10579443</v>
      </c>
      <c r="AT1055" s="1">
        <v>45621017</v>
      </c>
      <c r="AU1055" s="1">
        <v>10873007</v>
      </c>
      <c r="AV1055" s="1">
        <v>1630951</v>
      </c>
      <c r="AW1055" s="1">
        <f t="shared" si="110"/>
        <v>68704418</v>
      </c>
    </row>
    <row r="1056" spans="1:49" x14ac:dyDescent="0.2">
      <c r="A1056" s="1" t="str">
        <f>"01362"</f>
        <v>01362</v>
      </c>
      <c r="B1056" s="1" t="str">
        <f>"حسين"</f>
        <v>حسين</v>
      </c>
      <c r="C1056" s="1" t="str">
        <f>"زارعي"</f>
        <v>زارعي</v>
      </c>
      <c r="D1056" s="1" t="str">
        <f t="shared" si="111"/>
        <v>قراردادي بهره بردار</v>
      </c>
      <c r="E1056" s="1" t="str">
        <f t="shared" si="113"/>
        <v>پروژه بهره برداري نيروگاه بوشهر</v>
      </c>
      <c r="F1056" s="1">
        <v>12868414</v>
      </c>
      <c r="G1056" s="1">
        <v>0</v>
      </c>
      <c r="H1056" s="1">
        <v>0</v>
      </c>
      <c r="I1056" s="1">
        <v>1469903</v>
      </c>
      <c r="J1056" s="1">
        <v>0</v>
      </c>
      <c r="K1056" s="1">
        <v>8065164</v>
      </c>
      <c r="L1056" s="1">
        <v>0</v>
      </c>
      <c r="M1056" s="1">
        <v>3465000</v>
      </c>
      <c r="N1056" s="1">
        <v>0</v>
      </c>
      <c r="O1056" s="1">
        <v>1000000</v>
      </c>
      <c r="P1056" s="1">
        <v>2013020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1848000</v>
      </c>
      <c r="W1056" s="1">
        <v>0</v>
      </c>
      <c r="X1056" s="1">
        <v>3156154</v>
      </c>
      <c r="Y1056" s="1">
        <v>4000000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1581658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7033288</v>
      </c>
      <c r="AO1056" s="1">
        <v>0</v>
      </c>
      <c r="AP1056" s="1">
        <v>0</v>
      </c>
      <c r="AQ1056" s="1">
        <v>0</v>
      </c>
      <c r="AR1056" s="1">
        <v>46500601</v>
      </c>
      <c r="AS1056" s="1">
        <v>12130900</v>
      </c>
      <c r="AT1056" s="1">
        <v>34369701</v>
      </c>
      <c r="AU1056" s="1">
        <v>9300120</v>
      </c>
      <c r="AV1056" s="1">
        <v>1395018</v>
      </c>
      <c r="AW1056" s="1">
        <f t="shared" si="110"/>
        <v>57195739</v>
      </c>
    </row>
    <row r="1057" spans="1:49" x14ac:dyDescent="0.2">
      <c r="A1057" s="1" t="str">
        <f>"01363"</f>
        <v>01363</v>
      </c>
      <c r="B1057" s="1" t="str">
        <f>"مازيار"</f>
        <v>مازيار</v>
      </c>
      <c r="C1057" s="1" t="str">
        <f>"پرواز"</f>
        <v>پرواز</v>
      </c>
      <c r="D1057" s="1" t="str">
        <f t="shared" si="111"/>
        <v>قراردادي بهره بردار</v>
      </c>
      <c r="E1057" s="1" t="str">
        <f t="shared" si="113"/>
        <v>پروژه بهره برداري نيروگاه بوشهر</v>
      </c>
      <c r="F1057" s="1">
        <v>13001935</v>
      </c>
      <c r="G1057" s="1">
        <v>0</v>
      </c>
      <c r="H1057" s="1">
        <v>0</v>
      </c>
      <c r="I1057" s="1">
        <v>7436108</v>
      </c>
      <c r="J1057" s="1">
        <v>0</v>
      </c>
      <c r="K1057" s="1">
        <v>8330711</v>
      </c>
      <c r="L1057" s="1">
        <v>0</v>
      </c>
      <c r="M1057" s="1">
        <v>4620000</v>
      </c>
      <c r="N1057" s="1">
        <v>0</v>
      </c>
      <c r="O1057" s="1">
        <v>1000000</v>
      </c>
      <c r="P1057" s="1">
        <v>2059753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1848000</v>
      </c>
      <c r="W1057" s="1">
        <v>0</v>
      </c>
      <c r="X1057" s="1">
        <v>3193342</v>
      </c>
      <c r="Y1057" s="1">
        <v>4000000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1618377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6922642</v>
      </c>
      <c r="AO1057" s="1">
        <v>0</v>
      </c>
      <c r="AP1057" s="1">
        <v>0</v>
      </c>
      <c r="AQ1057" s="1">
        <v>0</v>
      </c>
      <c r="AR1057" s="1">
        <v>54030868</v>
      </c>
      <c r="AS1057" s="1">
        <v>6005874</v>
      </c>
      <c r="AT1057" s="1">
        <v>48024994</v>
      </c>
      <c r="AU1057" s="1">
        <v>10806174</v>
      </c>
      <c r="AV1057" s="1">
        <v>1620926</v>
      </c>
      <c r="AW1057" s="1">
        <f t="shared" si="110"/>
        <v>66457968</v>
      </c>
    </row>
    <row r="1058" spans="1:49" x14ac:dyDescent="0.2">
      <c r="A1058" s="1" t="str">
        <f>"01364"</f>
        <v>01364</v>
      </c>
      <c r="B1058" s="1" t="str">
        <f>"ميثم"</f>
        <v>ميثم</v>
      </c>
      <c r="C1058" s="1" t="str">
        <f>"باغباني"</f>
        <v>باغباني</v>
      </c>
      <c r="D1058" s="1" t="str">
        <f t="shared" si="111"/>
        <v>قراردادي بهره بردار</v>
      </c>
      <c r="E1058" s="1" t="str">
        <f t="shared" si="113"/>
        <v>پروژه بهره برداري نيروگاه بوشهر</v>
      </c>
      <c r="F1058" s="1">
        <v>13573809</v>
      </c>
      <c r="G1058" s="1">
        <v>0</v>
      </c>
      <c r="H1058" s="1">
        <v>0</v>
      </c>
      <c r="I1058" s="1">
        <v>2346687</v>
      </c>
      <c r="J1058" s="1">
        <v>0</v>
      </c>
      <c r="K1058" s="1">
        <v>8846087</v>
      </c>
      <c r="L1058" s="1">
        <v>0</v>
      </c>
      <c r="M1058" s="1">
        <v>4620000</v>
      </c>
      <c r="N1058" s="1">
        <v>0</v>
      </c>
      <c r="O1058" s="1">
        <v>1000000</v>
      </c>
      <c r="P1058" s="1">
        <v>2127647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1848000</v>
      </c>
      <c r="W1058" s="1">
        <v>0</v>
      </c>
      <c r="X1058" s="1">
        <v>3779081</v>
      </c>
      <c r="Y1058" s="1">
        <v>4000000</v>
      </c>
      <c r="Z1058" s="1">
        <v>1970392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1671723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11571544</v>
      </c>
      <c r="AO1058" s="1">
        <v>0</v>
      </c>
      <c r="AP1058" s="1">
        <v>0</v>
      </c>
      <c r="AQ1058" s="1">
        <v>0</v>
      </c>
      <c r="AR1058" s="1">
        <v>57354970</v>
      </c>
      <c r="AS1058" s="1">
        <v>18080854</v>
      </c>
      <c r="AT1058" s="1">
        <v>39274116</v>
      </c>
      <c r="AU1058" s="1">
        <v>11470994</v>
      </c>
      <c r="AV1058" s="1">
        <v>1720649</v>
      </c>
      <c r="AW1058" s="1">
        <f t="shared" si="110"/>
        <v>70546613</v>
      </c>
    </row>
    <row r="1059" spans="1:49" x14ac:dyDescent="0.2">
      <c r="A1059" s="1" t="str">
        <f>"01365"</f>
        <v>01365</v>
      </c>
      <c r="B1059" s="1" t="str">
        <f>"سيد حسين"</f>
        <v>سيد حسين</v>
      </c>
      <c r="C1059" s="1" t="str">
        <f>"حسيني"</f>
        <v>حسيني</v>
      </c>
      <c r="D1059" s="1" t="str">
        <f t="shared" si="111"/>
        <v>قراردادي بهره بردار</v>
      </c>
      <c r="E1059" s="1" t="str">
        <f t="shared" si="113"/>
        <v>پروژه بهره برداري نيروگاه بوشهر</v>
      </c>
      <c r="F1059" s="1">
        <v>13468000</v>
      </c>
      <c r="G1059" s="1">
        <v>0</v>
      </c>
      <c r="H1059" s="1">
        <v>0</v>
      </c>
      <c r="I1059" s="1">
        <v>2322619</v>
      </c>
      <c r="J1059" s="1">
        <v>0</v>
      </c>
      <c r="K1059" s="1">
        <v>8659268</v>
      </c>
      <c r="L1059" s="1">
        <v>0</v>
      </c>
      <c r="M1059" s="1">
        <v>4620000</v>
      </c>
      <c r="N1059" s="1">
        <v>0</v>
      </c>
      <c r="O1059" s="1">
        <v>1000000</v>
      </c>
      <c r="P1059" s="1">
        <v>2090613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3740322</v>
      </c>
      <c r="Y1059" s="1">
        <v>4000000</v>
      </c>
      <c r="Z1059" s="1">
        <v>1955032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1642625</v>
      </c>
      <c r="AH1059" s="1">
        <v>1835427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11542708</v>
      </c>
      <c r="AO1059" s="1">
        <v>0</v>
      </c>
      <c r="AP1059" s="1">
        <v>0</v>
      </c>
      <c r="AQ1059" s="1">
        <v>0</v>
      </c>
      <c r="AR1059" s="1">
        <v>56876614</v>
      </c>
      <c r="AS1059" s="1">
        <v>5795257</v>
      </c>
      <c r="AT1059" s="1">
        <v>51081357</v>
      </c>
      <c r="AU1059" s="1">
        <v>11008237</v>
      </c>
      <c r="AV1059" s="1">
        <v>1651236</v>
      </c>
      <c r="AW1059" s="1">
        <f t="shared" si="110"/>
        <v>69536087</v>
      </c>
    </row>
    <row r="1060" spans="1:49" x14ac:dyDescent="0.2">
      <c r="A1060" s="1" t="str">
        <f>"01366"</f>
        <v>01366</v>
      </c>
      <c r="B1060" s="1" t="str">
        <f>"محسن"</f>
        <v>محسن</v>
      </c>
      <c r="C1060" s="1" t="str">
        <f>"حسيني"</f>
        <v>حسيني</v>
      </c>
      <c r="D1060" s="1" t="str">
        <f t="shared" si="111"/>
        <v>قراردادي بهره بردار</v>
      </c>
      <c r="E1060" s="1" t="str">
        <f t="shared" si="113"/>
        <v>پروژه بهره برداري نيروگاه بوشهر</v>
      </c>
      <c r="F1060" s="1">
        <v>14369897</v>
      </c>
      <c r="G1060" s="1">
        <v>0</v>
      </c>
      <c r="H1060" s="1">
        <v>0</v>
      </c>
      <c r="I1060" s="1">
        <v>2533692</v>
      </c>
      <c r="J1060" s="1">
        <v>0</v>
      </c>
      <c r="K1060" s="1">
        <v>9831597</v>
      </c>
      <c r="L1060" s="1">
        <v>0</v>
      </c>
      <c r="M1060" s="1">
        <v>4620000</v>
      </c>
      <c r="N1060" s="1">
        <v>0</v>
      </c>
      <c r="O1060" s="1">
        <v>1000000</v>
      </c>
      <c r="P1060" s="1">
        <v>2406278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4080231</v>
      </c>
      <c r="Y1060" s="1">
        <v>4000000</v>
      </c>
      <c r="Z1060" s="1">
        <v>1583558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1890647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12303897</v>
      </c>
      <c r="AO1060" s="1">
        <v>0</v>
      </c>
      <c r="AP1060" s="1">
        <v>0</v>
      </c>
      <c r="AQ1060" s="1">
        <v>0</v>
      </c>
      <c r="AR1060" s="1">
        <v>58619797</v>
      </c>
      <c r="AS1060" s="1">
        <v>22857889</v>
      </c>
      <c r="AT1060" s="1">
        <v>35761908</v>
      </c>
      <c r="AU1060" s="1">
        <v>11723959</v>
      </c>
      <c r="AV1060" s="1">
        <v>1758594</v>
      </c>
      <c r="AW1060" s="1">
        <f t="shared" si="110"/>
        <v>72102350</v>
      </c>
    </row>
    <row r="1061" spans="1:49" x14ac:dyDescent="0.2">
      <c r="A1061" s="1" t="str">
        <f>"01367"</f>
        <v>01367</v>
      </c>
      <c r="B1061" s="1" t="str">
        <f>"محمد مهدي"</f>
        <v>محمد مهدي</v>
      </c>
      <c r="C1061" s="1" t="str">
        <f>"ملک نصب اردکاني"</f>
        <v>ملک نصب اردکاني</v>
      </c>
      <c r="D1061" s="1" t="str">
        <f t="shared" si="111"/>
        <v>قراردادي بهره بردار</v>
      </c>
      <c r="E1061" s="1" t="str">
        <f t="shared" si="113"/>
        <v>پروژه بهره برداري نيروگاه بوشهر</v>
      </c>
      <c r="F1061" s="1">
        <v>12649238</v>
      </c>
      <c r="G1061" s="1">
        <v>0</v>
      </c>
      <c r="H1061" s="1">
        <v>0</v>
      </c>
      <c r="I1061" s="1">
        <v>252660</v>
      </c>
      <c r="J1061" s="1">
        <v>0</v>
      </c>
      <c r="K1061" s="1">
        <v>8249112</v>
      </c>
      <c r="L1061" s="1">
        <v>0</v>
      </c>
      <c r="M1061" s="1">
        <v>3465000</v>
      </c>
      <c r="N1061" s="1">
        <v>0</v>
      </c>
      <c r="O1061" s="1">
        <v>1000000</v>
      </c>
      <c r="P1061" s="1">
        <v>1936309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1848000</v>
      </c>
      <c r="W1061" s="1">
        <v>0</v>
      </c>
      <c r="X1061" s="1">
        <v>3255052</v>
      </c>
      <c r="Y1061" s="1">
        <v>4000000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1521385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8194469</v>
      </c>
      <c r="AO1061" s="1">
        <v>0</v>
      </c>
      <c r="AP1061" s="1">
        <v>0</v>
      </c>
      <c r="AQ1061" s="1">
        <v>0</v>
      </c>
      <c r="AR1061" s="1">
        <v>46371225</v>
      </c>
      <c r="AS1061" s="1">
        <v>5680110</v>
      </c>
      <c r="AT1061" s="1">
        <v>40691115</v>
      </c>
      <c r="AU1061" s="1">
        <v>9274245</v>
      </c>
      <c r="AV1061" s="1">
        <v>1391137</v>
      </c>
      <c r="AW1061" s="1">
        <f t="shared" si="110"/>
        <v>57036607</v>
      </c>
    </row>
    <row r="1062" spans="1:49" x14ac:dyDescent="0.2">
      <c r="A1062" s="1" t="str">
        <f>"01368"</f>
        <v>01368</v>
      </c>
      <c r="B1062" s="1" t="str">
        <f>"سامان"</f>
        <v>سامان</v>
      </c>
      <c r="C1062" s="1" t="str">
        <f>"حيدري"</f>
        <v>حيدري</v>
      </c>
      <c r="D1062" s="1" t="str">
        <f t="shared" si="111"/>
        <v>قراردادي بهره بردار</v>
      </c>
      <c r="E1062" s="1" t="str">
        <f t="shared" si="113"/>
        <v>پروژه بهره برداري نيروگاه بوشهر</v>
      </c>
      <c r="F1062" s="1">
        <v>12644199</v>
      </c>
      <c r="G1062" s="1">
        <v>0</v>
      </c>
      <c r="H1062" s="1">
        <v>0</v>
      </c>
      <c r="I1062" s="1">
        <v>0</v>
      </c>
      <c r="J1062" s="1">
        <v>0</v>
      </c>
      <c r="K1062" s="1">
        <v>7934972</v>
      </c>
      <c r="L1062" s="1">
        <v>0</v>
      </c>
      <c r="M1062" s="1">
        <v>4620000</v>
      </c>
      <c r="N1062" s="1">
        <v>0</v>
      </c>
      <c r="O1062" s="1">
        <v>1000000</v>
      </c>
      <c r="P1062" s="1">
        <v>1934545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1848000</v>
      </c>
      <c r="W1062" s="1">
        <v>0</v>
      </c>
      <c r="X1062" s="1">
        <v>3145276</v>
      </c>
      <c r="Y1062" s="1">
        <v>4000000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1519999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7419039</v>
      </c>
      <c r="AO1062" s="1">
        <v>0</v>
      </c>
      <c r="AP1062" s="1">
        <v>0</v>
      </c>
      <c r="AQ1062" s="1">
        <v>0</v>
      </c>
      <c r="AR1062" s="1">
        <v>46066030</v>
      </c>
      <c r="AS1062" s="1">
        <v>38933983</v>
      </c>
      <c r="AT1062" s="1">
        <v>7132047</v>
      </c>
      <c r="AU1062" s="1">
        <v>9213206</v>
      </c>
      <c r="AV1062" s="1">
        <v>1381981</v>
      </c>
      <c r="AW1062" s="1">
        <f t="shared" si="110"/>
        <v>56661217</v>
      </c>
    </row>
    <row r="1063" spans="1:49" x14ac:dyDescent="0.2">
      <c r="A1063" s="1" t="str">
        <f>"01370"</f>
        <v>01370</v>
      </c>
      <c r="B1063" s="1" t="str">
        <f>"علي"</f>
        <v>علي</v>
      </c>
      <c r="C1063" s="1" t="str">
        <f>"عباس زاده"</f>
        <v>عباس زاده</v>
      </c>
      <c r="D1063" s="1" t="str">
        <f t="shared" si="111"/>
        <v>قراردادي بهره بردار</v>
      </c>
      <c r="E1063" s="1" t="str">
        <f t="shared" si="113"/>
        <v>پروژه بهره برداري نيروگاه بوشهر</v>
      </c>
      <c r="F1063" s="1">
        <v>12286464</v>
      </c>
      <c r="G1063" s="1">
        <v>0</v>
      </c>
      <c r="H1063" s="1">
        <v>0</v>
      </c>
      <c r="I1063" s="1">
        <v>1308547</v>
      </c>
      <c r="J1063" s="1">
        <v>0</v>
      </c>
      <c r="K1063" s="1">
        <v>6975417</v>
      </c>
      <c r="L1063" s="1">
        <v>0</v>
      </c>
      <c r="M1063" s="1">
        <v>3465000</v>
      </c>
      <c r="N1063" s="1">
        <v>0</v>
      </c>
      <c r="O1063" s="1">
        <v>1000000</v>
      </c>
      <c r="P1063" s="1">
        <v>1809338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1848000</v>
      </c>
      <c r="W1063" s="1">
        <v>0</v>
      </c>
      <c r="X1063" s="1">
        <v>2809695</v>
      </c>
      <c r="Y1063" s="1">
        <v>4000000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1421622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5604109</v>
      </c>
      <c r="AO1063" s="1">
        <v>0</v>
      </c>
      <c r="AP1063" s="1">
        <v>0</v>
      </c>
      <c r="AQ1063" s="1">
        <v>0</v>
      </c>
      <c r="AR1063" s="1">
        <v>42528192</v>
      </c>
      <c r="AS1063" s="1">
        <v>11476156</v>
      </c>
      <c r="AT1063" s="1">
        <v>31052036</v>
      </c>
      <c r="AU1063" s="1">
        <v>8505638</v>
      </c>
      <c r="AV1063" s="1">
        <v>1275846</v>
      </c>
      <c r="AW1063" s="1">
        <f t="shared" si="110"/>
        <v>52309676</v>
      </c>
    </row>
    <row r="1064" spans="1:49" x14ac:dyDescent="0.2">
      <c r="A1064" s="1" t="str">
        <f>"01371"</f>
        <v>01371</v>
      </c>
      <c r="B1064" s="1" t="str">
        <f>"محمد"</f>
        <v>محمد</v>
      </c>
      <c r="C1064" s="1" t="str">
        <f>"روشني روز"</f>
        <v>روشني روز</v>
      </c>
      <c r="D1064" s="1" t="str">
        <f t="shared" si="111"/>
        <v>قراردادي بهره بردار</v>
      </c>
      <c r="E1064" s="1" t="str">
        <f t="shared" si="113"/>
        <v>پروژه بهره برداري نيروگاه بوشهر</v>
      </c>
      <c r="F1064" s="1">
        <v>13097667</v>
      </c>
      <c r="G1064" s="1">
        <v>0</v>
      </c>
      <c r="H1064" s="1">
        <v>0</v>
      </c>
      <c r="I1064" s="1">
        <v>2059284</v>
      </c>
      <c r="J1064" s="1">
        <v>0</v>
      </c>
      <c r="K1064" s="1">
        <v>9013198</v>
      </c>
      <c r="L1064" s="1">
        <v>0</v>
      </c>
      <c r="M1064" s="1">
        <v>4620000</v>
      </c>
      <c r="N1064" s="1">
        <v>0</v>
      </c>
      <c r="O1064" s="1">
        <v>1000000</v>
      </c>
      <c r="P1064" s="1">
        <v>2093258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3789999</v>
      </c>
      <c r="Y1064" s="1">
        <v>4000000</v>
      </c>
      <c r="Z1064" s="1">
        <v>1470917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1644703</v>
      </c>
      <c r="AH1064" s="1">
        <v>1835427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12051164</v>
      </c>
      <c r="AO1064" s="1">
        <v>0</v>
      </c>
      <c r="AP1064" s="1">
        <v>0</v>
      </c>
      <c r="AQ1064" s="1">
        <v>0</v>
      </c>
      <c r="AR1064" s="1">
        <v>56675617</v>
      </c>
      <c r="AS1064" s="1">
        <v>22593369</v>
      </c>
      <c r="AT1064" s="1">
        <v>34082248</v>
      </c>
      <c r="AU1064" s="1">
        <v>10968038</v>
      </c>
      <c r="AV1064" s="1">
        <v>1645206</v>
      </c>
      <c r="AW1064" s="1">
        <f t="shared" si="110"/>
        <v>69288861</v>
      </c>
    </row>
    <row r="1065" spans="1:49" x14ac:dyDescent="0.2">
      <c r="A1065" s="1" t="str">
        <f>"01372"</f>
        <v>01372</v>
      </c>
      <c r="B1065" s="1" t="str">
        <f>"رضا"</f>
        <v>رضا</v>
      </c>
      <c r="C1065" s="1" t="str">
        <f>"محمدي"</f>
        <v>محمدي</v>
      </c>
      <c r="D1065" s="1" t="str">
        <f t="shared" si="111"/>
        <v>قراردادي بهره بردار</v>
      </c>
      <c r="E1065" s="1" t="str">
        <f t="shared" si="113"/>
        <v>پروژه بهره برداري نيروگاه بوشهر</v>
      </c>
      <c r="F1065" s="1">
        <v>12823067</v>
      </c>
      <c r="G1065" s="1">
        <v>0</v>
      </c>
      <c r="H1065" s="1">
        <v>0</v>
      </c>
      <c r="I1065" s="1">
        <v>1943867</v>
      </c>
      <c r="J1065" s="1">
        <v>0</v>
      </c>
      <c r="K1065" s="1">
        <v>8153754</v>
      </c>
      <c r="L1065" s="1">
        <v>0</v>
      </c>
      <c r="M1065" s="1">
        <v>3465000</v>
      </c>
      <c r="N1065" s="1">
        <v>0</v>
      </c>
      <c r="O1065" s="1">
        <v>1000000</v>
      </c>
      <c r="P1065" s="1">
        <v>1997149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3577580</v>
      </c>
      <c r="Y1065" s="1">
        <v>4000000</v>
      </c>
      <c r="Z1065" s="1">
        <v>1861413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1569188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11232641</v>
      </c>
      <c r="AO1065" s="1">
        <v>0</v>
      </c>
      <c r="AP1065" s="1">
        <v>0</v>
      </c>
      <c r="AQ1065" s="1">
        <v>0</v>
      </c>
      <c r="AR1065" s="1">
        <v>51623659</v>
      </c>
      <c r="AS1065" s="1">
        <v>15728961</v>
      </c>
      <c r="AT1065" s="1">
        <v>35894698</v>
      </c>
      <c r="AU1065" s="1">
        <v>10324732</v>
      </c>
      <c r="AV1065" s="1">
        <v>1548710</v>
      </c>
      <c r="AW1065" s="1">
        <f t="shared" si="110"/>
        <v>63497101</v>
      </c>
    </row>
    <row r="1066" spans="1:49" x14ac:dyDescent="0.2">
      <c r="A1066" s="1" t="str">
        <f>"01373"</f>
        <v>01373</v>
      </c>
      <c r="B1066" s="1" t="str">
        <f>"محسن"</f>
        <v>محسن</v>
      </c>
      <c r="C1066" s="1" t="str">
        <f>"موحدنيا"</f>
        <v>موحدنيا</v>
      </c>
      <c r="D1066" s="1" t="str">
        <f t="shared" si="111"/>
        <v>قراردادي بهره بردار</v>
      </c>
      <c r="E1066" s="1" t="str">
        <f t="shared" si="113"/>
        <v>پروژه بهره برداري نيروگاه بوشهر</v>
      </c>
      <c r="F1066" s="1">
        <v>18730748</v>
      </c>
      <c r="G1066" s="1">
        <v>0</v>
      </c>
      <c r="H1066" s="1">
        <v>0</v>
      </c>
      <c r="I1066" s="1">
        <v>0</v>
      </c>
      <c r="J1066" s="1">
        <v>0</v>
      </c>
      <c r="K1066" s="1">
        <v>9852267</v>
      </c>
      <c r="L1066" s="1">
        <v>0</v>
      </c>
      <c r="M1066" s="1">
        <v>4125000</v>
      </c>
      <c r="N1066" s="1">
        <v>0</v>
      </c>
      <c r="O1066" s="1">
        <v>1000000</v>
      </c>
      <c r="P1066" s="1">
        <v>3103737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1848000</v>
      </c>
      <c r="W1066" s="1">
        <v>0</v>
      </c>
      <c r="X1066" s="1">
        <v>3915134</v>
      </c>
      <c r="Y1066" s="1">
        <v>4000000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2438650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5025937</v>
      </c>
      <c r="AO1066" s="1">
        <v>0</v>
      </c>
      <c r="AP1066" s="1">
        <v>0</v>
      </c>
      <c r="AQ1066" s="1">
        <v>0</v>
      </c>
      <c r="AR1066" s="1">
        <v>54039473</v>
      </c>
      <c r="AS1066" s="1">
        <v>20860497</v>
      </c>
      <c r="AT1066" s="1">
        <v>33178976</v>
      </c>
      <c r="AU1066" s="1">
        <v>10807895</v>
      </c>
      <c r="AV1066" s="1">
        <v>1621184</v>
      </c>
      <c r="AW1066" s="1">
        <f t="shared" si="110"/>
        <v>66468552</v>
      </c>
    </row>
    <row r="1067" spans="1:49" x14ac:dyDescent="0.2">
      <c r="A1067" s="1" t="str">
        <f>"01374"</f>
        <v>01374</v>
      </c>
      <c r="B1067" s="1" t="str">
        <f>"علي"</f>
        <v>علي</v>
      </c>
      <c r="C1067" s="1" t="str">
        <f>"اسماعيلي نسب"</f>
        <v>اسماعيلي نسب</v>
      </c>
      <c r="D1067" s="1" t="str">
        <f t="shared" si="111"/>
        <v>قراردادي بهره بردار</v>
      </c>
      <c r="E1067" s="1" t="str">
        <f t="shared" si="113"/>
        <v>پروژه بهره برداري نيروگاه بوشهر</v>
      </c>
      <c r="F1067" s="1">
        <v>18277280</v>
      </c>
      <c r="G1067" s="1">
        <v>0</v>
      </c>
      <c r="H1067" s="1">
        <v>0</v>
      </c>
      <c r="I1067" s="1">
        <v>0</v>
      </c>
      <c r="J1067" s="1">
        <v>0</v>
      </c>
      <c r="K1067" s="1">
        <v>9371375</v>
      </c>
      <c r="L1067" s="1">
        <v>0</v>
      </c>
      <c r="M1067" s="1">
        <v>5500000</v>
      </c>
      <c r="N1067" s="1">
        <v>0</v>
      </c>
      <c r="O1067" s="1">
        <v>1000000</v>
      </c>
      <c r="P1067" s="1">
        <v>2945023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1848000</v>
      </c>
      <c r="W1067" s="1">
        <v>0</v>
      </c>
      <c r="X1067" s="1">
        <v>3778996</v>
      </c>
      <c r="Y1067" s="1">
        <v>4000000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2313946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4882339</v>
      </c>
      <c r="AO1067" s="1">
        <v>0</v>
      </c>
      <c r="AP1067" s="1">
        <v>0</v>
      </c>
      <c r="AQ1067" s="1">
        <v>0</v>
      </c>
      <c r="AR1067" s="1">
        <v>53916959</v>
      </c>
      <c r="AS1067" s="1">
        <v>22666975</v>
      </c>
      <c r="AT1067" s="1">
        <v>31249984</v>
      </c>
      <c r="AU1067" s="1">
        <v>10783392</v>
      </c>
      <c r="AV1067" s="1">
        <v>1617509</v>
      </c>
      <c r="AW1067" s="1">
        <f t="shared" si="110"/>
        <v>66317860</v>
      </c>
    </row>
    <row r="1068" spans="1:49" x14ac:dyDescent="0.2">
      <c r="A1068" s="1" t="str">
        <f>"01375"</f>
        <v>01375</v>
      </c>
      <c r="B1068" s="1" t="str">
        <f>"نصراله"</f>
        <v>نصراله</v>
      </c>
      <c r="C1068" s="1" t="str">
        <f>"کرم پور"</f>
        <v>کرم پور</v>
      </c>
      <c r="D1068" s="1" t="str">
        <f t="shared" si="111"/>
        <v>قراردادي بهره بردار</v>
      </c>
      <c r="E1068" s="1" t="str">
        <f t="shared" si="113"/>
        <v>پروژه بهره برداري نيروگاه بوشهر</v>
      </c>
      <c r="F1068" s="1">
        <v>18093373</v>
      </c>
      <c r="G1068" s="1">
        <v>0</v>
      </c>
      <c r="H1068" s="1">
        <v>0</v>
      </c>
      <c r="I1068" s="1">
        <v>0</v>
      </c>
      <c r="J1068" s="1">
        <v>0</v>
      </c>
      <c r="K1068" s="1">
        <v>12101127</v>
      </c>
      <c r="L1068" s="1">
        <v>0</v>
      </c>
      <c r="M1068" s="1">
        <v>4125000</v>
      </c>
      <c r="N1068" s="1">
        <v>0</v>
      </c>
      <c r="O1068" s="1">
        <v>1000000</v>
      </c>
      <c r="P1068" s="1">
        <v>2695489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1848000</v>
      </c>
      <c r="W1068" s="1">
        <v>0</v>
      </c>
      <c r="X1068" s="1">
        <v>4221096</v>
      </c>
      <c r="Y1068" s="1">
        <v>4000000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2117885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7203088</v>
      </c>
      <c r="AO1068" s="1">
        <v>0</v>
      </c>
      <c r="AP1068" s="1">
        <v>0</v>
      </c>
      <c r="AQ1068" s="1">
        <v>0</v>
      </c>
      <c r="AR1068" s="1">
        <v>57405058</v>
      </c>
      <c r="AS1068" s="1">
        <v>16024502</v>
      </c>
      <c r="AT1068" s="1">
        <v>41380556</v>
      </c>
      <c r="AU1068" s="1">
        <v>11481012</v>
      </c>
      <c r="AV1068" s="1">
        <v>1722152</v>
      </c>
      <c r="AW1068" s="1">
        <f t="shared" si="110"/>
        <v>70608222</v>
      </c>
    </row>
    <row r="1069" spans="1:49" x14ac:dyDescent="0.2">
      <c r="A1069" s="1" t="str">
        <f>"01376"</f>
        <v>01376</v>
      </c>
      <c r="B1069" s="1" t="str">
        <f>"مهدي"</f>
        <v>مهدي</v>
      </c>
      <c r="C1069" s="1" t="str">
        <f>"افشين"</f>
        <v>افشين</v>
      </c>
      <c r="D1069" s="1" t="str">
        <f t="shared" si="111"/>
        <v>قراردادي بهره بردار</v>
      </c>
      <c r="E1069" s="1" t="str">
        <f t="shared" si="113"/>
        <v>پروژه بهره برداري نيروگاه بوشهر</v>
      </c>
      <c r="F1069" s="1">
        <v>18350338</v>
      </c>
      <c r="G1069" s="1">
        <v>0</v>
      </c>
      <c r="H1069" s="1">
        <v>0</v>
      </c>
      <c r="I1069" s="1">
        <v>0</v>
      </c>
      <c r="J1069" s="1">
        <v>0</v>
      </c>
      <c r="K1069" s="1">
        <v>11832072</v>
      </c>
      <c r="L1069" s="1">
        <v>0</v>
      </c>
      <c r="M1069" s="1">
        <v>10679167</v>
      </c>
      <c r="N1069" s="1">
        <v>0</v>
      </c>
      <c r="O1069" s="1">
        <v>1000000</v>
      </c>
      <c r="P1069" s="1">
        <v>2785428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1848000</v>
      </c>
      <c r="W1069" s="1">
        <v>0</v>
      </c>
      <c r="X1069" s="1">
        <v>4112901</v>
      </c>
      <c r="Y1069" s="1">
        <v>4000000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2188550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5972626</v>
      </c>
      <c r="AO1069" s="1">
        <v>0</v>
      </c>
      <c r="AP1069" s="1">
        <v>0</v>
      </c>
      <c r="AQ1069" s="1">
        <v>0</v>
      </c>
      <c r="AR1069" s="1">
        <v>62769082</v>
      </c>
      <c r="AS1069" s="1">
        <v>10928563</v>
      </c>
      <c r="AT1069" s="1">
        <v>51840519</v>
      </c>
      <c r="AU1069" s="1">
        <v>12553816</v>
      </c>
      <c r="AV1069" s="1">
        <v>1883072</v>
      </c>
      <c r="AW1069" s="1">
        <f t="shared" si="110"/>
        <v>77205970</v>
      </c>
    </row>
    <row r="1070" spans="1:49" x14ac:dyDescent="0.2">
      <c r="A1070" s="1" t="str">
        <f>"01377"</f>
        <v>01377</v>
      </c>
      <c r="B1070" s="1" t="str">
        <f>"عليرضا"</f>
        <v>عليرضا</v>
      </c>
      <c r="C1070" s="1" t="str">
        <f>"گچ کاران"</f>
        <v>گچ کاران</v>
      </c>
      <c r="D1070" s="1" t="str">
        <f t="shared" si="111"/>
        <v>قراردادي بهره بردار</v>
      </c>
      <c r="E1070" s="1" t="str">
        <f t="shared" si="113"/>
        <v>پروژه بهره برداري نيروگاه بوشهر</v>
      </c>
      <c r="F1070" s="1">
        <v>12581218</v>
      </c>
      <c r="G1070" s="1">
        <v>0</v>
      </c>
      <c r="H1070" s="1">
        <v>0</v>
      </c>
      <c r="I1070" s="1">
        <v>1171452</v>
      </c>
      <c r="J1070" s="1">
        <v>0</v>
      </c>
      <c r="K1070" s="1">
        <v>7563688</v>
      </c>
      <c r="L1070" s="1">
        <v>0</v>
      </c>
      <c r="M1070" s="1">
        <v>3465000</v>
      </c>
      <c r="N1070" s="1">
        <v>0</v>
      </c>
      <c r="O1070" s="1">
        <v>1000000</v>
      </c>
      <c r="P1070" s="1">
        <v>1912502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1848000</v>
      </c>
      <c r="W1070" s="1">
        <v>0</v>
      </c>
      <c r="X1070" s="1">
        <v>3018389</v>
      </c>
      <c r="Y1070" s="1">
        <v>4000000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1502680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6623807</v>
      </c>
      <c r="AO1070" s="1">
        <v>0</v>
      </c>
      <c r="AP1070" s="1">
        <v>0</v>
      </c>
      <c r="AQ1070" s="1">
        <v>0</v>
      </c>
      <c r="AR1070" s="1">
        <v>44686736</v>
      </c>
      <c r="AS1070" s="1">
        <v>10949069</v>
      </c>
      <c r="AT1070" s="1">
        <v>33737667</v>
      </c>
      <c r="AU1070" s="1">
        <v>8937347</v>
      </c>
      <c r="AV1070" s="1">
        <v>1340602</v>
      </c>
      <c r="AW1070" s="1">
        <f t="shared" si="110"/>
        <v>54964685</v>
      </c>
    </row>
    <row r="1071" spans="1:49" x14ac:dyDescent="0.2">
      <c r="A1071" s="1" t="str">
        <f>"01379"</f>
        <v>01379</v>
      </c>
      <c r="B1071" s="1" t="str">
        <f>"احمد"</f>
        <v>احمد</v>
      </c>
      <c r="C1071" s="1" t="str">
        <f>"ناطوري"</f>
        <v>ناطوري</v>
      </c>
      <c r="D1071" s="1" t="str">
        <f t="shared" si="111"/>
        <v>قراردادي بهره بردار</v>
      </c>
      <c r="E1071" s="1" t="str">
        <f t="shared" si="113"/>
        <v>پروژه بهره برداري نيروگاه بوشهر</v>
      </c>
      <c r="F1071" s="1">
        <v>17319958</v>
      </c>
      <c r="G1071" s="1">
        <v>0</v>
      </c>
      <c r="H1071" s="1">
        <v>0</v>
      </c>
      <c r="I1071" s="1">
        <v>1936606</v>
      </c>
      <c r="J1071" s="1">
        <v>0</v>
      </c>
      <c r="K1071" s="1">
        <v>8708688</v>
      </c>
      <c r="L1071" s="1">
        <v>0</v>
      </c>
      <c r="M1071" s="1">
        <v>4125000</v>
      </c>
      <c r="N1071" s="1">
        <v>0</v>
      </c>
      <c r="O1071" s="1">
        <v>1000000</v>
      </c>
      <c r="P1071" s="1">
        <v>2609960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3564217</v>
      </c>
      <c r="Y1071" s="1">
        <v>4000000</v>
      </c>
      <c r="Z1071" s="1">
        <v>1659948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2050683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4952878</v>
      </c>
      <c r="AO1071" s="1">
        <v>0</v>
      </c>
      <c r="AP1071" s="1">
        <v>0</v>
      </c>
      <c r="AQ1071" s="1">
        <v>0</v>
      </c>
      <c r="AR1071" s="1">
        <v>51927938</v>
      </c>
      <c r="AS1071" s="1">
        <v>14402657</v>
      </c>
      <c r="AT1071" s="1">
        <v>37525281</v>
      </c>
      <c r="AU1071" s="1">
        <v>10385588</v>
      </c>
      <c r="AV1071" s="1">
        <v>1557838</v>
      </c>
      <c r="AW1071" s="1">
        <f t="shared" si="110"/>
        <v>63871364</v>
      </c>
    </row>
    <row r="1072" spans="1:49" x14ac:dyDescent="0.2">
      <c r="A1072" s="1" t="str">
        <f>"01380"</f>
        <v>01380</v>
      </c>
      <c r="B1072" s="1" t="str">
        <f>"ابوطالب"</f>
        <v>ابوطالب</v>
      </c>
      <c r="C1072" s="1" t="str">
        <f>"نوروزي"</f>
        <v>نوروزي</v>
      </c>
      <c r="D1072" s="1" t="str">
        <f t="shared" si="111"/>
        <v>قراردادي بهره بردار</v>
      </c>
      <c r="E1072" s="1" t="str">
        <f t="shared" si="113"/>
        <v>پروژه بهره برداري نيروگاه بوشهر</v>
      </c>
      <c r="F1072" s="1">
        <v>17367824</v>
      </c>
      <c r="G1072" s="1">
        <v>0</v>
      </c>
      <c r="H1072" s="1">
        <v>0</v>
      </c>
      <c r="I1072" s="1">
        <v>1664961</v>
      </c>
      <c r="J1072" s="1">
        <v>0</v>
      </c>
      <c r="K1072" s="1">
        <v>8741823</v>
      </c>
      <c r="L1072" s="1">
        <v>0</v>
      </c>
      <c r="M1072" s="1">
        <v>5500000</v>
      </c>
      <c r="N1072" s="1">
        <v>0</v>
      </c>
      <c r="O1072" s="1">
        <v>1000000</v>
      </c>
      <c r="P1072" s="1">
        <v>2626714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1848000</v>
      </c>
      <c r="W1072" s="1">
        <v>0</v>
      </c>
      <c r="X1072" s="1">
        <v>3574981</v>
      </c>
      <c r="Y1072" s="1">
        <v>4000000</v>
      </c>
      <c r="Z1072" s="1">
        <v>1387467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2063847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4949604</v>
      </c>
      <c r="AO1072" s="1">
        <v>0</v>
      </c>
      <c r="AP1072" s="1">
        <v>0</v>
      </c>
      <c r="AQ1072" s="1">
        <v>0</v>
      </c>
      <c r="AR1072" s="1">
        <v>54725221</v>
      </c>
      <c r="AS1072" s="1">
        <v>20455212</v>
      </c>
      <c r="AT1072" s="1">
        <v>34270009</v>
      </c>
      <c r="AU1072" s="1">
        <v>10945044</v>
      </c>
      <c r="AV1072" s="1">
        <v>1641757</v>
      </c>
      <c r="AW1072" s="1">
        <f t="shared" si="110"/>
        <v>67312022</v>
      </c>
    </row>
    <row r="1073" spans="1:49" x14ac:dyDescent="0.2">
      <c r="A1073" s="1" t="str">
        <f>"01381"</f>
        <v>01381</v>
      </c>
      <c r="B1073" s="1" t="str">
        <f>"احسان"</f>
        <v>احسان</v>
      </c>
      <c r="C1073" s="1" t="str">
        <f>"شاهي غفاربي"</f>
        <v>شاهي غفاربي</v>
      </c>
      <c r="D1073" s="1" t="str">
        <f t="shared" si="111"/>
        <v>قراردادي بهره بردار</v>
      </c>
      <c r="E1073" s="1" t="str">
        <f t="shared" si="113"/>
        <v>پروژه بهره برداري نيروگاه بوشهر</v>
      </c>
      <c r="F1073" s="1">
        <v>18093373</v>
      </c>
      <c r="G1073" s="1">
        <v>0</v>
      </c>
      <c r="H1073" s="1">
        <v>0</v>
      </c>
      <c r="I1073" s="1">
        <v>0</v>
      </c>
      <c r="J1073" s="1">
        <v>0</v>
      </c>
      <c r="K1073" s="1">
        <v>12101127</v>
      </c>
      <c r="L1073" s="1">
        <v>0</v>
      </c>
      <c r="M1073" s="1">
        <v>4125000</v>
      </c>
      <c r="N1073" s="1">
        <v>0</v>
      </c>
      <c r="O1073" s="1">
        <v>1000000</v>
      </c>
      <c r="P1073" s="1">
        <v>2695489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1848000</v>
      </c>
      <c r="W1073" s="1">
        <v>0</v>
      </c>
      <c r="X1073" s="1">
        <v>4221096</v>
      </c>
      <c r="Y1073" s="1">
        <v>4000000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2117885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7203088</v>
      </c>
      <c r="AO1073" s="1">
        <v>0</v>
      </c>
      <c r="AP1073" s="1">
        <v>0</v>
      </c>
      <c r="AQ1073" s="1">
        <v>0</v>
      </c>
      <c r="AR1073" s="1">
        <v>57405058</v>
      </c>
      <c r="AS1073" s="1">
        <v>13808170</v>
      </c>
      <c r="AT1073" s="1">
        <v>43596888</v>
      </c>
      <c r="AU1073" s="1">
        <v>11481012</v>
      </c>
      <c r="AV1073" s="1">
        <v>1722152</v>
      </c>
      <c r="AW1073" s="1">
        <f t="shared" si="110"/>
        <v>70608222</v>
      </c>
    </row>
    <row r="1074" spans="1:49" x14ac:dyDescent="0.2">
      <c r="A1074" s="1" t="str">
        <f>"01382"</f>
        <v>01382</v>
      </c>
      <c r="B1074" s="1" t="str">
        <f>"امين"</f>
        <v>امين</v>
      </c>
      <c r="C1074" s="1" t="str">
        <f>"پرهيزکار"</f>
        <v>پرهيزکار</v>
      </c>
      <c r="D1074" s="1" t="str">
        <f t="shared" si="111"/>
        <v>قراردادي بهره بردار</v>
      </c>
      <c r="E1074" s="1" t="str">
        <f t="shared" si="113"/>
        <v>پروژه بهره برداري نيروگاه بوشهر</v>
      </c>
      <c r="F1074" s="1">
        <v>18579592</v>
      </c>
      <c r="G1074" s="1">
        <v>0</v>
      </c>
      <c r="H1074" s="1">
        <v>0</v>
      </c>
      <c r="I1074" s="1">
        <v>2396566</v>
      </c>
      <c r="J1074" s="1">
        <v>0</v>
      </c>
      <c r="K1074" s="1">
        <v>9724514</v>
      </c>
      <c r="L1074" s="1">
        <v>0</v>
      </c>
      <c r="M1074" s="1">
        <v>5500000</v>
      </c>
      <c r="N1074" s="1">
        <v>0</v>
      </c>
      <c r="O1074" s="1">
        <v>1000000</v>
      </c>
      <c r="P1074" s="1">
        <v>3050832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1848000</v>
      </c>
      <c r="W1074" s="1">
        <v>0</v>
      </c>
      <c r="X1074" s="1">
        <v>3859405</v>
      </c>
      <c r="Y1074" s="1">
        <v>4000000</v>
      </c>
      <c r="Z1074" s="1">
        <v>2697038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2397082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4842031</v>
      </c>
      <c r="AO1074" s="1">
        <v>0</v>
      </c>
      <c r="AP1074" s="1">
        <v>0</v>
      </c>
      <c r="AQ1074" s="1">
        <v>0</v>
      </c>
      <c r="AR1074" s="1">
        <v>59895060</v>
      </c>
      <c r="AS1074" s="1">
        <v>31265562</v>
      </c>
      <c r="AT1074" s="1">
        <v>28629498</v>
      </c>
      <c r="AU1074" s="1">
        <v>11979012</v>
      </c>
      <c r="AV1074" s="1">
        <v>1796852</v>
      </c>
      <c r="AW1074" s="1">
        <f t="shared" si="110"/>
        <v>73670924</v>
      </c>
    </row>
    <row r="1075" spans="1:49" x14ac:dyDescent="0.2">
      <c r="A1075" s="1" t="str">
        <f>"01383"</f>
        <v>01383</v>
      </c>
      <c r="B1075" s="1" t="str">
        <f>"صادق"</f>
        <v>صادق</v>
      </c>
      <c r="C1075" s="1" t="str">
        <f>"مختاري"</f>
        <v>مختاري</v>
      </c>
      <c r="D1075" s="1" t="str">
        <f t="shared" si="111"/>
        <v>قراردادي بهره بردار</v>
      </c>
      <c r="E1075" s="1" t="str">
        <f t="shared" si="113"/>
        <v>پروژه بهره برداري نيروگاه بوشهر</v>
      </c>
      <c r="F1075" s="1">
        <v>12954069</v>
      </c>
      <c r="G1075" s="1">
        <v>0</v>
      </c>
      <c r="H1075" s="1">
        <v>0</v>
      </c>
      <c r="I1075" s="1">
        <v>4654009</v>
      </c>
      <c r="J1075" s="1">
        <v>0</v>
      </c>
      <c r="K1075" s="1">
        <v>8538384</v>
      </c>
      <c r="L1075" s="1">
        <v>0</v>
      </c>
      <c r="M1075" s="1">
        <v>3465000</v>
      </c>
      <c r="N1075" s="1">
        <v>0</v>
      </c>
      <c r="O1075" s="1">
        <v>1000000</v>
      </c>
      <c r="P1075" s="1">
        <v>2042999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3747383</v>
      </c>
      <c r="Y1075" s="1">
        <v>4000000</v>
      </c>
      <c r="Z1075" s="1">
        <v>1880429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1605214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12333171</v>
      </c>
      <c r="AO1075" s="1">
        <v>0</v>
      </c>
      <c r="AP1075" s="1">
        <v>0</v>
      </c>
      <c r="AQ1075" s="1">
        <v>0</v>
      </c>
      <c r="AR1075" s="1">
        <v>56220658</v>
      </c>
      <c r="AS1075" s="1">
        <v>10894104</v>
      </c>
      <c r="AT1075" s="1">
        <v>45326554</v>
      </c>
      <c r="AU1075" s="1">
        <v>11244132</v>
      </c>
      <c r="AV1075" s="1">
        <v>1686620</v>
      </c>
      <c r="AW1075" s="1">
        <f t="shared" si="110"/>
        <v>69151410</v>
      </c>
    </row>
    <row r="1076" spans="1:49" x14ac:dyDescent="0.2">
      <c r="A1076" s="1" t="str">
        <f>"01386"</f>
        <v>01386</v>
      </c>
      <c r="B1076" s="1" t="str">
        <f>"محمد"</f>
        <v>محمد</v>
      </c>
      <c r="C1076" s="1" t="str">
        <f>"شاهسوني"</f>
        <v>شاهسوني</v>
      </c>
      <c r="D1076" s="1" t="str">
        <f t="shared" si="111"/>
        <v>قراردادي بهره بردار</v>
      </c>
      <c r="E1076" s="1" t="str">
        <f t="shared" si="113"/>
        <v>پروژه بهره برداري نيروگاه بوشهر</v>
      </c>
      <c r="F1076" s="1">
        <v>19325295</v>
      </c>
      <c r="G1076" s="1">
        <v>0</v>
      </c>
      <c r="H1076" s="1">
        <v>0</v>
      </c>
      <c r="I1076" s="1">
        <v>5495191</v>
      </c>
      <c r="J1076" s="1">
        <v>0</v>
      </c>
      <c r="K1076" s="1">
        <v>9884719</v>
      </c>
      <c r="L1076" s="1">
        <v>0</v>
      </c>
      <c r="M1076" s="1">
        <v>0</v>
      </c>
      <c r="N1076" s="1">
        <v>0</v>
      </c>
      <c r="O1076" s="1">
        <v>1000000</v>
      </c>
      <c r="P1076" s="1">
        <v>3100210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1848000</v>
      </c>
      <c r="W1076" s="1">
        <v>0</v>
      </c>
      <c r="X1076" s="1">
        <v>3933066</v>
      </c>
      <c r="Y1076" s="1">
        <v>4000000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2435879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4584561</v>
      </c>
      <c r="AO1076" s="1">
        <v>0</v>
      </c>
      <c r="AP1076" s="1">
        <v>0</v>
      </c>
      <c r="AQ1076" s="1">
        <v>0</v>
      </c>
      <c r="AR1076" s="1">
        <v>55606921</v>
      </c>
      <c r="AS1076" s="1">
        <v>21060112</v>
      </c>
      <c r="AT1076" s="1">
        <v>34546809</v>
      </c>
      <c r="AU1076" s="1">
        <v>11121384</v>
      </c>
      <c r="AV1076" s="1">
        <v>1668208</v>
      </c>
      <c r="AW1076" s="1">
        <f t="shared" si="110"/>
        <v>68396513</v>
      </c>
    </row>
    <row r="1077" spans="1:49" x14ac:dyDescent="0.2">
      <c r="A1077" s="1" t="str">
        <f>"01387"</f>
        <v>01387</v>
      </c>
      <c r="B1077" s="1" t="str">
        <f>"علي"</f>
        <v>علي</v>
      </c>
      <c r="C1077" s="1" t="str">
        <f>"صفي ياري خفري"</f>
        <v>صفي ياري خفري</v>
      </c>
      <c r="D1077" s="1" t="str">
        <f t="shared" si="111"/>
        <v>قراردادي بهره بردار</v>
      </c>
      <c r="E1077" s="1" t="str">
        <f t="shared" si="113"/>
        <v>پروژه بهره برداري نيروگاه بوشهر</v>
      </c>
      <c r="F1077" s="1">
        <v>17768388</v>
      </c>
      <c r="G1077" s="1">
        <v>0</v>
      </c>
      <c r="H1077" s="1">
        <v>0</v>
      </c>
      <c r="I1077" s="1">
        <v>0</v>
      </c>
      <c r="J1077" s="1">
        <v>0</v>
      </c>
      <c r="K1077" s="1">
        <v>9009072</v>
      </c>
      <c r="L1077" s="1">
        <v>0</v>
      </c>
      <c r="M1077" s="1">
        <v>4125000</v>
      </c>
      <c r="N1077" s="1">
        <v>0</v>
      </c>
      <c r="O1077" s="1">
        <v>1000000</v>
      </c>
      <c r="P1077" s="1">
        <v>2766910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1848000</v>
      </c>
      <c r="W1077" s="1">
        <v>0</v>
      </c>
      <c r="X1077" s="1">
        <v>3647324</v>
      </c>
      <c r="Y1077" s="1">
        <v>4000000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2174001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4754864</v>
      </c>
      <c r="AO1077" s="1">
        <v>0</v>
      </c>
      <c r="AP1077" s="1">
        <v>0</v>
      </c>
      <c r="AQ1077" s="1">
        <v>0</v>
      </c>
      <c r="AR1077" s="1">
        <v>51093559</v>
      </c>
      <c r="AS1077" s="1">
        <v>21577794</v>
      </c>
      <c r="AT1077" s="1">
        <v>29515765</v>
      </c>
      <c r="AU1077" s="1">
        <v>10218712</v>
      </c>
      <c r="AV1077" s="1">
        <v>1532807</v>
      </c>
      <c r="AW1077" s="1">
        <f t="shared" si="110"/>
        <v>62845078</v>
      </c>
    </row>
    <row r="1078" spans="1:49" x14ac:dyDescent="0.2">
      <c r="A1078" s="1" t="str">
        <f>"01388"</f>
        <v>01388</v>
      </c>
      <c r="B1078" s="1" t="str">
        <f>"پوريا"</f>
        <v>پوريا</v>
      </c>
      <c r="C1078" s="1" t="str">
        <f>"ميرسنجري"</f>
        <v>ميرسنجري</v>
      </c>
      <c r="D1078" s="1" t="str">
        <f>"قراردادي کارگري"</f>
        <v>قراردادي کارگري</v>
      </c>
      <c r="E1078" s="1" t="str">
        <f>"پروژه تعميرات نيروگاه بوشهر"</f>
        <v>پروژه تعميرات نيروگاه بوشهر</v>
      </c>
      <c r="F1078" s="1">
        <v>0</v>
      </c>
      <c r="G1078" s="1">
        <v>4604070</v>
      </c>
      <c r="H1078" s="1">
        <v>2302035</v>
      </c>
      <c r="I1078" s="1">
        <v>0</v>
      </c>
      <c r="J1078" s="1">
        <v>0</v>
      </c>
      <c r="K1078" s="1">
        <v>4143664</v>
      </c>
      <c r="L1078" s="1">
        <v>0</v>
      </c>
      <c r="M1078" s="1">
        <v>0</v>
      </c>
      <c r="N1078" s="1">
        <v>11331151</v>
      </c>
      <c r="O1078" s="1">
        <v>2000000</v>
      </c>
      <c r="P1078" s="1">
        <v>3683257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2640000</v>
      </c>
      <c r="W1078" s="1">
        <v>0</v>
      </c>
      <c r="X1078" s="1">
        <v>3226418</v>
      </c>
      <c r="Y1078" s="1">
        <v>4000000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37930595</v>
      </c>
      <c r="AS1078" s="1">
        <v>4191142</v>
      </c>
      <c r="AT1078" s="1">
        <v>33739453</v>
      </c>
      <c r="AU1078" s="1">
        <v>7586119</v>
      </c>
      <c r="AV1078" s="1">
        <v>1137918</v>
      </c>
      <c r="AW1078" s="1">
        <f t="shared" si="110"/>
        <v>46654632</v>
      </c>
    </row>
    <row r="1079" spans="1:49" x14ac:dyDescent="0.2">
      <c r="A1079" s="1" t="str">
        <f>"01389"</f>
        <v>01389</v>
      </c>
      <c r="B1079" s="1" t="str">
        <f>"عيسي"</f>
        <v>عيسي</v>
      </c>
      <c r="C1079" s="1" t="str">
        <f>"زنده بودي"</f>
        <v>زنده بودي</v>
      </c>
      <c r="D1079" s="1" t="str">
        <f>"قراردادي کارگري"</f>
        <v>قراردادي کارگري</v>
      </c>
      <c r="E1079" s="1" t="str">
        <f>"پروژه تعميرات نيروگاه بوشهر"</f>
        <v>پروژه تعميرات نيروگاه بوشهر</v>
      </c>
      <c r="F1079" s="1">
        <v>0</v>
      </c>
      <c r="G1079" s="1">
        <v>6868674</v>
      </c>
      <c r="H1079" s="1">
        <v>3434337</v>
      </c>
      <c r="I1079" s="1">
        <v>2016211</v>
      </c>
      <c r="J1079" s="1">
        <v>0</v>
      </c>
      <c r="K1079" s="1">
        <v>6181807</v>
      </c>
      <c r="L1079" s="1">
        <v>0</v>
      </c>
      <c r="M1079" s="1">
        <v>0</v>
      </c>
      <c r="N1079" s="1">
        <v>11331151</v>
      </c>
      <c r="O1079" s="1">
        <v>2000000</v>
      </c>
      <c r="P1079" s="1">
        <v>5494939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2640000</v>
      </c>
      <c r="W1079" s="1">
        <v>0</v>
      </c>
      <c r="X1079" s="1">
        <v>7507073</v>
      </c>
      <c r="Y1079" s="1">
        <v>4000000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3670854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55145046</v>
      </c>
      <c r="AS1079" s="1">
        <v>9240578</v>
      </c>
      <c r="AT1079" s="1">
        <v>45904468</v>
      </c>
      <c r="AU1079" s="1">
        <v>10294838</v>
      </c>
      <c r="AV1079" s="1">
        <v>1544226</v>
      </c>
      <c r="AW1079" s="1">
        <f t="shared" si="110"/>
        <v>66984110</v>
      </c>
    </row>
    <row r="1080" spans="1:49" x14ac:dyDescent="0.2">
      <c r="A1080" s="1" t="str">
        <f>"01390"</f>
        <v>01390</v>
      </c>
      <c r="B1080" s="1" t="str">
        <f>"محمد"</f>
        <v>محمد</v>
      </c>
      <c r="C1080" s="1" t="str">
        <f>"صبوريان"</f>
        <v>صبوريان</v>
      </c>
      <c r="D1080" s="1" t="str">
        <f>"قراردادي کارگري"</f>
        <v>قراردادي کارگري</v>
      </c>
      <c r="E1080" s="1" t="str">
        <f>"پروژه تعميرات نيروگاه بوشهر"</f>
        <v>پروژه تعميرات نيروگاه بوشهر</v>
      </c>
      <c r="F1080" s="1">
        <v>0</v>
      </c>
      <c r="G1080" s="1">
        <v>4318655</v>
      </c>
      <c r="H1080" s="1">
        <v>2159328</v>
      </c>
      <c r="I1080" s="1">
        <v>7389794</v>
      </c>
      <c r="J1080" s="1">
        <v>0</v>
      </c>
      <c r="K1080" s="1">
        <v>3886790</v>
      </c>
      <c r="L1080" s="1">
        <v>0</v>
      </c>
      <c r="M1080" s="1">
        <v>0</v>
      </c>
      <c r="N1080" s="1">
        <v>11331151</v>
      </c>
      <c r="O1080" s="1">
        <v>2000000</v>
      </c>
      <c r="P1080" s="1">
        <v>3454924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6583678</v>
      </c>
      <c r="Y1080" s="1">
        <v>4000000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3772627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5732689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54629636</v>
      </c>
      <c r="AS1080" s="1">
        <v>10215847</v>
      </c>
      <c r="AT1080" s="1">
        <v>44413789</v>
      </c>
      <c r="AU1080" s="1">
        <v>10925927</v>
      </c>
      <c r="AV1080" s="1">
        <v>1638889</v>
      </c>
      <c r="AW1080" s="1">
        <f t="shared" si="110"/>
        <v>67194452</v>
      </c>
    </row>
    <row r="1081" spans="1:49" x14ac:dyDescent="0.2">
      <c r="A1081" s="1" t="str">
        <f>"01391"</f>
        <v>01391</v>
      </c>
      <c r="B1081" s="1" t="str">
        <f>"اميد"</f>
        <v>اميد</v>
      </c>
      <c r="C1081" s="1" t="str">
        <f>"محمدپور"</f>
        <v>محمدپور</v>
      </c>
      <c r="D1081" s="1" t="str">
        <f>"قراردادي کارگري"</f>
        <v>قراردادي کارگري</v>
      </c>
      <c r="E1081" s="1" t="str">
        <f>"پروژه تعميرات نيروگاه بوشهر"</f>
        <v>پروژه تعميرات نيروگاه بوشهر</v>
      </c>
      <c r="F1081" s="1">
        <v>0</v>
      </c>
      <c r="G1081" s="1">
        <v>6686196</v>
      </c>
      <c r="H1081" s="1">
        <v>3343098</v>
      </c>
      <c r="I1081" s="1">
        <v>2265014</v>
      </c>
      <c r="J1081" s="1">
        <v>0</v>
      </c>
      <c r="K1081" s="1">
        <v>6017576</v>
      </c>
      <c r="L1081" s="1">
        <v>0</v>
      </c>
      <c r="M1081" s="1">
        <v>0</v>
      </c>
      <c r="N1081" s="1">
        <v>11331151</v>
      </c>
      <c r="O1081" s="1">
        <v>2000000</v>
      </c>
      <c r="P1081" s="1">
        <v>5348957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2640000</v>
      </c>
      <c r="W1081" s="1">
        <v>0</v>
      </c>
      <c r="X1081" s="1">
        <v>7396126</v>
      </c>
      <c r="Y1081" s="1">
        <v>4000000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1835427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52863545</v>
      </c>
      <c r="AS1081" s="1">
        <v>6845926</v>
      </c>
      <c r="AT1081" s="1">
        <v>46017619</v>
      </c>
      <c r="AU1081" s="1">
        <v>10205624</v>
      </c>
      <c r="AV1081" s="1">
        <v>1530844</v>
      </c>
      <c r="AW1081" s="1">
        <f t="shared" si="110"/>
        <v>64600013</v>
      </c>
    </row>
    <row r="1082" spans="1:49" x14ac:dyDescent="0.2">
      <c r="A1082" s="1" t="str">
        <f>"01392"</f>
        <v>01392</v>
      </c>
      <c r="B1082" s="1" t="str">
        <f>"سيد محمد"</f>
        <v>سيد محمد</v>
      </c>
      <c r="C1082" s="1" t="str">
        <f>"مير سليماني"</f>
        <v>مير سليماني</v>
      </c>
      <c r="D1082" s="1" t="str">
        <f t="shared" ref="D1082:D1112" si="114">"قراردادي بهره بردار"</f>
        <v>قراردادي بهره بردار</v>
      </c>
      <c r="E1082" s="1" t="str">
        <f t="shared" ref="E1082:E1112" si="115">"پروژه بهره برداري نيروگاه بوشهر"</f>
        <v>پروژه بهره برداري نيروگاه بوشهر</v>
      </c>
      <c r="F1082" s="1">
        <v>10699326</v>
      </c>
      <c r="G1082" s="1">
        <v>0</v>
      </c>
      <c r="H1082" s="1">
        <v>0</v>
      </c>
      <c r="I1082" s="1">
        <v>0</v>
      </c>
      <c r="J1082" s="1">
        <v>0</v>
      </c>
      <c r="K1082" s="1">
        <v>6056443</v>
      </c>
      <c r="L1082" s="1">
        <v>0</v>
      </c>
      <c r="M1082" s="1">
        <v>3465000</v>
      </c>
      <c r="N1082" s="1">
        <v>0</v>
      </c>
      <c r="O1082" s="1">
        <v>1000000</v>
      </c>
      <c r="P1082" s="1">
        <v>1549223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1848000</v>
      </c>
      <c r="W1082" s="1">
        <v>0</v>
      </c>
      <c r="X1082" s="1">
        <v>2470135</v>
      </c>
      <c r="Y1082" s="1">
        <v>4000000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1217247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5179108</v>
      </c>
      <c r="AO1082" s="1">
        <v>0</v>
      </c>
      <c r="AP1082" s="1">
        <v>0</v>
      </c>
      <c r="AQ1082" s="1">
        <v>0</v>
      </c>
      <c r="AR1082" s="1">
        <v>37484482</v>
      </c>
      <c r="AS1082" s="1">
        <v>12925129</v>
      </c>
      <c r="AT1082" s="1">
        <v>24559353</v>
      </c>
      <c r="AU1082" s="1">
        <v>7496896</v>
      </c>
      <c r="AV1082" s="1">
        <v>1124534</v>
      </c>
      <c r="AW1082" s="1">
        <f t="shared" si="110"/>
        <v>46105912</v>
      </c>
    </row>
    <row r="1083" spans="1:49" x14ac:dyDescent="0.2">
      <c r="A1083" s="1" t="str">
        <f>"01393"</f>
        <v>01393</v>
      </c>
      <c r="B1083" s="1" t="str">
        <f>"پيمان"</f>
        <v>پيمان</v>
      </c>
      <c r="C1083" s="1" t="str">
        <f>"نجفي"</f>
        <v>نجفي</v>
      </c>
      <c r="D1083" s="1" t="str">
        <f t="shared" si="114"/>
        <v>قراردادي بهره بردار</v>
      </c>
      <c r="E1083" s="1" t="str">
        <f t="shared" si="115"/>
        <v>پروژه بهره برداري نيروگاه بوشهر</v>
      </c>
      <c r="F1083" s="1">
        <v>10863078</v>
      </c>
      <c r="G1083" s="1">
        <v>0</v>
      </c>
      <c r="H1083" s="1">
        <v>0</v>
      </c>
      <c r="I1083" s="1">
        <v>1722960</v>
      </c>
      <c r="J1083" s="1">
        <v>0</v>
      </c>
      <c r="K1083" s="1">
        <v>5483489</v>
      </c>
      <c r="L1083" s="1">
        <v>0</v>
      </c>
      <c r="M1083" s="1">
        <v>3465000</v>
      </c>
      <c r="N1083" s="1">
        <v>0</v>
      </c>
      <c r="O1083" s="1">
        <v>1000000</v>
      </c>
      <c r="P1083" s="1">
        <v>1606537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2774637</v>
      </c>
      <c r="Y1083" s="1">
        <v>4000000</v>
      </c>
      <c r="Z1083" s="1">
        <v>1292220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1262279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8530992</v>
      </c>
      <c r="AO1083" s="1">
        <v>0</v>
      </c>
      <c r="AP1083" s="1">
        <v>0</v>
      </c>
      <c r="AQ1083" s="1">
        <v>0</v>
      </c>
      <c r="AR1083" s="1">
        <v>42001192</v>
      </c>
      <c r="AS1083" s="1">
        <v>13490694</v>
      </c>
      <c r="AT1083" s="1">
        <v>28510498</v>
      </c>
      <c r="AU1083" s="1">
        <v>8400238</v>
      </c>
      <c r="AV1083" s="1">
        <v>1260036</v>
      </c>
      <c r="AW1083" s="1">
        <f t="shared" si="110"/>
        <v>51661466</v>
      </c>
    </row>
    <row r="1084" spans="1:49" x14ac:dyDescent="0.2">
      <c r="A1084" s="1" t="str">
        <f>"01394"</f>
        <v>01394</v>
      </c>
      <c r="B1084" s="1" t="str">
        <f>"محمدرضا"</f>
        <v>محمدرضا</v>
      </c>
      <c r="C1084" s="1" t="str">
        <f>"احمدپري"</f>
        <v>احمدپري</v>
      </c>
      <c r="D1084" s="1" t="str">
        <f t="shared" si="114"/>
        <v>قراردادي بهره بردار</v>
      </c>
      <c r="E1084" s="1" t="str">
        <f t="shared" si="115"/>
        <v>پروژه بهره برداري نيروگاه بوشهر</v>
      </c>
      <c r="F1084" s="1">
        <v>17932140</v>
      </c>
      <c r="G1084" s="1">
        <v>0</v>
      </c>
      <c r="H1084" s="1">
        <v>0</v>
      </c>
      <c r="I1084" s="1">
        <v>0</v>
      </c>
      <c r="J1084" s="1">
        <v>0</v>
      </c>
      <c r="K1084" s="1">
        <v>9079127</v>
      </c>
      <c r="L1084" s="1">
        <v>0</v>
      </c>
      <c r="M1084" s="1">
        <v>5500000</v>
      </c>
      <c r="N1084" s="1">
        <v>0</v>
      </c>
      <c r="O1084" s="1">
        <v>1000000</v>
      </c>
      <c r="P1084" s="1">
        <v>2824224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1848000</v>
      </c>
      <c r="W1084" s="1">
        <v>0</v>
      </c>
      <c r="X1084" s="1">
        <v>3679049</v>
      </c>
      <c r="Y1084" s="1">
        <v>4000000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2219033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4735969</v>
      </c>
      <c r="AO1084" s="1">
        <v>0</v>
      </c>
      <c r="AP1084" s="1">
        <v>0</v>
      </c>
      <c r="AQ1084" s="1">
        <v>0</v>
      </c>
      <c r="AR1084" s="1">
        <v>52817542</v>
      </c>
      <c r="AS1084" s="1">
        <v>8437260</v>
      </c>
      <c r="AT1084" s="1">
        <v>44380282</v>
      </c>
      <c r="AU1084" s="1">
        <v>10563508</v>
      </c>
      <c r="AV1084" s="1">
        <v>1584526</v>
      </c>
      <c r="AW1084" s="1">
        <f t="shared" si="110"/>
        <v>64965576</v>
      </c>
    </row>
    <row r="1085" spans="1:49" x14ac:dyDescent="0.2">
      <c r="A1085" s="1" t="str">
        <f>"01395"</f>
        <v>01395</v>
      </c>
      <c r="B1085" s="1" t="str">
        <f>"وحيد"</f>
        <v>وحيد</v>
      </c>
      <c r="C1085" s="1" t="str">
        <f>"زندي"</f>
        <v>زندي</v>
      </c>
      <c r="D1085" s="1" t="str">
        <f t="shared" si="114"/>
        <v>قراردادي بهره بردار</v>
      </c>
      <c r="E1085" s="1" t="str">
        <f t="shared" si="115"/>
        <v>پروژه بهره برداري نيروگاه بوشهر</v>
      </c>
      <c r="F1085" s="1">
        <v>11540761</v>
      </c>
      <c r="G1085" s="1">
        <v>0</v>
      </c>
      <c r="H1085" s="1">
        <v>0</v>
      </c>
      <c r="I1085" s="1">
        <v>0</v>
      </c>
      <c r="J1085" s="1">
        <v>0</v>
      </c>
      <c r="K1085" s="1">
        <v>5961975</v>
      </c>
      <c r="L1085" s="1">
        <v>0</v>
      </c>
      <c r="M1085" s="1">
        <v>3465000</v>
      </c>
      <c r="N1085" s="1">
        <v>0</v>
      </c>
      <c r="O1085" s="1">
        <v>1000000</v>
      </c>
      <c r="P1085" s="1">
        <v>1843725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1848000</v>
      </c>
      <c r="W1085" s="1">
        <v>0</v>
      </c>
      <c r="X1085" s="1">
        <v>2629680</v>
      </c>
      <c r="Y1085" s="1">
        <v>4000000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1448641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5501700</v>
      </c>
      <c r="AO1085" s="1">
        <v>0</v>
      </c>
      <c r="AP1085" s="1">
        <v>0</v>
      </c>
      <c r="AQ1085" s="1">
        <v>0</v>
      </c>
      <c r="AR1085" s="1">
        <v>39239482</v>
      </c>
      <c r="AS1085" s="1">
        <v>4642764</v>
      </c>
      <c r="AT1085" s="1">
        <v>34596718</v>
      </c>
      <c r="AU1085" s="1">
        <v>7847896</v>
      </c>
      <c r="AV1085" s="1">
        <v>1177184</v>
      </c>
      <c r="AW1085" s="1">
        <f t="shared" si="110"/>
        <v>48264562</v>
      </c>
    </row>
    <row r="1086" spans="1:49" x14ac:dyDescent="0.2">
      <c r="A1086" s="1" t="str">
        <f>"01396"</f>
        <v>01396</v>
      </c>
      <c r="B1086" s="1" t="str">
        <f>"مهدي"</f>
        <v>مهدي</v>
      </c>
      <c r="C1086" s="1" t="str">
        <f>"ترحمي سيل آباد"</f>
        <v>ترحمي سيل آباد</v>
      </c>
      <c r="D1086" s="1" t="str">
        <f t="shared" si="114"/>
        <v>قراردادي بهره بردار</v>
      </c>
      <c r="E1086" s="1" t="str">
        <f t="shared" si="115"/>
        <v>پروژه بهره برداري نيروگاه بوشهر</v>
      </c>
      <c r="F1086" s="1">
        <v>11341739</v>
      </c>
      <c r="G1086" s="1">
        <v>0</v>
      </c>
      <c r="H1086" s="1">
        <v>0</v>
      </c>
      <c r="I1086" s="1">
        <v>639541</v>
      </c>
      <c r="J1086" s="1">
        <v>0</v>
      </c>
      <c r="K1086" s="1">
        <v>6767083</v>
      </c>
      <c r="L1086" s="1">
        <v>0</v>
      </c>
      <c r="M1086" s="1">
        <v>3465000</v>
      </c>
      <c r="N1086" s="1">
        <v>0</v>
      </c>
      <c r="O1086" s="1">
        <v>1000000</v>
      </c>
      <c r="P1086" s="1">
        <v>1478683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1848000</v>
      </c>
      <c r="W1086" s="1">
        <v>0</v>
      </c>
      <c r="X1086" s="1">
        <v>2746428</v>
      </c>
      <c r="Y1086" s="1">
        <v>4000000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1161823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6714954</v>
      </c>
      <c r="AO1086" s="1">
        <v>0</v>
      </c>
      <c r="AP1086" s="1">
        <v>0</v>
      </c>
      <c r="AQ1086" s="1">
        <v>0</v>
      </c>
      <c r="AR1086" s="1">
        <v>41163251</v>
      </c>
      <c r="AS1086" s="1">
        <v>13157172</v>
      </c>
      <c r="AT1086" s="1">
        <v>28006079</v>
      </c>
      <c r="AU1086" s="1">
        <v>8232650</v>
      </c>
      <c r="AV1086" s="1">
        <v>1234898</v>
      </c>
      <c r="AW1086" s="1">
        <f t="shared" si="110"/>
        <v>50630799</v>
      </c>
    </row>
    <row r="1087" spans="1:49" x14ac:dyDescent="0.2">
      <c r="A1087" s="1" t="str">
        <f>"01397"</f>
        <v>01397</v>
      </c>
      <c r="B1087" s="1" t="str">
        <f>"محمد"</f>
        <v>محمد</v>
      </c>
      <c r="C1087" s="1" t="str">
        <f>"پديسار"</f>
        <v>پديسار</v>
      </c>
      <c r="D1087" s="1" t="str">
        <f t="shared" si="114"/>
        <v>قراردادي بهره بردار</v>
      </c>
      <c r="E1087" s="1" t="str">
        <f t="shared" si="115"/>
        <v>پروژه بهره برداري نيروگاه بوشهر</v>
      </c>
      <c r="F1087" s="1">
        <v>15004752</v>
      </c>
      <c r="G1087" s="1">
        <v>0</v>
      </c>
      <c r="H1087" s="1">
        <v>0</v>
      </c>
      <c r="I1087" s="1">
        <v>0</v>
      </c>
      <c r="J1087" s="1">
        <v>0</v>
      </c>
      <c r="K1087" s="1">
        <v>9090032</v>
      </c>
      <c r="L1087" s="1">
        <v>0</v>
      </c>
      <c r="M1087" s="1">
        <v>5500000</v>
      </c>
      <c r="N1087" s="1">
        <v>0</v>
      </c>
      <c r="O1087" s="1">
        <v>1000000</v>
      </c>
      <c r="P1087" s="1">
        <v>1799638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1848000</v>
      </c>
      <c r="W1087" s="1">
        <v>0</v>
      </c>
      <c r="X1087" s="1">
        <v>3127198</v>
      </c>
      <c r="Y1087" s="1">
        <v>4000000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1414001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3963562</v>
      </c>
      <c r="AO1087" s="1">
        <v>0</v>
      </c>
      <c r="AP1087" s="1">
        <v>0</v>
      </c>
      <c r="AQ1087" s="1">
        <v>0</v>
      </c>
      <c r="AR1087" s="1">
        <v>46747183</v>
      </c>
      <c r="AS1087" s="1">
        <v>12504346</v>
      </c>
      <c r="AT1087" s="1">
        <v>34242837</v>
      </c>
      <c r="AU1087" s="1">
        <v>9349437</v>
      </c>
      <c r="AV1087" s="1">
        <v>1402415</v>
      </c>
      <c r="AW1087" s="1">
        <f t="shared" si="110"/>
        <v>57499035</v>
      </c>
    </row>
    <row r="1088" spans="1:49" x14ac:dyDescent="0.2">
      <c r="A1088" s="1" t="str">
        <f>"01398"</f>
        <v>01398</v>
      </c>
      <c r="B1088" s="1" t="str">
        <f>"پژمان"</f>
        <v>پژمان</v>
      </c>
      <c r="C1088" s="1" t="str">
        <f>"سروري"</f>
        <v>سروري</v>
      </c>
      <c r="D1088" s="1" t="str">
        <f t="shared" si="114"/>
        <v>قراردادي بهره بردار</v>
      </c>
      <c r="E1088" s="1" t="str">
        <f t="shared" si="115"/>
        <v>پروژه بهره برداري نيروگاه بوشهر</v>
      </c>
      <c r="F1088" s="1">
        <v>12493043</v>
      </c>
      <c r="G1088" s="1">
        <v>0</v>
      </c>
      <c r="H1088" s="1">
        <v>0</v>
      </c>
      <c r="I1088" s="1">
        <v>2118161</v>
      </c>
      <c r="J1088" s="1">
        <v>0</v>
      </c>
      <c r="K1088" s="1">
        <v>7583817</v>
      </c>
      <c r="L1088" s="1">
        <v>0</v>
      </c>
      <c r="M1088" s="1">
        <v>3465000</v>
      </c>
      <c r="N1088" s="1">
        <v>0</v>
      </c>
      <c r="O1088" s="1">
        <v>1000000</v>
      </c>
      <c r="P1088" s="1">
        <v>1881640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1848000</v>
      </c>
      <c r="W1088" s="1">
        <v>0</v>
      </c>
      <c r="X1088" s="1">
        <v>3032057</v>
      </c>
      <c r="Y1088" s="1">
        <v>4000000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1478431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6883644</v>
      </c>
      <c r="AO1088" s="1">
        <v>0</v>
      </c>
      <c r="AP1088" s="1">
        <v>0</v>
      </c>
      <c r="AQ1088" s="1">
        <v>0</v>
      </c>
      <c r="AR1088" s="1">
        <v>45783793</v>
      </c>
      <c r="AS1088" s="1">
        <v>18123122</v>
      </c>
      <c r="AT1088" s="1">
        <v>27660671</v>
      </c>
      <c r="AU1088" s="1">
        <v>9156759</v>
      </c>
      <c r="AV1088" s="1">
        <v>1373514</v>
      </c>
      <c r="AW1088" s="1">
        <f t="shared" si="110"/>
        <v>56314066</v>
      </c>
    </row>
    <row r="1089" spans="1:49" x14ac:dyDescent="0.2">
      <c r="A1089" s="1" t="str">
        <f>"01400"</f>
        <v>01400</v>
      </c>
      <c r="B1089" s="1" t="str">
        <f>"اسماعيل"</f>
        <v>اسماعيل</v>
      </c>
      <c r="C1089" s="1" t="str">
        <f>"احمد حسيني"</f>
        <v>احمد حسيني</v>
      </c>
      <c r="D1089" s="1" t="str">
        <f t="shared" si="114"/>
        <v>قراردادي بهره بردار</v>
      </c>
      <c r="E1089" s="1" t="str">
        <f t="shared" si="115"/>
        <v>پروژه بهره برداري نيروگاه بوشهر</v>
      </c>
      <c r="F1089" s="1">
        <v>9477481</v>
      </c>
      <c r="G1089" s="1">
        <v>0</v>
      </c>
      <c r="H1089" s="1">
        <v>0</v>
      </c>
      <c r="I1089" s="1">
        <v>10905550</v>
      </c>
      <c r="J1089" s="1">
        <v>0</v>
      </c>
      <c r="K1089" s="1">
        <v>5518763</v>
      </c>
      <c r="L1089" s="1">
        <v>0</v>
      </c>
      <c r="M1089" s="1">
        <v>3465000</v>
      </c>
      <c r="N1089" s="1">
        <v>0</v>
      </c>
      <c r="O1089" s="1">
        <v>1000000</v>
      </c>
      <c r="P1089" s="1">
        <v>1121578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4022049</v>
      </c>
      <c r="Y1089" s="1">
        <v>4000000</v>
      </c>
      <c r="Z1089" s="1">
        <v>1375763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881239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8138743</v>
      </c>
      <c r="AO1089" s="1">
        <v>0</v>
      </c>
      <c r="AP1089" s="1">
        <v>0</v>
      </c>
      <c r="AQ1089" s="1">
        <v>0</v>
      </c>
      <c r="AR1089" s="1">
        <v>49906166</v>
      </c>
      <c r="AS1089" s="1">
        <v>6481106</v>
      </c>
      <c r="AT1089" s="1">
        <v>43425060</v>
      </c>
      <c r="AU1089" s="1">
        <v>9981233</v>
      </c>
      <c r="AV1089" s="1">
        <v>1497185</v>
      </c>
      <c r="AW1089" s="1">
        <f t="shared" si="110"/>
        <v>61384584</v>
      </c>
    </row>
    <row r="1090" spans="1:49" x14ac:dyDescent="0.2">
      <c r="A1090" s="1" t="str">
        <f>"01401"</f>
        <v>01401</v>
      </c>
      <c r="B1090" s="1" t="str">
        <f>"علي"</f>
        <v>علي</v>
      </c>
      <c r="C1090" s="1" t="str">
        <f>"دشتي زاده"</f>
        <v>دشتي زاده</v>
      </c>
      <c r="D1090" s="1" t="str">
        <f t="shared" si="114"/>
        <v>قراردادي بهره بردار</v>
      </c>
      <c r="E1090" s="1" t="str">
        <f t="shared" si="115"/>
        <v>پروژه بهره برداري نيروگاه بوشهر</v>
      </c>
      <c r="F1090" s="1">
        <v>11374489</v>
      </c>
      <c r="G1090" s="1">
        <v>0</v>
      </c>
      <c r="H1090" s="1">
        <v>0</v>
      </c>
      <c r="I1090" s="1">
        <v>0</v>
      </c>
      <c r="J1090" s="1">
        <v>0</v>
      </c>
      <c r="K1090" s="1">
        <v>5844577</v>
      </c>
      <c r="L1090" s="1">
        <v>0</v>
      </c>
      <c r="M1090" s="1">
        <v>3465000</v>
      </c>
      <c r="N1090" s="1">
        <v>0</v>
      </c>
      <c r="O1090" s="1">
        <v>1000000</v>
      </c>
      <c r="P1090" s="1">
        <v>1785531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1848000</v>
      </c>
      <c r="W1090" s="1">
        <v>0</v>
      </c>
      <c r="X1090" s="1">
        <v>2585606</v>
      </c>
      <c r="Y1090" s="1">
        <v>4000000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1402916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5448545</v>
      </c>
      <c r="AO1090" s="1">
        <v>0</v>
      </c>
      <c r="AP1090" s="1">
        <v>0</v>
      </c>
      <c r="AQ1090" s="1">
        <v>0</v>
      </c>
      <c r="AR1090" s="1">
        <v>38754664</v>
      </c>
      <c r="AS1090" s="1">
        <v>2732210</v>
      </c>
      <c r="AT1090" s="1">
        <v>36022454</v>
      </c>
      <c r="AU1090" s="1">
        <v>7750933</v>
      </c>
      <c r="AV1090" s="1">
        <v>1162640</v>
      </c>
      <c r="AW1090" s="1">
        <f t="shared" si="110"/>
        <v>47668237</v>
      </c>
    </row>
    <row r="1091" spans="1:49" x14ac:dyDescent="0.2">
      <c r="A1091" s="1" t="str">
        <f>"01402"</f>
        <v>01402</v>
      </c>
      <c r="B1091" s="1" t="str">
        <f>"روح اله"</f>
        <v>روح اله</v>
      </c>
      <c r="C1091" s="1" t="str">
        <f>"دهقاني"</f>
        <v>دهقاني</v>
      </c>
      <c r="D1091" s="1" t="str">
        <f t="shared" si="114"/>
        <v>قراردادي بهره بردار</v>
      </c>
      <c r="E1091" s="1" t="str">
        <f t="shared" si="115"/>
        <v>پروژه بهره برداري نيروگاه بوشهر</v>
      </c>
      <c r="F1091" s="1">
        <v>16861452</v>
      </c>
      <c r="G1091" s="1">
        <v>0</v>
      </c>
      <c r="H1091" s="1">
        <v>0</v>
      </c>
      <c r="I1091" s="1">
        <v>800889</v>
      </c>
      <c r="J1091" s="1">
        <v>0</v>
      </c>
      <c r="K1091" s="1">
        <v>8342293</v>
      </c>
      <c r="L1091" s="1">
        <v>0</v>
      </c>
      <c r="M1091" s="1">
        <v>0</v>
      </c>
      <c r="N1091" s="1">
        <v>0</v>
      </c>
      <c r="O1091" s="1">
        <v>1000000</v>
      </c>
      <c r="P1091" s="1">
        <v>2449483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1848000</v>
      </c>
      <c r="W1091" s="1">
        <v>0</v>
      </c>
      <c r="X1091" s="1">
        <v>3439315</v>
      </c>
      <c r="Y1091" s="1">
        <v>4000000</v>
      </c>
      <c r="Z1091" s="1">
        <v>533926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1924594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4815326</v>
      </c>
      <c r="AO1091" s="1">
        <v>0</v>
      </c>
      <c r="AP1091" s="1">
        <v>0</v>
      </c>
      <c r="AQ1091" s="1">
        <v>0</v>
      </c>
      <c r="AR1091" s="1">
        <v>46015278</v>
      </c>
      <c r="AS1091" s="1">
        <v>14971147</v>
      </c>
      <c r="AT1091" s="1">
        <v>31044131</v>
      </c>
      <c r="AU1091" s="1">
        <v>9203056</v>
      </c>
      <c r="AV1091" s="1">
        <v>1380458</v>
      </c>
      <c r="AW1091" s="1">
        <f t="shared" ref="AW1091:AW1142" si="116">AR1091+AU1091+AV1091</f>
        <v>56598792</v>
      </c>
    </row>
    <row r="1092" spans="1:49" x14ac:dyDescent="0.2">
      <c r="A1092" s="1" t="str">
        <f>"01403"</f>
        <v>01403</v>
      </c>
      <c r="B1092" s="1" t="str">
        <f>"محمد مجتبي"</f>
        <v>محمد مجتبي</v>
      </c>
      <c r="C1092" s="1" t="str">
        <f>"کشت کار"</f>
        <v>کشت کار</v>
      </c>
      <c r="D1092" s="1" t="str">
        <f t="shared" si="114"/>
        <v>قراردادي بهره بردار</v>
      </c>
      <c r="E1092" s="1" t="str">
        <f t="shared" si="115"/>
        <v>پروژه بهره برداري نيروگاه بوشهر</v>
      </c>
      <c r="F1092" s="1">
        <v>10880713</v>
      </c>
      <c r="G1092" s="1">
        <v>0</v>
      </c>
      <c r="H1092" s="1">
        <v>0</v>
      </c>
      <c r="I1092" s="1">
        <v>380804</v>
      </c>
      <c r="J1092" s="1">
        <v>0</v>
      </c>
      <c r="K1092" s="1">
        <v>5495939</v>
      </c>
      <c r="L1092" s="1">
        <v>0</v>
      </c>
      <c r="M1092" s="1">
        <v>3465000</v>
      </c>
      <c r="N1092" s="1">
        <v>0</v>
      </c>
      <c r="O1092" s="1">
        <v>1000000</v>
      </c>
      <c r="P1092" s="1">
        <v>1612709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1848000</v>
      </c>
      <c r="W1092" s="1">
        <v>0</v>
      </c>
      <c r="X1092" s="1">
        <v>2452969</v>
      </c>
      <c r="Y1092" s="1">
        <v>4000000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1267128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5273203</v>
      </c>
      <c r="AO1092" s="1">
        <v>0</v>
      </c>
      <c r="AP1092" s="1">
        <v>0</v>
      </c>
      <c r="AQ1092" s="1">
        <v>0</v>
      </c>
      <c r="AR1092" s="1">
        <v>37676465</v>
      </c>
      <c r="AS1092" s="1">
        <v>18344065</v>
      </c>
      <c r="AT1092" s="1">
        <v>19332400</v>
      </c>
      <c r="AU1092" s="1">
        <v>7535293</v>
      </c>
      <c r="AV1092" s="1">
        <v>1130294</v>
      </c>
      <c r="AW1092" s="1">
        <f t="shared" si="116"/>
        <v>46342052</v>
      </c>
    </row>
    <row r="1093" spans="1:49" x14ac:dyDescent="0.2">
      <c r="A1093" s="1" t="str">
        <f>"01404"</f>
        <v>01404</v>
      </c>
      <c r="B1093" s="1" t="str">
        <f>"مصطفي"</f>
        <v>مصطفي</v>
      </c>
      <c r="C1093" s="1" t="str">
        <f>"آذرخش"</f>
        <v>آذرخش</v>
      </c>
      <c r="D1093" s="1" t="str">
        <f t="shared" si="114"/>
        <v>قراردادي بهره بردار</v>
      </c>
      <c r="E1093" s="1" t="str">
        <f t="shared" si="115"/>
        <v>پروژه بهره برداري نيروگاه بوشهر</v>
      </c>
      <c r="F1093" s="1">
        <v>12772682</v>
      </c>
      <c r="G1093" s="1">
        <v>0</v>
      </c>
      <c r="H1093" s="1">
        <v>0</v>
      </c>
      <c r="I1093" s="1">
        <v>0</v>
      </c>
      <c r="J1093" s="1">
        <v>0</v>
      </c>
      <c r="K1093" s="1">
        <v>8447218</v>
      </c>
      <c r="L1093" s="1">
        <v>0</v>
      </c>
      <c r="M1093" s="1">
        <v>4620000</v>
      </c>
      <c r="N1093" s="1">
        <v>0</v>
      </c>
      <c r="O1093" s="1">
        <v>1000000</v>
      </c>
      <c r="P1093" s="1">
        <v>1979514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1848000</v>
      </c>
      <c r="W1093" s="1">
        <v>0</v>
      </c>
      <c r="X1093" s="1">
        <v>3296730</v>
      </c>
      <c r="Y1093" s="1">
        <v>4000000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1555332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8212557</v>
      </c>
      <c r="AO1093" s="1">
        <v>0</v>
      </c>
      <c r="AP1093" s="1">
        <v>0</v>
      </c>
      <c r="AQ1093" s="1">
        <v>0</v>
      </c>
      <c r="AR1093" s="1">
        <v>47732033</v>
      </c>
      <c r="AS1093" s="1">
        <v>31029161</v>
      </c>
      <c r="AT1093" s="1">
        <v>16702872</v>
      </c>
      <c r="AU1093" s="1">
        <v>9546407</v>
      </c>
      <c r="AV1093" s="1">
        <v>1431961</v>
      </c>
      <c r="AW1093" s="1">
        <f t="shared" si="116"/>
        <v>58710401</v>
      </c>
    </row>
    <row r="1094" spans="1:49" x14ac:dyDescent="0.2">
      <c r="A1094" s="1" t="str">
        <f>"01405"</f>
        <v>01405</v>
      </c>
      <c r="B1094" s="1" t="str">
        <f>"يوسف"</f>
        <v>يوسف</v>
      </c>
      <c r="C1094" s="1" t="str">
        <f>"زنده بودي"</f>
        <v>زنده بودي</v>
      </c>
      <c r="D1094" s="1" t="str">
        <f t="shared" si="114"/>
        <v>قراردادي بهره بردار</v>
      </c>
      <c r="E1094" s="1" t="str">
        <f t="shared" si="115"/>
        <v>پروژه بهره برداري نيروگاه بوشهر</v>
      </c>
      <c r="F1094" s="1">
        <v>11142716</v>
      </c>
      <c r="G1094" s="1">
        <v>0</v>
      </c>
      <c r="H1094" s="1">
        <v>0</v>
      </c>
      <c r="I1094" s="1">
        <v>2545598</v>
      </c>
      <c r="J1094" s="1">
        <v>0</v>
      </c>
      <c r="K1094" s="1">
        <v>5680931</v>
      </c>
      <c r="L1094" s="1">
        <v>0</v>
      </c>
      <c r="M1094" s="1">
        <v>3465000</v>
      </c>
      <c r="N1094" s="1">
        <v>0</v>
      </c>
      <c r="O1094" s="1">
        <v>1000000</v>
      </c>
      <c r="P1094" s="1">
        <v>1704410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1848000</v>
      </c>
      <c r="W1094" s="1">
        <v>0</v>
      </c>
      <c r="X1094" s="1">
        <v>2522710</v>
      </c>
      <c r="Y1094" s="1">
        <v>4000000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1339179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5359866</v>
      </c>
      <c r="AO1094" s="1">
        <v>0</v>
      </c>
      <c r="AP1094" s="1">
        <v>0</v>
      </c>
      <c r="AQ1094" s="1">
        <v>0</v>
      </c>
      <c r="AR1094" s="1">
        <v>40608410</v>
      </c>
      <c r="AS1094" s="1">
        <v>16481301</v>
      </c>
      <c r="AT1094" s="1">
        <v>24127109</v>
      </c>
      <c r="AU1094" s="1">
        <v>8121682</v>
      </c>
      <c r="AV1094" s="1">
        <v>1218252</v>
      </c>
      <c r="AW1094" s="1">
        <f t="shared" si="116"/>
        <v>49948344</v>
      </c>
    </row>
    <row r="1095" spans="1:49" x14ac:dyDescent="0.2">
      <c r="A1095" s="1" t="str">
        <f>"01406"</f>
        <v>01406</v>
      </c>
      <c r="B1095" s="1" t="str">
        <f>"مصطفي"</f>
        <v>مصطفي</v>
      </c>
      <c r="C1095" s="1" t="str">
        <f>"محمدي گلوردي"</f>
        <v>محمدي گلوردي</v>
      </c>
      <c r="D1095" s="1" t="str">
        <f t="shared" si="114"/>
        <v>قراردادي بهره بردار</v>
      </c>
      <c r="E1095" s="1" t="str">
        <f t="shared" si="115"/>
        <v>پروژه بهره برداري نيروگاه بوشهر</v>
      </c>
      <c r="F1095" s="1">
        <v>12986820</v>
      </c>
      <c r="G1095" s="1">
        <v>0</v>
      </c>
      <c r="H1095" s="1">
        <v>0</v>
      </c>
      <c r="I1095" s="1">
        <v>1792732</v>
      </c>
      <c r="J1095" s="1">
        <v>0</v>
      </c>
      <c r="K1095" s="1">
        <v>6851265</v>
      </c>
      <c r="L1095" s="1">
        <v>0</v>
      </c>
      <c r="M1095" s="1">
        <v>4620000</v>
      </c>
      <c r="N1095" s="1">
        <v>0</v>
      </c>
      <c r="O1095" s="1">
        <v>1000000</v>
      </c>
      <c r="P1095" s="1">
        <v>2217585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1848000</v>
      </c>
      <c r="W1095" s="1">
        <v>0</v>
      </c>
      <c r="X1095" s="1">
        <v>2886997</v>
      </c>
      <c r="Y1095" s="1">
        <v>4000000</v>
      </c>
      <c r="Z1095" s="1">
        <v>1120458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1742388</v>
      </c>
      <c r="AH1095" s="1">
        <v>1835427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5071914</v>
      </c>
      <c r="AO1095" s="1">
        <v>0</v>
      </c>
      <c r="AP1095" s="1">
        <v>0</v>
      </c>
      <c r="AQ1095" s="1">
        <v>0</v>
      </c>
      <c r="AR1095" s="1">
        <v>47973586</v>
      </c>
      <c r="AS1095" s="1">
        <v>27335519</v>
      </c>
      <c r="AT1095" s="1">
        <v>20638067</v>
      </c>
      <c r="AU1095" s="1">
        <v>9227632</v>
      </c>
      <c r="AV1095" s="1">
        <v>1384145</v>
      </c>
      <c r="AW1095" s="1">
        <f t="shared" si="116"/>
        <v>58585363</v>
      </c>
    </row>
    <row r="1096" spans="1:49" x14ac:dyDescent="0.2">
      <c r="A1096" s="1" t="str">
        <f>"01407"</f>
        <v>01407</v>
      </c>
      <c r="B1096" s="1" t="str">
        <f>"سجاد"</f>
        <v>سجاد</v>
      </c>
      <c r="C1096" s="1" t="str">
        <f>"رستمي"</f>
        <v>رستمي</v>
      </c>
      <c r="D1096" s="1" t="str">
        <f t="shared" si="114"/>
        <v>قراردادي بهره بردار</v>
      </c>
      <c r="E1096" s="1" t="str">
        <f t="shared" si="115"/>
        <v>پروژه بهره برداري نيروگاه بوشهر</v>
      </c>
      <c r="F1096" s="1">
        <v>11341739</v>
      </c>
      <c r="G1096" s="1">
        <v>0</v>
      </c>
      <c r="H1096" s="1">
        <v>0</v>
      </c>
      <c r="I1096" s="1">
        <v>6115623</v>
      </c>
      <c r="J1096" s="1">
        <v>0</v>
      </c>
      <c r="K1096" s="1">
        <v>5821453</v>
      </c>
      <c r="L1096" s="1">
        <v>0</v>
      </c>
      <c r="M1096" s="1">
        <v>3465000</v>
      </c>
      <c r="N1096" s="1">
        <v>0</v>
      </c>
      <c r="O1096" s="1">
        <v>1000000</v>
      </c>
      <c r="P1096" s="1">
        <v>1774068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2918085</v>
      </c>
      <c r="Y1096" s="1">
        <v>4000000</v>
      </c>
      <c r="Z1096" s="1">
        <v>1359027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1393910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8849680</v>
      </c>
      <c r="AO1096" s="1">
        <v>0</v>
      </c>
      <c r="AP1096" s="1">
        <v>0</v>
      </c>
      <c r="AQ1096" s="1">
        <v>0</v>
      </c>
      <c r="AR1096" s="1">
        <v>48038585</v>
      </c>
      <c r="AS1096" s="1">
        <v>16878087</v>
      </c>
      <c r="AT1096" s="1">
        <v>31160498</v>
      </c>
      <c r="AU1096" s="1">
        <v>9607717</v>
      </c>
      <c r="AV1096" s="1">
        <v>1441158</v>
      </c>
      <c r="AW1096" s="1">
        <f t="shared" si="116"/>
        <v>59087460</v>
      </c>
    </row>
    <row r="1097" spans="1:49" x14ac:dyDescent="0.2">
      <c r="A1097" s="1" t="str">
        <f>"01408"</f>
        <v>01408</v>
      </c>
      <c r="B1097" s="1" t="str">
        <f>"مصطفي"</f>
        <v>مصطفي</v>
      </c>
      <c r="C1097" s="1" t="str">
        <f>"محمدي"</f>
        <v>محمدي</v>
      </c>
      <c r="D1097" s="1" t="str">
        <f t="shared" si="114"/>
        <v>قراردادي بهره بردار</v>
      </c>
      <c r="E1097" s="1" t="str">
        <f t="shared" si="115"/>
        <v>پروژه بهره برداري نيروگاه بوشهر</v>
      </c>
      <c r="F1097" s="1">
        <v>12185693</v>
      </c>
      <c r="G1097" s="1">
        <v>0</v>
      </c>
      <c r="H1097" s="1">
        <v>0</v>
      </c>
      <c r="I1097" s="1">
        <v>2117392</v>
      </c>
      <c r="J1097" s="1">
        <v>0</v>
      </c>
      <c r="K1097" s="1">
        <v>7614210</v>
      </c>
      <c r="L1097" s="1">
        <v>0</v>
      </c>
      <c r="M1097" s="1">
        <v>3465000</v>
      </c>
      <c r="N1097" s="1">
        <v>0</v>
      </c>
      <c r="O1097" s="1">
        <v>1000000</v>
      </c>
      <c r="P1097" s="1">
        <v>1774068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3409825</v>
      </c>
      <c r="Y1097" s="1">
        <v>4000000</v>
      </c>
      <c r="Z1097" s="1">
        <v>1768891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1393910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11130372</v>
      </c>
      <c r="AO1097" s="1">
        <v>0</v>
      </c>
      <c r="AP1097" s="1">
        <v>0</v>
      </c>
      <c r="AQ1097" s="1">
        <v>0</v>
      </c>
      <c r="AR1097" s="1">
        <v>49859361</v>
      </c>
      <c r="AS1097" s="1">
        <v>16695024</v>
      </c>
      <c r="AT1097" s="1">
        <v>33164337</v>
      </c>
      <c r="AU1097" s="1">
        <v>9971872</v>
      </c>
      <c r="AV1097" s="1">
        <v>1495781</v>
      </c>
      <c r="AW1097" s="1">
        <f t="shared" si="116"/>
        <v>61327014</v>
      </c>
    </row>
    <row r="1098" spans="1:49" x14ac:dyDescent="0.2">
      <c r="A1098" s="1" t="str">
        <f>"01409"</f>
        <v>01409</v>
      </c>
      <c r="B1098" s="1" t="str">
        <f>"عبدالرحيم"</f>
        <v>عبدالرحيم</v>
      </c>
      <c r="C1098" s="1" t="str">
        <f>"نيکنام"</f>
        <v>نيکنام</v>
      </c>
      <c r="D1098" s="1" t="str">
        <f t="shared" si="114"/>
        <v>قراردادي بهره بردار</v>
      </c>
      <c r="E1098" s="1" t="str">
        <f t="shared" si="115"/>
        <v>پروژه بهره برداري نيروگاه بوشهر</v>
      </c>
      <c r="F1098" s="1">
        <v>11770014</v>
      </c>
      <c r="G1098" s="1">
        <v>0</v>
      </c>
      <c r="H1098" s="1">
        <v>0</v>
      </c>
      <c r="I1098" s="1">
        <v>441535</v>
      </c>
      <c r="J1098" s="1">
        <v>0</v>
      </c>
      <c r="K1098" s="1">
        <v>7306084</v>
      </c>
      <c r="L1098" s="1">
        <v>0</v>
      </c>
      <c r="M1098" s="1">
        <v>3465000</v>
      </c>
      <c r="N1098" s="1">
        <v>0</v>
      </c>
      <c r="O1098" s="1">
        <v>1000000</v>
      </c>
      <c r="P1098" s="1">
        <v>1791703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1848000</v>
      </c>
      <c r="W1098" s="1">
        <v>0</v>
      </c>
      <c r="X1098" s="1">
        <v>2844173</v>
      </c>
      <c r="Y1098" s="1">
        <v>4000000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1407766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6166157</v>
      </c>
      <c r="AO1098" s="1">
        <v>0</v>
      </c>
      <c r="AP1098" s="1">
        <v>0</v>
      </c>
      <c r="AQ1098" s="1">
        <v>0</v>
      </c>
      <c r="AR1098" s="1">
        <v>42040432</v>
      </c>
      <c r="AS1098" s="1">
        <v>16902138</v>
      </c>
      <c r="AT1098" s="1">
        <v>25138294</v>
      </c>
      <c r="AU1098" s="1">
        <v>8408086</v>
      </c>
      <c r="AV1098" s="1">
        <v>1261213</v>
      </c>
      <c r="AW1098" s="1">
        <f t="shared" si="116"/>
        <v>51709731</v>
      </c>
    </row>
    <row r="1099" spans="1:49" x14ac:dyDescent="0.2">
      <c r="A1099" s="1" t="str">
        <f>"01410"</f>
        <v>01410</v>
      </c>
      <c r="B1099" s="1" t="str">
        <f>"حسين"</f>
        <v>حسين</v>
      </c>
      <c r="C1099" s="1" t="str">
        <f>"اندرياي"</f>
        <v>اندرياي</v>
      </c>
      <c r="D1099" s="1" t="str">
        <f t="shared" si="114"/>
        <v>قراردادي بهره بردار</v>
      </c>
      <c r="E1099" s="1" t="str">
        <f t="shared" si="115"/>
        <v>پروژه بهره برداري نيروگاه بوشهر</v>
      </c>
      <c r="F1099" s="1">
        <v>11528164</v>
      </c>
      <c r="G1099" s="1">
        <v>0</v>
      </c>
      <c r="H1099" s="1">
        <v>0</v>
      </c>
      <c r="I1099" s="1">
        <v>3915933</v>
      </c>
      <c r="J1099" s="1">
        <v>0</v>
      </c>
      <c r="K1099" s="1">
        <v>5953081</v>
      </c>
      <c r="L1099" s="1">
        <v>0</v>
      </c>
      <c r="M1099" s="1">
        <v>3465000</v>
      </c>
      <c r="N1099" s="1">
        <v>0</v>
      </c>
      <c r="O1099" s="1">
        <v>1000000</v>
      </c>
      <c r="P1099" s="1">
        <v>1839317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2967613</v>
      </c>
      <c r="Y1099" s="1">
        <v>4000000</v>
      </c>
      <c r="Z1099" s="1">
        <v>1673443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1445178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8910394</v>
      </c>
      <c r="AO1099" s="1">
        <v>0</v>
      </c>
      <c r="AP1099" s="1">
        <v>0</v>
      </c>
      <c r="AQ1099" s="1">
        <v>0</v>
      </c>
      <c r="AR1099" s="1">
        <v>46698123</v>
      </c>
      <c r="AS1099" s="1">
        <v>17367152</v>
      </c>
      <c r="AT1099" s="1">
        <v>29330971</v>
      </c>
      <c r="AU1099" s="1">
        <v>9339625</v>
      </c>
      <c r="AV1099" s="1">
        <v>1400944</v>
      </c>
      <c r="AW1099" s="1">
        <f t="shared" si="116"/>
        <v>57438692</v>
      </c>
    </row>
    <row r="1100" spans="1:49" x14ac:dyDescent="0.2">
      <c r="A1100" s="1" t="str">
        <f>"01411"</f>
        <v>01411</v>
      </c>
      <c r="B1100" s="1" t="str">
        <f>"هادي"</f>
        <v>هادي</v>
      </c>
      <c r="C1100" s="1" t="str">
        <f>"تجويدي"</f>
        <v>تجويدي</v>
      </c>
      <c r="D1100" s="1" t="str">
        <f t="shared" si="114"/>
        <v>قراردادي بهره بردار</v>
      </c>
      <c r="E1100" s="1" t="str">
        <f t="shared" si="115"/>
        <v>پروژه بهره برداري نيروگاه بوشهر</v>
      </c>
      <c r="F1100" s="1">
        <v>10689248</v>
      </c>
      <c r="G1100" s="1">
        <v>0</v>
      </c>
      <c r="H1100" s="1">
        <v>0</v>
      </c>
      <c r="I1100" s="1">
        <v>1479434</v>
      </c>
      <c r="J1100" s="1">
        <v>0</v>
      </c>
      <c r="K1100" s="1">
        <v>5423733</v>
      </c>
      <c r="L1100" s="1">
        <v>0</v>
      </c>
      <c r="M1100" s="1">
        <v>3465000</v>
      </c>
      <c r="N1100" s="1">
        <v>0</v>
      </c>
      <c r="O1100" s="1">
        <v>1000000</v>
      </c>
      <c r="P1100" s="1">
        <v>1545696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2722818</v>
      </c>
      <c r="Y1100" s="1">
        <v>4000000</v>
      </c>
      <c r="Z1100" s="1">
        <v>1551665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1214476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8355022</v>
      </c>
      <c r="AO1100" s="1">
        <v>0</v>
      </c>
      <c r="AP1100" s="1">
        <v>0</v>
      </c>
      <c r="AQ1100" s="1">
        <v>0</v>
      </c>
      <c r="AR1100" s="1">
        <v>41447092</v>
      </c>
      <c r="AS1100" s="1">
        <v>9543247</v>
      </c>
      <c r="AT1100" s="1">
        <v>31903845</v>
      </c>
      <c r="AU1100" s="1">
        <v>8289418</v>
      </c>
      <c r="AV1100" s="1">
        <v>1243413</v>
      </c>
      <c r="AW1100" s="1">
        <f t="shared" si="116"/>
        <v>50979923</v>
      </c>
    </row>
    <row r="1101" spans="1:49" x14ac:dyDescent="0.2">
      <c r="A1101" s="1" t="str">
        <f>"01412"</f>
        <v>01412</v>
      </c>
      <c r="B1101" s="1" t="str">
        <f>"مهرداد"</f>
        <v>مهرداد</v>
      </c>
      <c r="C1101" s="1" t="str">
        <f>"نظري"</f>
        <v>نظري</v>
      </c>
      <c r="D1101" s="1" t="str">
        <f t="shared" si="114"/>
        <v>قراردادي بهره بردار</v>
      </c>
      <c r="E1101" s="1" t="str">
        <f t="shared" si="115"/>
        <v>پروژه بهره برداري نيروگاه بوشهر</v>
      </c>
      <c r="F1101" s="1">
        <v>11394643</v>
      </c>
      <c r="G1101" s="1">
        <v>0</v>
      </c>
      <c r="H1101" s="1">
        <v>0</v>
      </c>
      <c r="I1101" s="1">
        <v>1593143</v>
      </c>
      <c r="J1101" s="1">
        <v>0</v>
      </c>
      <c r="K1101" s="1">
        <v>5858807</v>
      </c>
      <c r="L1101" s="1">
        <v>0</v>
      </c>
      <c r="M1101" s="1">
        <v>3465000</v>
      </c>
      <c r="N1101" s="1">
        <v>0</v>
      </c>
      <c r="O1101" s="1">
        <v>1000000</v>
      </c>
      <c r="P1101" s="1">
        <v>1792584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2932093</v>
      </c>
      <c r="Y1101" s="1">
        <v>4000000</v>
      </c>
      <c r="Z1101" s="1">
        <v>1137959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1408459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8866433</v>
      </c>
      <c r="AO1101" s="1">
        <v>0</v>
      </c>
      <c r="AP1101" s="1">
        <v>0</v>
      </c>
      <c r="AQ1101" s="1">
        <v>0</v>
      </c>
      <c r="AR1101" s="1">
        <v>43449121</v>
      </c>
      <c r="AS1101" s="1">
        <v>19167744</v>
      </c>
      <c r="AT1101" s="1">
        <v>24281377</v>
      </c>
      <c r="AU1101" s="1">
        <v>8689824</v>
      </c>
      <c r="AV1101" s="1">
        <v>1303474</v>
      </c>
      <c r="AW1101" s="1">
        <f t="shared" si="116"/>
        <v>53442419</v>
      </c>
    </row>
    <row r="1102" spans="1:49" x14ac:dyDescent="0.2">
      <c r="A1102" s="1" t="str">
        <f>"01413"</f>
        <v>01413</v>
      </c>
      <c r="B1102" s="1" t="str">
        <f>"سجاد"</f>
        <v>سجاد</v>
      </c>
      <c r="C1102" s="1" t="str">
        <f>"مرادزاده"</f>
        <v>مرادزاده</v>
      </c>
      <c r="D1102" s="1" t="str">
        <f t="shared" si="114"/>
        <v>قراردادي بهره بردار</v>
      </c>
      <c r="E1102" s="1" t="str">
        <f t="shared" si="115"/>
        <v>پروژه بهره برداري نيروگاه بوشهر</v>
      </c>
      <c r="F1102" s="1">
        <v>10737115</v>
      </c>
      <c r="G1102" s="1">
        <v>0</v>
      </c>
      <c r="H1102" s="1">
        <v>0</v>
      </c>
      <c r="I1102" s="1">
        <v>562534</v>
      </c>
      <c r="J1102" s="1">
        <v>0</v>
      </c>
      <c r="K1102" s="1">
        <v>5394551</v>
      </c>
      <c r="L1102" s="1">
        <v>0</v>
      </c>
      <c r="M1102" s="1">
        <v>3465000</v>
      </c>
      <c r="N1102" s="1">
        <v>0</v>
      </c>
      <c r="O1102" s="1">
        <v>1000000</v>
      </c>
      <c r="P1102" s="1">
        <v>1562450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1848000</v>
      </c>
      <c r="W1102" s="1">
        <v>0</v>
      </c>
      <c r="X1102" s="1">
        <v>2415730</v>
      </c>
      <c r="Y1102" s="1">
        <v>4000000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1227638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5235540</v>
      </c>
      <c r="AO1102" s="1">
        <v>0</v>
      </c>
      <c r="AP1102" s="1">
        <v>0</v>
      </c>
      <c r="AQ1102" s="1">
        <v>0</v>
      </c>
      <c r="AR1102" s="1">
        <v>37448558</v>
      </c>
      <c r="AS1102" s="1">
        <v>2621399</v>
      </c>
      <c r="AT1102" s="1">
        <v>34827159</v>
      </c>
      <c r="AU1102" s="1">
        <v>7489712</v>
      </c>
      <c r="AV1102" s="1">
        <v>1123457</v>
      </c>
      <c r="AW1102" s="1">
        <f t="shared" si="116"/>
        <v>46061727</v>
      </c>
    </row>
    <row r="1103" spans="1:49" x14ac:dyDescent="0.2">
      <c r="A1103" s="1" t="str">
        <f>"01414"</f>
        <v>01414</v>
      </c>
      <c r="B1103" s="1" t="str">
        <f>"حسين"</f>
        <v>حسين</v>
      </c>
      <c r="C1103" s="1" t="str">
        <f>"آدره"</f>
        <v>آدره</v>
      </c>
      <c r="D1103" s="1" t="str">
        <f t="shared" si="114"/>
        <v>قراردادي بهره بردار</v>
      </c>
      <c r="E1103" s="1" t="str">
        <f t="shared" si="115"/>
        <v>پروژه بهره برداري نيروگاه بوشهر</v>
      </c>
      <c r="F1103" s="1">
        <v>12301579</v>
      </c>
      <c r="G1103" s="1">
        <v>0</v>
      </c>
      <c r="H1103" s="1">
        <v>0</v>
      </c>
      <c r="I1103" s="1">
        <v>1963684</v>
      </c>
      <c r="J1103" s="1">
        <v>0</v>
      </c>
      <c r="K1103" s="1">
        <v>7015476</v>
      </c>
      <c r="L1103" s="1">
        <v>0</v>
      </c>
      <c r="M1103" s="1">
        <v>3465000</v>
      </c>
      <c r="N1103" s="1">
        <v>0</v>
      </c>
      <c r="O1103" s="1">
        <v>1000000</v>
      </c>
      <c r="P1103" s="1">
        <v>1814627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1848000</v>
      </c>
      <c r="W1103" s="1">
        <v>0</v>
      </c>
      <c r="X1103" s="1">
        <v>2810929</v>
      </c>
      <c r="Y1103" s="1">
        <v>4000000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1425779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5551834</v>
      </c>
      <c r="AO1103" s="1">
        <v>0</v>
      </c>
      <c r="AP1103" s="1">
        <v>0</v>
      </c>
      <c r="AQ1103" s="1">
        <v>0</v>
      </c>
      <c r="AR1103" s="1">
        <v>43196908</v>
      </c>
      <c r="AS1103" s="1">
        <v>19117072</v>
      </c>
      <c r="AT1103" s="1">
        <v>24079836</v>
      </c>
      <c r="AU1103" s="1">
        <v>8639382</v>
      </c>
      <c r="AV1103" s="1">
        <v>1295907</v>
      </c>
      <c r="AW1103" s="1">
        <f t="shared" si="116"/>
        <v>53132197</v>
      </c>
    </row>
    <row r="1104" spans="1:49" x14ac:dyDescent="0.2">
      <c r="A1104" s="1" t="str">
        <f>"01415"</f>
        <v>01415</v>
      </c>
      <c r="B1104" s="1" t="str">
        <f>"تورج"</f>
        <v>تورج</v>
      </c>
      <c r="C1104" s="1" t="str">
        <f>"نظري"</f>
        <v>نظري</v>
      </c>
      <c r="D1104" s="1" t="str">
        <f t="shared" si="114"/>
        <v>قراردادي بهره بردار</v>
      </c>
      <c r="E1104" s="1" t="str">
        <f t="shared" si="115"/>
        <v>پروژه بهره برداري نيروگاه بوشهر</v>
      </c>
      <c r="F1104" s="1">
        <v>20549658</v>
      </c>
      <c r="G1104" s="1">
        <v>0</v>
      </c>
      <c r="H1104" s="1">
        <v>0</v>
      </c>
      <c r="I1104" s="1">
        <v>1648898</v>
      </c>
      <c r="J1104" s="1">
        <v>0</v>
      </c>
      <c r="K1104" s="1">
        <v>10680529</v>
      </c>
      <c r="L1104" s="1">
        <v>0</v>
      </c>
      <c r="M1104" s="1">
        <v>-5500000</v>
      </c>
      <c r="N1104" s="1">
        <v>0</v>
      </c>
      <c r="O1104" s="1">
        <v>1000000</v>
      </c>
      <c r="P1104" s="1">
        <v>3528737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1848000</v>
      </c>
      <c r="W1104" s="1">
        <v>0</v>
      </c>
      <c r="X1104" s="1">
        <v>4248589</v>
      </c>
      <c r="Y1104" s="1">
        <v>4000000</v>
      </c>
      <c r="Z1104" s="1">
        <v>1978678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2772579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4954390</v>
      </c>
      <c r="AO1104" s="1">
        <v>0</v>
      </c>
      <c r="AP1104" s="1">
        <v>0</v>
      </c>
      <c r="AQ1104" s="1">
        <v>0</v>
      </c>
      <c r="AR1104" s="1">
        <v>51710058</v>
      </c>
      <c r="AS1104" s="1">
        <v>10923413</v>
      </c>
      <c r="AT1104" s="1">
        <v>40786645</v>
      </c>
      <c r="AU1104" s="1">
        <v>10342012</v>
      </c>
      <c r="AV1104" s="1">
        <v>1551302</v>
      </c>
      <c r="AW1104" s="1">
        <f t="shared" si="116"/>
        <v>63603372</v>
      </c>
    </row>
    <row r="1105" spans="1:49" x14ac:dyDescent="0.2">
      <c r="A1105" s="1" t="str">
        <f>"01416"</f>
        <v>01416</v>
      </c>
      <c r="B1105" s="1" t="str">
        <f>"حسين"</f>
        <v>حسين</v>
      </c>
      <c r="C1105" s="1" t="str">
        <f>"مظاهري بني"</f>
        <v>مظاهري بني</v>
      </c>
      <c r="D1105" s="1" t="str">
        <f t="shared" si="114"/>
        <v>قراردادي بهره بردار</v>
      </c>
      <c r="E1105" s="1" t="str">
        <f t="shared" si="115"/>
        <v>پروژه بهره برداري نيروگاه بوشهر</v>
      </c>
      <c r="F1105" s="1">
        <v>19904726</v>
      </c>
      <c r="G1105" s="1">
        <v>0</v>
      </c>
      <c r="H1105" s="1">
        <v>0</v>
      </c>
      <c r="I1105" s="1">
        <v>0</v>
      </c>
      <c r="J1105" s="1">
        <v>0</v>
      </c>
      <c r="K1105" s="1">
        <v>13952473</v>
      </c>
      <c r="L1105" s="1">
        <v>0</v>
      </c>
      <c r="M1105" s="1">
        <v>5500000</v>
      </c>
      <c r="N1105" s="1">
        <v>0</v>
      </c>
      <c r="O1105" s="1">
        <v>1000000</v>
      </c>
      <c r="P1105" s="1">
        <v>3104618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1848000</v>
      </c>
      <c r="W1105" s="1">
        <v>0</v>
      </c>
      <c r="X1105" s="1">
        <v>4552464</v>
      </c>
      <c r="Y1105" s="1">
        <v>4000000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2439342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6123481</v>
      </c>
      <c r="AO1105" s="1">
        <v>0</v>
      </c>
      <c r="AP1105" s="1">
        <v>0</v>
      </c>
      <c r="AQ1105" s="1">
        <v>0</v>
      </c>
      <c r="AR1105" s="1">
        <v>62425104</v>
      </c>
      <c r="AS1105" s="1">
        <v>17687589</v>
      </c>
      <c r="AT1105" s="1">
        <v>44737515</v>
      </c>
      <c r="AU1105" s="1">
        <v>12485021</v>
      </c>
      <c r="AV1105" s="1">
        <v>1872753</v>
      </c>
      <c r="AW1105" s="1">
        <f t="shared" si="116"/>
        <v>76782878</v>
      </c>
    </row>
    <row r="1106" spans="1:49" x14ac:dyDescent="0.2">
      <c r="A1106" s="1" t="str">
        <f>"01417"</f>
        <v>01417</v>
      </c>
      <c r="B1106" s="1" t="str">
        <f>"راضيه"</f>
        <v>راضيه</v>
      </c>
      <c r="C1106" s="1" t="str">
        <f>"هژبرنيا"</f>
        <v>هژبرنيا</v>
      </c>
      <c r="D1106" s="1" t="str">
        <f t="shared" si="114"/>
        <v>قراردادي بهره بردار</v>
      </c>
      <c r="E1106" s="1" t="str">
        <f t="shared" si="115"/>
        <v>پروژه بهره برداري نيروگاه بوشهر</v>
      </c>
      <c r="F1106" s="1">
        <v>16390349</v>
      </c>
      <c r="G1106" s="1">
        <v>0</v>
      </c>
      <c r="H1106" s="1">
        <v>0</v>
      </c>
      <c r="I1106" s="1">
        <v>275974</v>
      </c>
      <c r="J1106" s="1">
        <v>0</v>
      </c>
      <c r="K1106" s="1">
        <v>10484879</v>
      </c>
      <c r="L1106" s="1">
        <v>0</v>
      </c>
      <c r="M1106" s="1">
        <v>4125000</v>
      </c>
      <c r="N1106" s="1">
        <v>0</v>
      </c>
      <c r="O1106" s="1">
        <v>1000000</v>
      </c>
      <c r="P1106" s="1">
        <v>2284597</v>
      </c>
      <c r="Q1106" s="1">
        <v>0</v>
      </c>
      <c r="R1106" s="1">
        <v>0</v>
      </c>
      <c r="S1106" s="1">
        <v>0</v>
      </c>
      <c r="T1106" s="1">
        <v>1412010</v>
      </c>
      <c r="U1106" s="1">
        <v>0</v>
      </c>
      <c r="V1106" s="1">
        <v>1848000</v>
      </c>
      <c r="W1106" s="1">
        <v>0</v>
      </c>
      <c r="X1106" s="1">
        <v>3555411</v>
      </c>
      <c r="Y1106" s="1">
        <v>4000000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1795041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4599236</v>
      </c>
      <c r="AO1106" s="1">
        <v>0</v>
      </c>
      <c r="AP1106" s="1">
        <v>0</v>
      </c>
      <c r="AQ1106" s="1">
        <v>0</v>
      </c>
      <c r="AR1106" s="1">
        <v>51770497</v>
      </c>
      <c r="AS1106" s="1">
        <v>13511637</v>
      </c>
      <c r="AT1106" s="1">
        <v>38258860</v>
      </c>
      <c r="AU1106" s="1">
        <v>10071697</v>
      </c>
      <c r="AV1106" s="1">
        <v>1510755</v>
      </c>
      <c r="AW1106" s="1">
        <f t="shared" si="116"/>
        <v>63352949</v>
      </c>
    </row>
    <row r="1107" spans="1:49" x14ac:dyDescent="0.2">
      <c r="A1107" s="1" t="str">
        <f>"01419"</f>
        <v>01419</v>
      </c>
      <c r="B1107" s="1" t="str">
        <f>"سيد عادل"</f>
        <v>سيد عادل</v>
      </c>
      <c r="C1107" s="1" t="str">
        <f>"هاشمي تنگستاني"</f>
        <v>هاشمي تنگستاني</v>
      </c>
      <c r="D1107" s="1" t="str">
        <f t="shared" si="114"/>
        <v>قراردادي بهره بردار</v>
      </c>
      <c r="E1107" s="1" t="str">
        <f t="shared" si="115"/>
        <v>پروژه بهره برداري نيروگاه بوشهر</v>
      </c>
      <c r="F1107" s="1">
        <v>12911242</v>
      </c>
      <c r="G1107" s="1">
        <v>0</v>
      </c>
      <c r="H1107" s="1">
        <v>0</v>
      </c>
      <c r="I1107" s="1">
        <v>4268001</v>
      </c>
      <c r="J1107" s="1">
        <v>0</v>
      </c>
      <c r="K1107" s="1">
        <v>6797902</v>
      </c>
      <c r="L1107" s="1">
        <v>0</v>
      </c>
      <c r="M1107" s="1">
        <v>4620000</v>
      </c>
      <c r="N1107" s="1">
        <v>0</v>
      </c>
      <c r="O1107" s="1">
        <v>1000000</v>
      </c>
      <c r="P1107" s="1">
        <v>2191133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3234421</v>
      </c>
      <c r="Y1107" s="1">
        <v>4000000</v>
      </c>
      <c r="Z1107" s="1">
        <v>1874213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1721604</v>
      </c>
      <c r="AH1107" s="1">
        <v>1835427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8722332</v>
      </c>
      <c r="AO1107" s="1">
        <v>0</v>
      </c>
      <c r="AP1107" s="1">
        <v>0</v>
      </c>
      <c r="AQ1107" s="1">
        <v>0</v>
      </c>
      <c r="AR1107" s="1">
        <v>53176275</v>
      </c>
      <c r="AS1107" s="1">
        <v>7784101</v>
      </c>
      <c r="AT1107" s="1">
        <v>45392174</v>
      </c>
      <c r="AU1107" s="1">
        <v>10268170</v>
      </c>
      <c r="AV1107" s="1">
        <v>1540225</v>
      </c>
      <c r="AW1107" s="1">
        <f t="shared" si="116"/>
        <v>64984670</v>
      </c>
    </row>
    <row r="1108" spans="1:49" x14ac:dyDescent="0.2">
      <c r="A1108" s="1" t="str">
        <f>"01420"</f>
        <v>01420</v>
      </c>
      <c r="B1108" s="1" t="str">
        <f>"اميد"</f>
        <v>اميد</v>
      </c>
      <c r="C1108" s="1" t="str">
        <f>"زارع گلستاني"</f>
        <v>زارع گلستاني</v>
      </c>
      <c r="D1108" s="1" t="str">
        <f t="shared" si="114"/>
        <v>قراردادي بهره بردار</v>
      </c>
      <c r="E1108" s="1" t="str">
        <f t="shared" si="115"/>
        <v>پروژه بهره برداري نيروگاه بوشهر</v>
      </c>
      <c r="F1108" s="1">
        <v>11533203</v>
      </c>
      <c r="G1108" s="1">
        <v>0</v>
      </c>
      <c r="H1108" s="1">
        <v>0</v>
      </c>
      <c r="I1108" s="1">
        <v>1616198</v>
      </c>
      <c r="J1108" s="1">
        <v>0</v>
      </c>
      <c r="K1108" s="1">
        <v>6018287</v>
      </c>
      <c r="L1108" s="1">
        <v>0</v>
      </c>
      <c r="M1108" s="1">
        <v>3465000</v>
      </c>
      <c r="N1108" s="1">
        <v>0</v>
      </c>
      <c r="O1108" s="1">
        <v>1000000</v>
      </c>
      <c r="P1108" s="1">
        <v>1841080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2974524</v>
      </c>
      <c r="Y1108" s="1">
        <v>4000000</v>
      </c>
      <c r="Z1108" s="1">
        <v>1674175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1446563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8906112</v>
      </c>
      <c r="AO1108" s="1">
        <v>0</v>
      </c>
      <c r="AP1108" s="1">
        <v>0</v>
      </c>
      <c r="AQ1108" s="1">
        <v>0</v>
      </c>
      <c r="AR1108" s="1">
        <v>44475142</v>
      </c>
      <c r="AS1108" s="1">
        <v>21315796</v>
      </c>
      <c r="AT1108" s="1">
        <v>23159346</v>
      </c>
      <c r="AU1108" s="1">
        <v>8895028</v>
      </c>
      <c r="AV1108" s="1">
        <v>1334254</v>
      </c>
      <c r="AW1108" s="1">
        <f t="shared" si="116"/>
        <v>54704424</v>
      </c>
    </row>
    <row r="1109" spans="1:49" x14ac:dyDescent="0.2">
      <c r="A1109" s="1" t="str">
        <f>"01421"</f>
        <v>01421</v>
      </c>
      <c r="B1109" s="1" t="str">
        <f>"ساسان"</f>
        <v>ساسان</v>
      </c>
      <c r="C1109" s="1" t="str">
        <f>"رحيمي"</f>
        <v>رحيمي</v>
      </c>
      <c r="D1109" s="1" t="str">
        <f t="shared" si="114"/>
        <v>قراردادي بهره بردار</v>
      </c>
      <c r="E1109" s="1" t="str">
        <f t="shared" si="115"/>
        <v>پروژه بهره برداري نيروگاه بوشهر</v>
      </c>
      <c r="F1109" s="1">
        <v>18498975</v>
      </c>
      <c r="G1109" s="1">
        <v>0</v>
      </c>
      <c r="H1109" s="1">
        <v>0</v>
      </c>
      <c r="I1109" s="1">
        <v>582586</v>
      </c>
      <c r="J1109" s="1">
        <v>0</v>
      </c>
      <c r="K1109" s="1">
        <v>9269275</v>
      </c>
      <c r="L1109" s="1">
        <v>0</v>
      </c>
      <c r="M1109" s="1">
        <v>4125000</v>
      </c>
      <c r="N1109" s="1">
        <v>0</v>
      </c>
      <c r="O1109" s="1">
        <v>1000000</v>
      </c>
      <c r="P1109" s="1">
        <v>2810997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1848000</v>
      </c>
      <c r="W1109" s="1">
        <v>0</v>
      </c>
      <c r="X1109" s="1">
        <v>3752764</v>
      </c>
      <c r="Y1109" s="1">
        <v>4000000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2208642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4739748</v>
      </c>
      <c r="AO1109" s="1">
        <v>0</v>
      </c>
      <c r="AP1109" s="1">
        <v>0</v>
      </c>
      <c r="AQ1109" s="1">
        <v>0</v>
      </c>
      <c r="AR1109" s="1">
        <v>52835987</v>
      </c>
      <c r="AS1109" s="1">
        <v>17685831</v>
      </c>
      <c r="AT1109" s="1">
        <v>35150156</v>
      </c>
      <c r="AU1109" s="1">
        <v>10567197</v>
      </c>
      <c r="AV1109" s="1">
        <v>1585080</v>
      </c>
      <c r="AW1109" s="1">
        <f t="shared" si="116"/>
        <v>64988264</v>
      </c>
    </row>
    <row r="1110" spans="1:49" x14ac:dyDescent="0.2">
      <c r="A1110" s="1" t="str">
        <f>"01423"</f>
        <v>01423</v>
      </c>
      <c r="B1110" s="1" t="str">
        <f>"عليرضا"</f>
        <v>عليرضا</v>
      </c>
      <c r="C1110" s="1" t="str">
        <f>"حاجياني"</f>
        <v>حاجياني</v>
      </c>
      <c r="D1110" s="1" t="str">
        <f t="shared" si="114"/>
        <v>قراردادي بهره بردار</v>
      </c>
      <c r="E1110" s="1" t="str">
        <f t="shared" si="115"/>
        <v>پروژه بهره برداري نيروگاه بوشهر</v>
      </c>
      <c r="F1110" s="1">
        <v>11984152</v>
      </c>
      <c r="G1110" s="1">
        <v>0</v>
      </c>
      <c r="H1110" s="1">
        <v>0</v>
      </c>
      <c r="I1110" s="1">
        <v>2900148</v>
      </c>
      <c r="J1110" s="1">
        <v>0</v>
      </c>
      <c r="K1110" s="1">
        <v>7133733</v>
      </c>
      <c r="L1110" s="1">
        <v>0</v>
      </c>
      <c r="M1110" s="1">
        <v>3465000</v>
      </c>
      <c r="N1110" s="1">
        <v>0</v>
      </c>
      <c r="O1110" s="1">
        <v>1000000</v>
      </c>
      <c r="P1110" s="1">
        <v>1703529</v>
      </c>
      <c r="Q1110" s="1">
        <v>0</v>
      </c>
      <c r="R1110" s="1">
        <v>0</v>
      </c>
      <c r="S1110" s="1">
        <v>0</v>
      </c>
      <c r="T1110" s="1">
        <v>16493054</v>
      </c>
      <c r="U1110" s="1">
        <v>0</v>
      </c>
      <c r="V1110" s="1">
        <v>1848000</v>
      </c>
      <c r="W1110" s="1">
        <v>0</v>
      </c>
      <c r="X1110" s="1">
        <v>2874073</v>
      </c>
      <c r="Y1110" s="1">
        <v>4000000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1338486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6580829</v>
      </c>
      <c r="AO1110" s="1">
        <v>0</v>
      </c>
      <c r="AP1110" s="1">
        <v>0</v>
      </c>
      <c r="AQ1110" s="1">
        <v>0</v>
      </c>
      <c r="AR1110" s="1">
        <v>61321004</v>
      </c>
      <c r="AS1110" s="1">
        <v>4208157</v>
      </c>
      <c r="AT1110" s="1">
        <v>57112847</v>
      </c>
      <c r="AU1110" s="1">
        <v>8965590</v>
      </c>
      <c r="AV1110" s="1">
        <v>1344839</v>
      </c>
      <c r="AW1110" s="1">
        <f t="shared" si="116"/>
        <v>71631433</v>
      </c>
    </row>
    <row r="1111" spans="1:49" x14ac:dyDescent="0.2">
      <c r="A1111" s="1" t="str">
        <f>"01424"</f>
        <v>01424</v>
      </c>
      <c r="B1111" s="1" t="str">
        <f>"سيد سجاد"</f>
        <v>سيد سجاد</v>
      </c>
      <c r="C1111" s="1" t="str">
        <f>"نعمت اللهي"</f>
        <v>نعمت اللهي</v>
      </c>
      <c r="D1111" s="1" t="str">
        <f t="shared" si="114"/>
        <v>قراردادي بهره بردار</v>
      </c>
      <c r="E1111" s="1" t="str">
        <f t="shared" si="115"/>
        <v>پروژه بهره برداري نيروگاه بوشهر</v>
      </c>
      <c r="F1111" s="1">
        <v>12064768</v>
      </c>
      <c r="G1111" s="1">
        <v>0</v>
      </c>
      <c r="H1111" s="1">
        <v>0</v>
      </c>
      <c r="I1111" s="1">
        <v>839678</v>
      </c>
      <c r="J1111" s="1">
        <v>0</v>
      </c>
      <c r="K1111" s="1">
        <v>6331957</v>
      </c>
      <c r="L1111" s="1">
        <v>0</v>
      </c>
      <c r="M1111" s="1">
        <v>3465000</v>
      </c>
      <c r="N1111" s="1">
        <v>0</v>
      </c>
      <c r="O1111" s="1">
        <v>1000000</v>
      </c>
      <c r="P1111" s="1">
        <v>2027128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1848000</v>
      </c>
      <c r="W1111" s="1">
        <v>0</v>
      </c>
      <c r="X1111" s="1">
        <v>2704417</v>
      </c>
      <c r="Y1111" s="1">
        <v>4000000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1592744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5027575</v>
      </c>
      <c r="AO1111" s="1">
        <v>0</v>
      </c>
      <c r="AP1111" s="1">
        <v>0</v>
      </c>
      <c r="AQ1111" s="1">
        <v>0</v>
      </c>
      <c r="AR1111" s="1">
        <v>40901267</v>
      </c>
      <c r="AS1111" s="1">
        <v>14949232</v>
      </c>
      <c r="AT1111" s="1">
        <v>25952035</v>
      </c>
      <c r="AU1111" s="1">
        <v>8180253</v>
      </c>
      <c r="AV1111" s="1">
        <v>1227038</v>
      </c>
      <c r="AW1111" s="1">
        <f t="shared" si="116"/>
        <v>50308558</v>
      </c>
    </row>
    <row r="1112" spans="1:49" x14ac:dyDescent="0.2">
      <c r="A1112" s="1" t="str">
        <f>"01425"</f>
        <v>01425</v>
      </c>
      <c r="B1112" s="1" t="str">
        <f>"اشکان"</f>
        <v>اشکان</v>
      </c>
      <c r="C1112" s="1" t="str">
        <f>"احمدي دوقزلو"</f>
        <v>احمدي دوقزلو</v>
      </c>
      <c r="D1112" s="1" t="str">
        <f t="shared" si="114"/>
        <v>قراردادي بهره بردار</v>
      </c>
      <c r="E1112" s="1" t="str">
        <f t="shared" si="115"/>
        <v>پروژه بهره برداري نيروگاه بوشهر</v>
      </c>
      <c r="F1112" s="1">
        <v>11021792</v>
      </c>
      <c r="G1112" s="1">
        <v>0</v>
      </c>
      <c r="H1112" s="1">
        <v>0</v>
      </c>
      <c r="I1112" s="1">
        <v>3942414</v>
      </c>
      <c r="J1112" s="1">
        <v>0</v>
      </c>
      <c r="K1112" s="1">
        <v>5595551</v>
      </c>
      <c r="L1112" s="1">
        <v>0</v>
      </c>
      <c r="M1112" s="1">
        <v>4620000</v>
      </c>
      <c r="N1112" s="1">
        <v>0</v>
      </c>
      <c r="O1112" s="1">
        <v>1000000</v>
      </c>
      <c r="P1112" s="1">
        <v>1662087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2821699</v>
      </c>
      <c r="Y1112" s="1">
        <v>4000000</v>
      </c>
      <c r="Z1112" s="1">
        <v>1599938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1305925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8631638</v>
      </c>
      <c r="AO1112" s="1">
        <v>0</v>
      </c>
      <c r="AP1112" s="1">
        <v>0</v>
      </c>
      <c r="AQ1112" s="1">
        <v>0</v>
      </c>
      <c r="AR1112" s="1">
        <v>46201044</v>
      </c>
      <c r="AS1112" s="1">
        <v>19300318</v>
      </c>
      <c r="AT1112" s="1">
        <v>26900726</v>
      </c>
      <c r="AU1112" s="1">
        <v>9240209</v>
      </c>
      <c r="AV1112" s="1">
        <v>1386031</v>
      </c>
      <c r="AW1112" s="1">
        <f t="shared" si="116"/>
        <v>56827284</v>
      </c>
    </row>
    <row r="1113" spans="1:49" x14ac:dyDescent="0.2">
      <c r="A1113" s="1" t="str">
        <f>"01426"</f>
        <v>01426</v>
      </c>
      <c r="B1113" s="1" t="str">
        <f>"مصيب"</f>
        <v>مصيب</v>
      </c>
      <c r="C1113" s="1" t="str">
        <f>"اسدي"</f>
        <v>اسدي</v>
      </c>
      <c r="D1113" s="1" t="str">
        <f t="shared" ref="D1113:D1122" si="117">"قراردادي کارگري"</f>
        <v>قراردادي کارگري</v>
      </c>
      <c r="E1113" s="1" t="str">
        <f t="shared" ref="E1113:E1123" si="118">"پروژه تعميرات نيروگاه بوشهر"</f>
        <v>پروژه تعميرات نيروگاه بوشهر</v>
      </c>
      <c r="F1113" s="1">
        <v>0</v>
      </c>
      <c r="G1113" s="1">
        <v>6302523</v>
      </c>
      <c r="H1113" s="1">
        <v>3151262</v>
      </c>
      <c r="I1113" s="1">
        <v>0</v>
      </c>
      <c r="J1113" s="1">
        <v>0</v>
      </c>
      <c r="K1113" s="1">
        <v>5672270</v>
      </c>
      <c r="L1113" s="1">
        <v>0</v>
      </c>
      <c r="M1113" s="1">
        <v>0</v>
      </c>
      <c r="N1113" s="1">
        <v>11331151</v>
      </c>
      <c r="O1113" s="1">
        <v>2000000</v>
      </c>
      <c r="P1113" s="1">
        <v>5042019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2640000</v>
      </c>
      <c r="W1113" s="1">
        <v>0</v>
      </c>
      <c r="X1113" s="1">
        <v>7162853</v>
      </c>
      <c r="Y1113" s="1">
        <v>4000000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47302078</v>
      </c>
      <c r="AS1113" s="1">
        <v>4715839</v>
      </c>
      <c r="AT1113" s="1">
        <v>42586239</v>
      </c>
      <c r="AU1113" s="1">
        <v>9460416</v>
      </c>
      <c r="AV1113" s="1">
        <v>1419062</v>
      </c>
      <c r="AW1113" s="1">
        <f t="shared" si="116"/>
        <v>58181556</v>
      </c>
    </row>
    <row r="1114" spans="1:49" x14ac:dyDescent="0.2">
      <c r="A1114" s="1" t="str">
        <f>"01428"</f>
        <v>01428</v>
      </c>
      <c r="B1114" s="1" t="str">
        <f>"فاطمه"</f>
        <v>فاطمه</v>
      </c>
      <c r="C1114" s="1" t="str">
        <f>"صفري كشكولي"</f>
        <v>صفري كشكولي</v>
      </c>
      <c r="D1114" s="1" t="str">
        <f t="shared" si="117"/>
        <v>قراردادي کارگري</v>
      </c>
      <c r="E1114" s="1" t="str">
        <f t="shared" si="118"/>
        <v>پروژه تعميرات نيروگاه بوشهر</v>
      </c>
      <c r="F1114" s="1">
        <v>0</v>
      </c>
      <c r="G1114" s="1">
        <v>8374323</v>
      </c>
      <c r="H1114" s="1">
        <v>4187162</v>
      </c>
      <c r="I1114" s="1">
        <v>6432652</v>
      </c>
      <c r="J1114" s="1">
        <v>0</v>
      </c>
      <c r="K1114" s="1">
        <v>10049188</v>
      </c>
      <c r="L1114" s="1">
        <v>0</v>
      </c>
      <c r="M1114" s="1">
        <v>0</v>
      </c>
      <c r="N1114" s="1">
        <v>10725101</v>
      </c>
      <c r="O1114" s="1">
        <v>2000000</v>
      </c>
      <c r="P1114" s="1">
        <v>7536891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2640000</v>
      </c>
      <c r="W1114" s="1">
        <v>0</v>
      </c>
      <c r="X1114" s="1">
        <v>4707266</v>
      </c>
      <c r="Y1114" s="1">
        <v>4000000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60652583</v>
      </c>
      <c r="AS1114" s="1">
        <v>6891971</v>
      </c>
      <c r="AT1114" s="1">
        <v>53760612</v>
      </c>
      <c r="AU1114" s="1">
        <v>12130517</v>
      </c>
      <c r="AV1114" s="1">
        <v>1819577</v>
      </c>
      <c r="AW1114" s="1">
        <f t="shared" si="116"/>
        <v>74602677</v>
      </c>
    </row>
    <row r="1115" spans="1:49" x14ac:dyDescent="0.2">
      <c r="A1115" s="1" t="str">
        <f>"01429"</f>
        <v>01429</v>
      </c>
      <c r="B1115" s="1" t="str">
        <f>"پدرام"</f>
        <v>پدرام</v>
      </c>
      <c r="C1115" s="1" t="str">
        <f>"بناوي"</f>
        <v>بناوي</v>
      </c>
      <c r="D1115" s="1" t="str">
        <f t="shared" si="117"/>
        <v>قراردادي کارگري</v>
      </c>
      <c r="E1115" s="1" t="str">
        <f t="shared" si="118"/>
        <v>پروژه تعميرات نيروگاه بوشهر</v>
      </c>
      <c r="F1115" s="1">
        <v>0</v>
      </c>
      <c r="G1115" s="1">
        <v>4187645</v>
      </c>
      <c r="H1115" s="1">
        <v>2093823</v>
      </c>
      <c r="I1115" s="1">
        <v>0</v>
      </c>
      <c r="J1115" s="1">
        <v>0</v>
      </c>
      <c r="K1115" s="1">
        <v>3768881</v>
      </c>
      <c r="L1115" s="1">
        <v>0</v>
      </c>
      <c r="M1115" s="1">
        <v>0</v>
      </c>
      <c r="N1115" s="1">
        <v>9668221</v>
      </c>
      <c r="O1115" s="1">
        <v>2000000</v>
      </c>
      <c r="P1115" s="1">
        <v>3350116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2640000</v>
      </c>
      <c r="W1115" s="1">
        <v>0</v>
      </c>
      <c r="X1115" s="1">
        <v>2926869</v>
      </c>
      <c r="Y1115" s="1">
        <v>4000000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34635555</v>
      </c>
      <c r="AS1115" s="1">
        <v>5496489</v>
      </c>
      <c r="AT1115" s="1">
        <v>29139066</v>
      </c>
      <c r="AU1115" s="1">
        <v>6927111</v>
      </c>
      <c r="AV1115" s="1">
        <v>1039067</v>
      </c>
      <c r="AW1115" s="1">
        <f t="shared" si="116"/>
        <v>42601733</v>
      </c>
    </row>
    <row r="1116" spans="1:49" x14ac:dyDescent="0.2">
      <c r="A1116" s="1" t="str">
        <f>"01430"</f>
        <v>01430</v>
      </c>
      <c r="B1116" s="1" t="str">
        <f>"وحيد"</f>
        <v>وحيد</v>
      </c>
      <c r="C1116" s="1" t="str">
        <f>"تقي پور"</f>
        <v>تقي پور</v>
      </c>
      <c r="D1116" s="1" t="str">
        <f t="shared" si="117"/>
        <v>قراردادي کارگري</v>
      </c>
      <c r="E1116" s="1" t="str">
        <f t="shared" si="118"/>
        <v>پروژه تعميرات نيروگاه بوشهر</v>
      </c>
      <c r="F1116" s="1">
        <v>0</v>
      </c>
      <c r="G1116" s="1">
        <v>4575997</v>
      </c>
      <c r="H1116" s="1">
        <v>2287998</v>
      </c>
      <c r="I1116" s="1">
        <v>0</v>
      </c>
      <c r="J1116" s="1">
        <v>0</v>
      </c>
      <c r="K1116" s="1">
        <v>4118398</v>
      </c>
      <c r="L1116" s="1">
        <v>0</v>
      </c>
      <c r="M1116" s="1">
        <v>0</v>
      </c>
      <c r="N1116" s="1">
        <v>9668221</v>
      </c>
      <c r="O1116" s="1">
        <v>2000000</v>
      </c>
      <c r="P1116" s="1">
        <v>3660797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2640000</v>
      </c>
      <c r="W1116" s="1">
        <v>0</v>
      </c>
      <c r="X1116" s="1">
        <v>3051141</v>
      </c>
      <c r="Y1116" s="1">
        <v>4000000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1835427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37837979</v>
      </c>
      <c r="AS1116" s="1">
        <v>5592179</v>
      </c>
      <c r="AT1116" s="1">
        <v>32245800</v>
      </c>
      <c r="AU1116" s="1">
        <v>7200510</v>
      </c>
      <c r="AV1116" s="1">
        <v>1080077</v>
      </c>
      <c r="AW1116" s="1">
        <f t="shared" si="116"/>
        <v>46118566</v>
      </c>
    </row>
    <row r="1117" spans="1:49" x14ac:dyDescent="0.2">
      <c r="A1117" s="1" t="str">
        <f>"01431"</f>
        <v>01431</v>
      </c>
      <c r="B1117" s="1" t="str">
        <f>"حسين"</f>
        <v>حسين</v>
      </c>
      <c r="C1117" s="1" t="str">
        <f>"رئيسي پور"</f>
        <v>رئيسي پور</v>
      </c>
      <c r="D1117" s="1" t="str">
        <f t="shared" si="117"/>
        <v>قراردادي کارگري</v>
      </c>
      <c r="E1117" s="1" t="str">
        <f t="shared" si="118"/>
        <v>پروژه تعميرات نيروگاه بوشهر</v>
      </c>
      <c r="F1117" s="1">
        <v>0</v>
      </c>
      <c r="G1117" s="1">
        <v>4295261</v>
      </c>
      <c r="H1117" s="1">
        <v>2147630</v>
      </c>
      <c r="I1117" s="1">
        <v>0</v>
      </c>
      <c r="J1117" s="1">
        <v>0</v>
      </c>
      <c r="K1117" s="1">
        <v>3865735</v>
      </c>
      <c r="L1117" s="1">
        <v>0</v>
      </c>
      <c r="M1117" s="1">
        <v>0</v>
      </c>
      <c r="N1117" s="1">
        <v>9668221</v>
      </c>
      <c r="O1117" s="1">
        <v>2000000</v>
      </c>
      <c r="P1117" s="1">
        <v>3436208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2640000</v>
      </c>
      <c r="W1117" s="1">
        <v>0</v>
      </c>
      <c r="X1117" s="1">
        <v>2961306</v>
      </c>
      <c r="Y1117" s="1">
        <v>4000000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1835427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36849788</v>
      </c>
      <c r="AS1117" s="1">
        <v>2451005</v>
      </c>
      <c r="AT1117" s="1">
        <v>34398783</v>
      </c>
      <c r="AU1117" s="1">
        <v>7002872</v>
      </c>
      <c r="AV1117" s="1">
        <v>1050431</v>
      </c>
      <c r="AW1117" s="1">
        <f t="shared" si="116"/>
        <v>44903091</v>
      </c>
    </row>
    <row r="1118" spans="1:49" x14ac:dyDescent="0.2">
      <c r="A1118" s="1" t="str">
        <f>"01432"</f>
        <v>01432</v>
      </c>
      <c r="B1118" s="1" t="str">
        <f>"يوسف"</f>
        <v>يوسف</v>
      </c>
      <c r="C1118" s="1" t="str">
        <f>"زنگنه"</f>
        <v>زنگنه</v>
      </c>
      <c r="D1118" s="1" t="str">
        <f t="shared" si="117"/>
        <v>قراردادي کارگري</v>
      </c>
      <c r="E1118" s="1" t="str">
        <f t="shared" si="118"/>
        <v>پروژه تعميرات نيروگاه بوشهر</v>
      </c>
      <c r="F1118" s="1">
        <v>0</v>
      </c>
      <c r="G1118" s="1">
        <v>5043890</v>
      </c>
      <c r="H1118" s="1">
        <v>2521945</v>
      </c>
      <c r="I1118" s="1">
        <v>0</v>
      </c>
      <c r="J1118" s="1">
        <v>0</v>
      </c>
      <c r="K1118" s="1">
        <v>4539502</v>
      </c>
      <c r="L1118" s="1">
        <v>0</v>
      </c>
      <c r="M1118" s="1">
        <v>0</v>
      </c>
      <c r="N1118" s="1">
        <v>9668221</v>
      </c>
      <c r="O1118" s="1">
        <v>2000000</v>
      </c>
      <c r="P1118" s="1">
        <v>4035112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2640000</v>
      </c>
      <c r="W1118" s="1">
        <v>0</v>
      </c>
      <c r="X1118" s="1">
        <v>3200867</v>
      </c>
      <c r="Y1118" s="1">
        <v>4000000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1835427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39484964</v>
      </c>
      <c r="AS1118" s="1">
        <v>5707468</v>
      </c>
      <c r="AT1118" s="1">
        <v>33777496</v>
      </c>
      <c r="AU1118" s="1">
        <v>7529907</v>
      </c>
      <c r="AV1118" s="1">
        <v>1129486</v>
      </c>
      <c r="AW1118" s="1">
        <f t="shared" si="116"/>
        <v>48144357</v>
      </c>
    </row>
    <row r="1119" spans="1:49" x14ac:dyDescent="0.2">
      <c r="A1119" s="1" t="str">
        <f>"01433"</f>
        <v>01433</v>
      </c>
      <c r="B1119" s="1" t="str">
        <f>"امير رضا"</f>
        <v>امير رضا</v>
      </c>
      <c r="C1119" s="1" t="str">
        <f>"عطايي"</f>
        <v>عطايي</v>
      </c>
      <c r="D1119" s="1" t="str">
        <f t="shared" si="117"/>
        <v>قراردادي کارگري</v>
      </c>
      <c r="E1119" s="1" t="str">
        <f t="shared" si="118"/>
        <v>پروژه تعميرات نيروگاه بوشهر</v>
      </c>
      <c r="F1119" s="1">
        <v>0</v>
      </c>
      <c r="G1119" s="1">
        <v>4126819</v>
      </c>
      <c r="H1119" s="1">
        <v>2063410</v>
      </c>
      <c r="I1119" s="1">
        <v>0</v>
      </c>
      <c r="J1119" s="1">
        <v>0</v>
      </c>
      <c r="K1119" s="1">
        <v>3714137</v>
      </c>
      <c r="L1119" s="1">
        <v>0</v>
      </c>
      <c r="M1119" s="1">
        <v>0</v>
      </c>
      <c r="N1119" s="1">
        <v>9668221</v>
      </c>
      <c r="O1119" s="1">
        <v>2000000</v>
      </c>
      <c r="P1119" s="1">
        <v>3301456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2640000</v>
      </c>
      <c r="W1119" s="1">
        <v>0</v>
      </c>
      <c r="X1119" s="1">
        <v>2907404</v>
      </c>
      <c r="Y1119" s="1">
        <v>4000000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34421447</v>
      </c>
      <c r="AS1119" s="1">
        <v>5481501</v>
      </c>
      <c r="AT1119" s="1">
        <v>28939946</v>
      </c>
      <c r="AU1119" s="1">
        <v>6884289</v>
      </c>
      <c r="AV1119" s="1">
        <v>1032643</v>
      </c>
      <c r="AW1119" s="1">
        <f t="shared" si="116"/>
        <v>42338379</v>
      </c>
    </row>
    <row r="1120" spans="1:49" x14ac:dyDescent="0.2">
      <c r="A1120" s="1" t="str">
        <f>"01434"</f>
        <v>01434</v>
      </c>
      <c r="B1120" s="1" t="str">
        <f>"مجتبي"</f>
        <v>مجتبي</v>
      </c>
      <c r="C1120" s="1" t="str">
        <f>"محمدي نژاد"</f>
        <v>محمدي نژاد</v>
      </c>
      <c r="D1120" s="1" t="str">
        <f t="shared" si="117"/>
        <v>قراردادي کارگري</v>
      </c>
      <c r="E1120" s="1" t="str">
        <f t="shared" si="118"/>
        <v>پروژه تعميرات نيروگاه بوشهر</v>
      </c>
      <c r="F1120" s="1">
        <v>0</v>
      </c>
      <c r="G1120" s="1">
        <v>4622786</v>
      </c>
      <c r="H1120" s="1">
        <v>2311393</v>
      </c>
      <c r="I1120" s="1">
        <v>6021586</v>
      </c>
      <c r="J1120" s="1">
        <v>0</v>
      </c>
      <c r="K1120" s="1">
        <v>4160508</v>
      </c>
      <c r="L1120" s="1">
        <v>0</v>
      </c>
      <c r="M1120" s="1">
        <v>0</v>
      </c>
      <c r="N1120" s="1">
        <v>9668221</v>
      </c>
      <c r="O1120" s="1">
        <v>2000000</v>
      </c>
      <c r="P1120" s="1">
        <v>3698229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2640000</v>
      </c>
      <c r="W1120" s="1">
        <v>0</v>
      </c>
      <c r="X1120" s="1">
        <v>3066114</v>
      </c>
      <c r="Y1120" s="1">
        <v>4000000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42188837</v>
      </c>
      <c r="AS1120" s="1">
        <v>5113219</v>
      </c>
      <c r="AT1120" s="1">
        <v>37075618</v>
      </c>
      <c r="AU1120" s="1">
        <v>8437767</v>
      </c>
      <c r="AV1120" s="1">
        <v>1265665</v>
      </c>
      <c r="AW1120" s="1">
        <f t="shared" si="116"/>
        <v>51892269</v>
      </c>
    </row>
    <row r="1121" spans="1:49" x14ac:dyDescent="0.2">
      <c r="A1121" s="1" t="str">
        <f>"01435"</f>
        <v>01435</v>
      </c>
      <c r="B1121" s="1" t="str">
        <f>"عادل"</f>
        <v>عادل</v>
      </c>
      <c r="C1121" s="1" t="str">
        <f>"بازدارنيا"</f>
        <v>بازدارنيا</v>
      </c>
      <c r="D1121" s="1" t="str">
        <f t="shared" si="117"/>
        <v>قراردادي کارگري</v>
      </c>
      <c r="E1121" s="1" t="str">
        <f t="shared" si="118"/>
        <v>پروژه تعميرات نيروگاه بوشهر</v>
      </c>
      <c r="F1121" s="1">
        <v>0</v>
      </c>
      <c r="G1121" s="1">
        <v>4187645</v>
      </c>
      <c r="H1121" s="1">
        <v>2093823</v>
      </c>
      <c r="I1121" s="1">
        <v>0</v>
      </c>
      <c r="J1121" s="1">
        <v>0</v>
      </c>
      <c r="K1121" s="1">
        <v>3768881</v>
      </c>
      <c r="L1121" s="1">
        <v>0</v>
      </c>
      <c r="M1121" s="1">
        <v>0</v>
      </c>
      <c r="N1121" s="1">
        <v>9668221</v>
      </c>
      <c r="O1121" s="1">
        <v>2000000</v>
      </c>
      <c r="P1121" s="1">
        <v>3350116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2640000</v>
      </c>
      <c r="W1121" s="1">
        <v>0</v>
      </c>
      <c r="X1121" s="1">
        <v>2926869</v>
      </c>
      <c r="Y1121" s="1">
        <v>4000000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34635555</v>
      </c>
      <c r="AS1121" s="1">
        <v>4406054</v>
      </c>
      <c r="AT1121" s="1">
        <v>30229501</v>
      </c>
      <c r="AU1121" s="1">
        <v>6927111</v>
      </c>
      <c r="AV1121" s="1">
        <v>1039067</v>
      </c>
      <c r="AW1121" s="1">
        <f t="shared" si="116"/>
        <v>42601733</v>
      </c>
    </row>
    <row r="1122" spans="1:49" x14ac:dyDescent="0.2">
      <c r="A1122" s="1" t="str">
        <f>"01436"</f>
        <v>01436</v>
      </c>
      <c r="B1122" s="1" t="str">
        <f>"محمدصادق"</f>
        <v>محمدصادق</v>
      </c>
      <c r="C1122" s="1" t="str">
        <f>"جعفري"</f>
        <v>جعفري</v>
      </c>
      <c r="D1122" s="1" t="str">
        <f t="shared" si="117"/>
        <v>قراردادي کارگري</v>
      </c>
      <c r="E1122" s="1" t="str">
        <f t="shared" si="118"/>
        <v>پروژه تعميرات نيروگاه بوشهر</v>
      </c>
      <c r="F1122" s="1">
        <v>0</v>
      </c>
      <c r="G1122" s="1">
        <v>4131498</v>
      </c>
      <c r="H1122" s="1">
        <v>2065749</v>
      </c>
      <c r="I1122" s="1">
        <v>0</v>
      </c>
      <c r="J1122" s="1">
        <v>0</v>
      </c>
      <c r="K1122" s="1">
        <v>3718349</v>
      </c>
      <c r="L1122" s="1">
        <v>0</v>
      </c>
      <c r="M1122" s="1">
        <v>0</v>
      </c>
      <c r="N1122" s="1">
        <v>9668221</v>
      </c>
      <c r="O1122" s="1">
        <v>2000000</v>
      </c>
      <c r="P1122" s="1">
        <v>3305198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2640000</v>
      </c>
      <c r="W1122" s="1">
        <v>0</v>
      </c>
      <c r="X1122" s="1">
        <v>2908902</v>
      </c>
      <c r="Y1122" s="1">
        <v>4000000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34437917</v>
      </c>
      <c r="AS1122" s="1">
        <v>4570654</v>
      </c>
      <c r="AT1122" s="1">
        <v>29867263</v>
      </c>
      <c r="AU1122" s="1">
        <v>6887583</v>
      </c>
      <c r="AV1122" s="1">
        <v>1033138</v>
      </c>
      <c r="AW1122" s="1">
        <f t="shared" si="116"/>
        <v>42358638</v>
      </c>
    </row>
    <row r="1123" spans="1:49" x14ac:dyDescent="0.2">
      <c r="A1123" s="1" t="str">
        <f>"01437"</f>
        <v>01437</v>
      </c>
      <c r="B1123" s="1" t="str">
        <f>"مصطفي"</f>
        <v>مصطفي</v>
      </c>
      <c r="C1123" s="1" t="str">
        <f>"نريماني"</f>
        <v>نريماني</v>
      </c>
      <c r="D1123" s="1" t="str">
        <f t="shared" ref="D1123:D1142" si="119">"قراردادي بهره بردار"</f>
        <v>قراردادي بهره بردار</v>
      </c>
      <c r="E1123" s="1" t="str">
        <f t="shared" si="118"/>
        <v>پروژه تعميرات نيروگاه بوشهر</v>
      </c>
      <c r="F1123" s="1">
        <v>15518683</v>
      </c>
      <c r="G1123" s="1">
        <v>0</v>
      </c>
      <c r="H1123" s="1">
        <v>0</v>
      </c>
      <c r="I1123" s="1">
        <v>0</v>
      </c>
      <c r="J1123" s="1">
        <v>0</v>
      </c>
      <c r="K1123" s="1">
        <v>9621894</v>
      </c>
      <c r="L1123" s="1">
        <v>0</v>
      </c>
      <c r="M1123" s="1">
        <v>0</v>
      </c>
      <c r="N1123" s="1">
        <v>0</v>
      </c>
      <c r="O1123" s="1">
        <v>1000000</v>
      </c>
      <c r="P1123" s="1">
        <v>1979514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1848000</v>
      </c>
      <c r="W1123" s="1">
        <v>0</v>
      </c>
      <c r="X1123" s="1">
        <v>3232962</v>
      </c>
      <c r="Y1123" s="1">
        <v>4000000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1555332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3654196</v>
      </c>
      <c r="AO1123" s="1">
        <v>0</v>
      </c>
      <c r="AP1123" s="1">
        <v>0</v>
      </c>
      <c r="AQ1123" s="1">
        <v>0</v>
      </c>
      <c r="AR1123" s="1">
        <v>42410581</v>
      </c>
      <c r="AS1123" s="1">
        <v>9668079</v>
      </c>
      <c r="AT1123" s="1">
        <v>32742502</v>
      </c>
      <c r="AU1123" s="1">
        <v>8482116</v>
      </c>
      <c r="AV1123" s="1">
        <v>1272317</v>
      </c>
      <c r="AW1123" s="1">
        <f t="shared" si="116"/>
        <v>52165014</v>
      </c>
    </row>
    <row r="1124" spans="1:49" x14ac:dyDescent="0.2">
      <c r="A1124" s="1" t="str">
        <f>"01438"</f>
        <v>01438</v>
      </c>
      <c r="B1124" s="1" t="str">
        <f>"عادل"</f>
        <v>عادل</v>
      </c>
      <c r="C1124" s="1" t="str">
        <f>"شامي"</f>
        <v>شامي</v>
      </c>
      <c r="D1124" s="1" t="str">
        <f t="shared" si="119"/>
        <v>قراردادي بهره بردار</v>
      </c>
      <c r="E1124" s="1" t="str">
        <f>"پروژه دفتر مركزي"</f>
        <v>پروژه دفتر مركزي</v>
      </c>
      <c r="F1124" s="1">
        <v>31798184</v>
      </c>
      <c r="G1124" s="1">
        <v>0</v>
      </c>
      <c r="H1124" s="1">
        <v>0</v>
      </c>
      <c r="I1124" s="1">
        <v>25808309</v>
      </c>
      <c r="J1124" s="1">
        <v>0</v>
      </c>
      <c r="K1124" s="1">
        <v>25586136</v>
      </c>
      <c r="L1124" s="1">
        <v>0</v>
      </c>
      <c r="M1124" s="1">
        <v>0</v>
      </c>
      <c r="N1124" s="1">
        <v>0</v>
      </c>
      <c r="O1124" s="1">
        <v>1000000</v>
      </c>
      <c r="P1124" s="1">
        <v>0</v>
      </c>
      <c r="Q1124" s="1">
        <v>0</v>
      </c>
      <c r="R1124" s="1">
        <v>1600000</v>
      </c>
      <c r="S1124" s="1">
        <v>0</v>
      </c>
      <c r="T1124" s="1">
        <v>0</v>
      </c>
      <c r="U1124" s="1">
        <v>0</v>
      </c>
      <c r="V1124" s="1">
        <v>2880000</v>
      </c>
      <c r="W1124" s="1">
        <v>0</v>
      </c>
      <c r="X1124" s="1">
        <v>6785540</v>
      </c>
      <c r="Y1124" s="1">
        <v>4000000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4459102</v>
      </c>
      <c r="AF1124" s="1">
        <v>0</v>
      </c>
      <c r="AG1124" s="1">
        <v>0</v>
      </c>
      <c r="AH1124" s="1">
        <v>1835427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6011978</v>
      </c>
      <c r="AO1124" s="1">
        <v>0</v>
      </c>
      <c r="AP1124" s="1">
        <v>0</v>
      </c>
      <c r="AQ1124" s="1">
        <v>0</v>
      </c>
      <c r="AR1124" s="1">
        <v>111764676</v>
      </c>
      <c r="AS1124" s="1">
        <v>41894204</v>
      </c>
      <c r="AT1124" s="1">
        <v>69870472</v>
      </c>
      <c r="AU1124" s="1">
        <v>21985850</v>
      </c>
      <c r="AV1124" s="1">
        <v>3297877</v>
      </c>
      <c r="AW1124" s="1">
        <f t="shared" si="116"/>
        <v>137048403</v>
      </c>
    </row>
    <row r="1125" spans="1:49" x14ac:dyDescent="0.2">
      <c r="A1125" s="1" t="str">
        <f>"01439"</f>
        <v>01439</v>
      </c>
      <c r="B1125" s="1" t="str">
        <f>"امين"</f>
        <v>امين</v>
      </c>
      <c r="C1125" s="1" t="str">
        <f>"کشاورزي"</f>
        <v>کشاورزي</v>
      </c>
      <c r="D1125" s="1" t="str">
        <f t="shared" si="119"/>
        <v>قراردادي بهره بردار</v>
      </c>
      <c r="E1125" s="1" t="str">
        <f t="shared" ref="E1125:E1142" si="120">"پروژه بهره برداري نيروگاه بوشهر"</f>
        <v>پروژه بهره برداري نيروگاه بوشهر</v>
      </c>
      <c r="F1125" s="1">
        <v>17151167</v>
      </c>
      <c r="G1125" s="1">
        <v>0</v>
      </c>
      <c r="H1125" s="1">
        <v>0</v>
      </c>
      <c r="I1125" s="1">
        <v>0</v>
      </c>
      <c r="J1125" s="1">
        <v>0</v>
      </c>
      <c r="K1125" s="1">
        <v>10937180</v>
      </c>
      <c r="L1125" s="1">
        <v>0</v>
      </c>
      <c r="M1125" s="1">
        <v>5500000</v>
      </c>
      <c r="N1125" s="1">
        <v>0</v>
      </c>
      <c r="O1125" s="1">
        <v>1000000</v>
      </c>
      <c r="P1125" s="1">
        <v>2339265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1848000</v>
      </c>
      <c r="W1125" s="1">
        <v>0</v>
      </c>
      <c r="X1125" s="1">
        <v>3443778</v>
      </c>
      <c r="Y1125" s="1">
        <v>4000000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1837994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2172175</v>
      </c>
      <c r="AO1125" s="1">
        <v>0</v>
      </c>
      <c r="AP1125" s="1">
        <v>0</v>
      </c>
      <c r="AQ1125" s="1">
        <v>0</v>
      </c>
      <c r="AR1125" s="1">
        <v>50229559</v>
      </c>
      <c r="AS1125" s="1">
        <v>15535383</v>
      </c>
      <c r="AT1125" s="1">
        <v>34694176</v>
      </c>
      <c r="AU1125" s="1">
        <v>10045912</v>
      </c>
      <c r="AV1125" s="1">
        <v>1506887</v>
      </c>
      <c r="AW1125" s="1">
        <f t="shared" si="116"/>
        <v>61782358</v>
      </c>
    </row>
    <row r="1126" spans="1:49" x14ac:dyDescent="0.2">
      <c r="A1126" s="1" t="str">
        <f>"01440"</f>
        <v>01440</v>
      </c>
      <c r="B1126" s="1" t="str">
        <f>"ميثم"</f>
        <v>ميثم</v>
      </c>
      <c r="C1126" s="1" t="str">
        <f>"مظفري زاده"</f>
        <v>مظفري زاده</v>
      </c>
      <c r="D1126" s="1" t="str">
        <f t="shared" si="119"/>
        <v>قراردادي بهره بردار</v>
      </c>
      <c r="E1126" s="1" t="str">
        <f t="shared" si="120"/>
        <v>پروژه بهره برداري نيروگاه بوشهر</v>
      </c>
      <c r="F1126" s="1">
        <v>17387979</v>
      </c>
      <c r="G1126" s="1">
        <v>0</v>
      </c>
      <c r="H1126" s="1">
        <v>0</v>
      </c>
      <c r="I1126" s="1">
        <v>7927552</v>
      </c>
      <c r="J1126" s="1">
        <v>0</v>
      </c>
      <c r="K1126" s="1">
        <v>11428415</v>
      </c>
      <c r="L1126" s="1">
        <v>0</v>
      </c>
      <c r="M1126" s="1">
        <v>5000000</v>
      </c>
      <c r="N1126" s="1">
        <v>0</v>
      </c>
      <c r="O1126" s="1">
        <v>1000000</v>
      </c>
      <c r="P1126" s="1">
        <v>2422149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1848000</v>
      </c>
      <c r="W1126" s="1">
        <v>0</v>
      </c>
      <c r="X1126" s="1">
        <v>3521779</v>
      </c>
      <c r="Y1126" s="1">
        <v>4000000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1903117</v>
      </c>
      <c r="AH1126" s="1">
        <v>1835427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2076128</v>
      </c>
      <c r="AO1126" s="1">
        <v>0</v>
      </c>
      <c r="AP1126" s="1">
        <v>0</v>
      </c>
      <c r="AQ1126" s="1">
        <v>0</v>
      </c>
      <c r="AR1126" s="1">
        <v>60350546</v>
      </c>
      <c r="AS1126" s="1">
        <v>7594707</v>
      </c>
      <c r="AT1126" s="1">
        <v>52755839</v>
      </c>
      <c r="AU1126" s="1">
        <v>11703024</v>
      </c>
      <c r="AV1126" s="1">
        <v>1755454</v>
      </c>
      <c r="AW1126" s="1">
        <f t="shared" si="116"/>
        <v>73809024</v>
      </c>
    </row>
    <row r="1127" spans="1:49" x14ac:dyDescent="0.2">
      <c r="A1127" s="1" t="str">
        <f>"01441"</f>
        <v>01441</v>
      </c>
      <c r="B1127" s="1" t="str">
        <f>"رضا"</f>
        <v>رضا</v>
      </c>
      <c r="C1127" s="1" t="str">
        <f>"اکبري"</f>
        <v>اکبري</v>
      </c>
      <c r="D1127" s="1" t="str">
        <f t="shared" si="119"/>
        <v>قراردادي بهره بردار</v>
      </c>
      <c r="E1127" s="1" t="str">
        <f t="shared" si="120"/>
        <v>پروژه بهره برداري نيروگاه بوشهر</v>
      </c>
      <c r="F1127" s="1">
        <v>15435547</v>
      </c>
      <c r="G1127" s="1">
        <v>0</v>
      </c>
      <c r="H1127" s="1">
        <v>0</v>
      </c>
      <c r="I1127" s="1">
        <v>4361897</v>
      </c>
      <c r="J1127" s="1">
        <v>0</v>
      </c>
      <c r="K1127" s="1">
        <v>7507194</v>
      </c>
      <c r="L1127" s="1">
        <v>0</v>
      </c>
      <c r="M1127" s="1">
        <v>5500000</v>
      </c>
      <c r="N1127" s="1">
        <v>0</v>
      </c>
      <c r="O1127" s="1">
        <v>1000000</v>
      </c>
      <c r="P1127" s="1">
        <v>1950417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1848000</v>
      </c>
      <c r="W1127" s="1">
        <v>0</v>
      </c>
      <c r="X1127" s="1">
        <v>2809741</v>
      </c>
      <c r="Y1127" s="1">
        <v>4000000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1532470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1671786</v>
      </c>
      <c r="AO1127" s="1">
        <v>0</v>
      </c>
      <c r="AP1127" s="1">
        <v>0</v>
      </c>
      <c r="AQ1127" s="1">
        <v>0</v>
      </c>
      <c r="AR1127" s="1">
        <v>47617052</v>
      </c>
      <c r="AS1127" s="1">
        <v>7589579</v>
      </c>
      <c r="AT1127" s="1">
        <v>40027473</v>
      </c>
      <c r="AU1127" s="1">
        <v>9523410</v>
      </c>
      <c r="AV1127" s="1">
        <v>1428512</v>
      </c>
      <c r="AW1127" s="1">
        <f t="shared" si="116"/>
        <v>58568974</v>
      </c>
    </row>
    <row r="1128" spans="1:49" x14ac:dyDescent="0.2">
      <c r="A1128" s="1" t="str">
        <f>"01442"</f>
        <v>01442</v>
      </c>
      <c r="B1128" s="1" t="str">
        <f>"سيد حسين"</f>
        <v>سيد حسين</v>
      </c>
      <c r="C1128" s="1" t="str">
        <f>"امامي بهبهاني"</f>
        <v>امامي بهبهاني</v>
      </c>
      <c r="D1128" s="1" t="str">
        <f t="shared" si="119"/>
        <v>قراردادي بهره بردار</v>
      </c>
      <c r="E1128" s="1" t="str">
        <f t="shared" si="120"/>
        <v>پروژه بهره برداري نيروگاه بوشهر</v>
      </c>
      <c r="F1128" s="1">
        <v>15589222</v>
      </c>
      <c r="G1128" s="1">
        <v>0</v>
      </c>
      <c r="H1128" s="1">
        <v>0</v>
      </c>
      <c r="I1128" s="1">
        <v>4427159</v>
      </c>
      <c r="J1128" s="1">
        <v>0</v>
      </c>
      <c r="K1128" s="1">
        <v>7631760</v>
      </c>
      <c r="L1128" s="1">
        <v>0</v>
      </c>
      <c r="M1128" s="1">
        <v>4125000</v>
      </c>
      <c r="N1128" s="1">
        <v>0</v>
      </c>
      <c r="O1128" s="1">
        <v>1000000</v>
      </c>
      <c r="P1128" s="1">
        <v>2004203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1848000</v>
      </c>
      <c r="W1128" s="1">
        <v>0</v>
      </c>
      <c r="X1128" s="1">
        <v>2851780</v>
      </c>
      <c r="Y1128" s="1">
        <v>4000000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1574731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1717888</v>
      </c>
      <c r="AO1128" s="1">
        <v>0</v>
      </c>
      <c r="AP1128" s="1">
        <v>0</v>
      </c>
      <c r="AQ1128" s="1">
        <v>0</v>
      </c>
      <c r="AR1128" s="1">
        <v>46769743</v>
      </c>
      <c r="AS1128" s="1">
        <v>9537069</v>
      </c>
      <c r="AT1128" s="1">
        <v>37232674</v>
      </c>
      <c r="AU1128" s="1">
        <v>9353949</v>
      </c>
      <c r="AV1128" s="1">
        <v>1403092</v>
      </c>
      <c r="AW1128" s="1">
        <f t="shared" si="116"/>
        <v>57526784</v>
      </c>
    </row>
    <row r="1129" spans="1:49" x14ac:dyDescent="0.2">
      <c r="A1129" s="1" t="str">
        <f>"01443"</f>
        <v>01443</v>
      </c>
      <c r="B1129" s="1" t="str">
        <f>"فرشاد"</f>
        <v>فرشاد</v>
      </c>
      <c r="C1129" s="1" t="str">
        <f>"اميري"</f>
        <v>اميري</v>
      </c>
      <c r="D1129" s="1" t="str">
        <f t="shared" si="119"/>
        <v>قراردادي بهره بردار</v>
      </c>
      <c r="E1129" s="1" t="str">
        <f t="shared" si="120"/>
        <v>پروژه بهره برداري نيروگاه بوشهر</v>
      </c>
      <c r="F1129" s="1">
        <v>15453182</v>
      </c>
      <c r="G1129" s="1">
        <v>0</v>
      </c>
      <c r="H1129" s="1">
        <v>0</v>
      </c>
      <c r="I1129" s="1">
        <v>4367808</v>
      </c>
      <c r="J1129" s="1">
        <v>0</v>
      </c>
      <c r="K1129" s="1">
        <v>7511321</v>
      </c>
      <c r="L1129" s="1">
        <v>0</v>
      </c>
      <c r="M1129" s="1">
        <v>4125000</v>
      </c>
      <c r="N1129" s="1">
        <v>0</v>
      </c>
      <c r="O1129" s="1">
        <v>1000000</v>
      </c>
      <c r="P1129" s="1">
        <v>1956589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1848000</v>
      </c>
      <c r="W1129" s="1">
        <v>0</v>
      </c>
      <c r="X1129" s="1">
        <v>2813549</v>
      </c>
      <c r="Y1129" s="1">
        <v>4000000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1537320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1677076</v>
      </c>
      <c r="AO1129" s="1">
        <v>0</v>
      </c>
      <c r="AP1129" s="1">
        <v>0</v>
      </c>
      <c r="AQ1129" s="1">
        <v>0</v>
      </c>
      <c r="AR1129" s="1">
        <v>46289845</v>
      </c>
      <c r="AS1129" s="1">
        <v>4954045</v>
      </c>
      <c r="AT1129" s="1">
        <v>41335800</v>
      </c>
      <c r="AU1129" s="1">
        <v>9257969</v>
      </c>
      <c r="AV1129" s="1">
        <v>1388695</v>
      </c>
      <c r="AW1129" s="1">
        <f t="shared" si="116"/>
        <v>56936509</v>
      </c>
    </row>
    <row r="1130" spans="1:49" x14ac:dyDescent="0.2">
      <c r="A1130" s="1" t="str">
        <f>"01444"</f>
        <v>01444</v>
      </c>
      <c r="B1130" s="1" t="str">
        <f>"وحيد"</f>
        <v>وحيد</v>
      </c>
      <c r="C1130" s="1" t="str">
        <f>"پاليده"</f>
        <v>پاليده</v>
      </c>
      <c r="D1130" s="1" t="str">
        <f t="shared" si="119"/>
        <v>قراردادي بهره بردار</v>
      </c>
      <c r="E1130" s="1" t="str">
        <f t="shared" si="120"/>
        <v>پروژه بهره برداري نيروگاه بوشهر</v>
      </c>
      <c r="F1130" s="1">
        <v>15659762</v>
      </c>
      <c r="G1130" s="1">
        <v>0</v>
      </c>
      <c r="H1130" s="1">
        <v>0</v>
      </c>
      <c r="I1130" s="1">
        <v>4461489</v>
      </c>
      <c r="J1130" s="1">
        <v>0</v>
      </c>
      <c r="K1130" s="1">
        <v>7717114</v>
      </c>
      <c r="L1130" s="1">
        <v>0</v>
      </c>
      <c r="M1130" s="1">
        <v>4125000</v>
      </c>
      <c r="N1130" s="1">
        <v>0</v>
      </c>
      <c r="O1130" s="1">
        <v>1000000</v>
      </c>
      <c r="P1130" s="1">
        <v>2028891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1848000</v>
      </c>
      <c r="W1130" s="1">
        <v>0</v>
      </c>
      <c r="X1130" s="1">
        <v>2873894</v>
      </c>
      <c r="Y1130" s="1">
        <v>4000000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1594129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1739049</v>
      </c>
      <c r="AO1130" s="1">
        <v>0</v>
      </c>
      <c r="AP1130" s="1">
        <v>0</v>
      </c>
      <c r="AQ1130" s="1">
        <v>0</v>
      </c>
      <c r="AR1130" s="1">
        <v>47047328</v>
      </c>
      <c r="AS1130" s="1">
        <v>5077514</v>
      </c>
      <c r="AT1130" s="1">
        <v>41969814</v>
      </c>
      <c r="AU1130" s="1">
        <v>9409466</v>
      </c>
      <c r="AV1130" s="1">
        <v>1411420</v>
      </c>
      <c r="AW1130" s="1">
        <f t="shared" si="116"/>
        <v>57868214</v>
      </c>
    </row>
    <row r="1131" spans="1:49" x14ac:dyDescent="0.2">
      <c r="A1131" s="1" t="str">
        <f>"01445"</f>
        <v>01445</v>
      </c>
      <c r="B1131" s="1" t="str">
        <f>"محسن"</f>
        <v>محسن</v>
      </c>
      <c r="C1131" s="1" t="str">
        <f>"حسيني فرد"</f>
        <v>حسيني فرد</v>
      </c>
      <c r="D1131" s="1" t="str">
        <f t="shared" si="119"/>
        <v>قراردادي بهره بردار</v>
      </c>
      <c r="E1131" s="1" t="str">
        <f t="shared" si="120"/>
        <v>پروژه بهره برداري نيروگاه بوشهر</v>
      </c>
      <c r="F1131" s="1">
        <v>15276833</v>
      </c>
      <c r="G1131" s="1">
        <v>0</v>
      </c>
      <c r="H1131" s="1">
        <v>0</v>
      </c>
      <c r="I1131" s="1">
        <v>4288041</v>
      </c>
      <c r="J1131" s="1">
        <v>0</v>
      </c>
      <c r="K1131" s="1">
        <v>7336974</v>
      </c>
      <c r="L1131" s="1">
        <v>0</v>
      </c>
      <c r="M1131" s="1">
        <v>4125000</v>
      </c>
      <c r="N1131" s="1">
        <v>0</v>
      </c>
      <c r="O1131" s="1">
        <v>1000000</v>
      </c>
      <c r="P1131" s="1">
        <v>1894867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1848000</v>
      </c>
      <c r="W1131" s="1">
        <v>0</v>
      </c>
      <c r="X1131" s="1">
        <v>2762167</v>
      </c>
      <c r="Y1131" s="1">
        <v>4000000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1488824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1624172</v>
      </c>
      <c r="AO1131" s="1">
        <v>0</v>
      </c>
      <c r="AP1131" s="1">
        <v>0</v>
      </c>
      <c r="AQ1131" s="1">
        <v>0</v>
      </c>
      <c r="AR1131" s="1">
        <v>45644878</v>
      </c>
      <c r="AS1131" s="1">
        <v>4848915</v>
      </c>
      <c r="AT1131" s="1">
        <v>40795963</v>
      </c>
      <c r="AU1131" s="1">
        <v>9128976</v>
      </c>
      <c r="AV1131" s="1">
        <v>1369346</v>
      </c>
      <c r="AW1131" s="1">
        <f t="shared" si="116"/>
        <v>56143200</v>
      </c>
    </row>
    <row r="1132" spans="1:49" x14ac:dyDescent="0.2">
      <c r="A1132" s="1" t="str">
        <f>"01447"</f>
        <v>01447</v>
      </c>
      <c r="B1132" s="1" t="str">
        <f>"سعيد"</f>
        <v>سعيد</v>
      </c>
      <c r="C1132" s="1" t="str">
        <f>"علي عسگري"</f>
        <v>علي عسگري</v>
      </c>
      <c r="D1132" s="1" t="str">
        <f t="shared" si="119"/>
        <v>قراردادي بهره بردار</v>
      </c>
      <c r="E1132" s="1" t="str">
        <f t="shared" si="120"/>
        <v>پروژه بهره برداري نيروگاه بوشهر</v>
      </c>
      <c r="F1132" s="1">
        <v>-30650101</v>
      </c>
      <c r="G1132" s="1">
        <v>0</v>
      </c>
      <c r="H1132" s="1">
        <v>0</v>
      </c>
      <c r="I1132" s="1">
        <v>4575667</v>
      </c>
      <c r="J1132" s="1">
        <v>0</v>
      </c>
      <c r="K1132" s="1">
        <v>21213300</v>
      </c>
      <c r="L1132" s="1">
        <v>0</v>
      </c>
      <c r="M1132" s="1">
        <v>3465000</v>
      </c>
      <c r="N1132" s="1">
        <v>0</v>
      </c>
      <c r="O1132" s="1">
        <v>1000000</v>
      </c>
      <c r="P1132" s="1">
        <v>5118520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1848000</v>
      </c>
      <c r="W1132" s="1">
        <v>0</v>
      </c>
      <c r="X1132" s="1">
        <v>8146125</v>
      </c>
      <c r="Y1132" s="1">
        <v>4000000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4021690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60177810</v>
      </c>
      <c r="AO1132" s="1">
        <v>0</v>
      </c>
      <c r="AP1132" s="1">
        <v>0</v>
      </c>
      <c r="AQ1132" s="1">
        <v>0</v>
      </c>
      <c r="AR1132" s="1">
        <v>82916011</v>
      </c>
      <c r="AS1132" s="1">
        <v>7306490</v>
      </c>
      <c r="AT1132" s="1">
        <v>75609521</v>
      </c>
      <c r="AU1132" s="1">
        <v>16583201</v>
      </c>
      <c r="AV1132" s="1">
        <v>2487482</v>
      </c>
      <c r="AW1132" s="1">
        <f t="shared" si="116"/>
        <v>101986694</v>
      </c>
    </row>
    <row r="1133" spans="1:49" x14ac:dyDescent="0.2">
      <c r="A1133" s="1" t="str">
        <f>"01448"</f>
        <v>01448</v>
      </c>
      <c r="B1133" s="1" t="str">
        <f>"سعيد"</f>
        <v>سعيد</v>
      </c>
      <c r="C1133" s="1" t="str">
        <f>"قائدي قره ميرشاملو"</f>
        <v>قائدي قره ميرشاملو</v>
      </c>
      <c r="D1133" s="1" t="str">
        <f t="shared" si="119"/>
        <v>قراردادي بهره بردار</v>
      </c>
      <c r="E1133" s="1" t="str">
        <f t="shared" si="120"/>
        <v>پروژه بهره برداري نيروگاه بوشهر</v>
      </c>
      <c r="F1133" s="1">
        <v>-29680186</v>
      </c>
      <c r="G1133" s="1">
        <v>0</v>
      </c>
      <c r="H1133" s="1">
        <v>0</v>
      </c>
      <c r="I1133" s="1">
        <v>4575667</v>
      </c>
      <c r="J1133" s="1">
        <v>0</v>
      </c>
      <c r="K1133" s="1">
        <v>22198600</v>
      </c>
      <c r="L1133" s="1">
        <v>0</v>
      </c>
      <c r="M1133" s="1">
        <v>3465000</v>
      </c>
      <c r="N1133" s="1">
        <v>0</v>
      </c>
      <c r="O1133" s="1">
        <v>1000000</v>
      </c>
      <c r="P1133" s="1">
        <v>5457990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1848000</v>
      </c>
      <c r="W1133" s="1">
        <v>0</v>
      </c>
      <c r="X1133" s="1">
        <v>8436210</v>
      </c>
      <c r="Y1133" s="1">
        <v>4000000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4288420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57326310</v>
      </c>
      <c r="AO1133" s="1">
        <v>0</v>
      </c>
      <c r="AP1133" s="1">
        <v>0</v>
      </c>
      <c r="AQ1133" s="1">
        <v>0</v>
      </c>
      <c r="AR1133" s="1">
        <v>82916011</v>
      </c>
      <c r="AS1133" s="1">
        <v>7306490</v>
      </c>
      <c r="AT1133" s="1">
        <v>75609521</v>
      </c>
      <c r="AU1133" s="1">
        <v>16583201</v>
      </c>
      <c r="AV1133" s="1">
        <v>2487482</v>
      </c>
      <c r="AW1133" s="1">
        <f t="shared" si="116"/>
        <v>101986694</v>
      </c>
    </row>
    <row r="1134" spans="1:49" x14ac:dyDescent="0.2">
      <c r="A1134" s="1" t="str">
        <f>"01449"</f>
        <v>01449</v>
      </c>
      <c r="B1134" s="1" t="str">
        <f>"عبداله"</f>
        <v>عبداله</v>
      </c>
      <c r="C1134" s="1" t="str">
        <f>"نگهبان"</f>
        <v>نگهبان</v>
      </c>
      <c r="D1134" s="1" t="str">
        <f t="shared" si="119"/>
        <v>قراردادي بهره بردار</v>
      </c>
      <c r="E1134" s="1" t="str">
        <f t="shared" si="120"/>
        <v>پروژه بهره برداري نيروگاه بوشهر</v>
      </c>
      <c r="F1134" s="1">
        <v>13843370</v>
      </c>
      <c r="G1134" s="1">
        <v>0</v>
      </c>
      <c r="H1134" s="1">
        <v>0</v>
      </c>
      <c r="I1134" s="1">
        <v>3678602</v>
      </c>
      <c r="J1134" s="1">
        <v>0</v>
      </c>
      <c r="K1134" s="1">
        <v>6170650</v>
      </c>
      <c r="L1134" s="1">
        <v>0</v>
      </c>
      <c r="M1134" s="1">
        <v>4125000</v>
      </c>
      <c r="N1134" s="1">
        <v>0</v>
      </c>
      <c r="O1134" s="1">
        <v>1000000</v>
      </c>
      <c r="P1134" s="1">
        <v>1393154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1848000</v>
      </c>
      <c r="W1134" s="1">
        <v>0</v>
      </c>
      <c r="X1134" s="1">
        <v>2369592</v>
      </c>
      <c r="Y1134" s="1">
        <v>4000000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1094621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1194132</v>
      </c>
      <c r="AO1134" s="1">
        <v>0</v>
      </c>
      <c r="AP1134" s="1">
        <v>0</v>
      </c>
      <c r="AQ1134" s="1">
        <v>0</v>
      </c>
      <c r="AR1134" s="1">
        <v>40717121</v>
      </c>
      <c r="AS1134" s="1">
        <v>6642198</v>
      </c>
      <c r="AT1134" s="1">
        <v>34074923</v>
      </c>
      <c r="AU1134" s="1">
        <v>8143424</v>
      </c>
      <c r="AV1134" s="1">
        <v>1221514</v>
      </c>
      <c r="AW1134" s="1">
        <f t="shared" si="116"/>
        <v>50082059</v>
      </c>
    </row>
    <row r="1135" spans="1:49" x14ac:dyDescent="0.2">
      <c r="A1135" s="1" t="str">
        <f>"01450"</f>
        <v>01450</v>
      </c>
      <c r="B1135" s="1" t="str">
        <f>"فردين"</f>
        <v>فردين</v>
      </c>
      <c r="C1135" s="1" t="str">
        <f>"نوروزي طيبي"</f>
        <v>نوروزي طيبي</v>
      </c>
      <c r="D1135" s="1" t="str">
        <f t="shared" si="119"/>
        <v>قراردادي بهره بردار</v>
      </c>
      <c r="E1135" s="1" t="str">
        <f t="shared" si="120"/>
        <v>پروژه بهره برداري نيروگاه بوشهر</v>
      </c>
      <c r="F1135" s="1">
        <v>-30713086</v>
      </c>
      <c r="G1135" s="1">
        <v>0</v>
      </c>
      <c r="H1135" s="1">
        <v>0</v>
      </c>
      <c r="I1135" s="1">
        <v>4716334</v>
      </c>
      <c r="J1135" s="1">
        <v>0</v>
      </c>
      <c r="K1135" s="1">
        <v>21169505</v>
      </c>
      <c r="L1135" s="1">
        <v>0</v>
      </c>
      <c r="M1135" s="1">
        <v>0</v>
      </c>
      <c r="N1135" s="1">
        <v>0</v>
      </c>
      <c r="O1135" s="1">
        <v>1000000</v>
      </c>
      <c r="P1135" s="1">
        <v>5096480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1848000</v>
      </c>
      <c r="W1135" s="1">
        <v>0</v>
      </c>
      <c r="X1135" s="1">
        <v>8129305</v>
      </c>
      <c r="Y1135" s="1">
        <v>4000000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4004375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60340770</v>
      </c>
      <c r="AO1135" s="1">
        <v>0</v>
      </c>
      <c r="AP1135" s="1">
        <v>0</v>
      </c>
      <c r="AQ1135" s="1">
        <v>0</v>
      </c>
      <c r="AR1135" s="1">
        <v>79591683</v>
      </c>
      <c r="AS1135" s="1">
        <v>7975417</v>
      </c>
      <c r="AT1135" s="1">
        <v>71616266</v>
      </c>
      <c r="AU1135" s="1">
        <v>15918337</v>
      </c>
      <c r="AV1135" s="1">
        <v>2387752</v>
      </c>
      <c r="AW1135" s="1">
        <f t="shared" si="116"/>
        <v>97897772</v>
      </c>
    </row>
    <row r="1136" spans="1:49" x14ac:dyDescent="0.2">
      <c r="A1136" s="1" t="str">
        <f>"01451"</f>
        <v>01451</v>
      </c>
      <c r="B1136" s="1" t="str">
        <f>"حميدرضا"</f>
        <v>حميدرضا</v>
      </c>
      <c r="C1136" s="1" t="str">
        <f>"نوروزي"</f>
        <v>نوروزي</v>
      </c>
      <c r="D1136" s="1" t="str">
        <f t="shared" si="119"/>
        <v>قراردادي بهره بردار</v>
      </c>
      <c r="E1136" s="1" t="str">
        <f t="shared" si="120"/>
        <v>پروژه بهره برداري نيروگاه بوشهر</v>
      </c>
      <c r="F1136" s="1">
        <v>-38293219</v>
      </c>
      <c r="G1136" s="1">
        <v>0</v>
      </c>
      <c r="H1136" s="1">
        <v>0</v>
      </c>
      <c r="I1136" s="1">
        <v>3213464</v>
      </c>
      <c r="J1136" s="1">
        <v>0</v>
      </c>
      <c r="K1136" s="1">
        <v>23604377</v>
      </c>
      <c r="L1136" s="1">
        <v>0</v>
      </c>
      <c r="M1136" s="1">
        <v>210517</v>
      </c>
      <c r="N1136" s="1">
        <v>0</v>
      </c>
      <c r="O1136" s="1">
        <v>1000000</v>
      </c>
      <c r="P1136" s="1">
        <v>5558786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1848000</v>
      </c>
      <c r="W1136" s="1">
        <v>0</v>
      </c>
      <c r="X1136" s="1">
        <v>9103535</v>
      </c>
      <c r="Y1136" s="1">
        <v>4000000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4315385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64153542</v>
      </c>
      <c r="AO1136" s="1">
        <v>0</v>
      </c>
      <c r="AP1136" s="1">
        <v>0</v>
      </c>
      <c r="AQ1136" s="1">
        <v>0</v>
      </c>
      <c r="AR1136" s="1">
        <v>78714387</v>
      </c>
      <c r="AS1136" s="1">
        <v>8772830</v>
      </c>
      <c r="AT1136" s="1">
        <v>69941557</v>
      </c>
      <c r="AU1136" s="1">
        <v>15742877</v>
      </c>
      <c r="AV1136" s="1">
        <v>2361432</v>
      </c>
      <c r="AW1136" s="1">
        <f t="shared" si="116"/>
        <v>96818696</v>
      </c>
    </row>
    <row r="1137" spans="1:49" x14ac:dyDescent="0.2">
      <c r="A1137" s="1" t="str">
        <f>"01452"</f>
        <v>01452</v>
      </c>
      <c r="B1137" s="1" t="str">
        <f>"مهرداد"</f>
        <v>مهرداد</v>
      </c>
      <c r="C1137" s="1" t="str">
        <f>"حبيب زاده آيدنلو"</f>
        <v>حبيب زاده آيدنلو</v>
      </c>
      <c r="D1137" s="1" t="str">
        <f t="shared" si="119"/>
        <v>قراردادي بهره بردار</v>
      </c>
      <c r="E1137" s="1" t="str">
        <f t="shared" si="120"/>
        <v>پروژه بهره برداري نيروگاه بوشهر</v>
      </c>
      <c r="F1137" s="1">
        <v>13372989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2032258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1848000</v>
      </c>
      <c r="W1137" s="1">
        <v>0</v>
      </c>
      <c r="X1137" s="1">
        <v>0</v>
      </c>
      <c r="Y1137" s="1">
        <v>2709677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19962924</v>
      </c>
      <c r="AS1137" s="1">
        <v>1397405</v>
      </c>
      <c r="AT1137" s="1">
        <v>18565519</v>
      </c>
      <c r="AU1137" s="1">
        <v>3992585</v>
      </c>
      <c r="AV1137" s="1">
        <v>598888</v>
      </c>
      <c r="AW1137" s="1">
        <f t="shared" si="116"/>
        <v>24554397</v>
      </c>
    </row>
    <row r="1138" spans="1:49" x14ac:dyDescent="0.2">
      <c r="A1138" s="1" t="str">
        <f>"01453"</f>
        <v>01453</v>
      </c>
      <c r="B1138" s="1" t="str">
        <f>"علي"</f>
        <v>علي</v>
      </c>
      <c r="C1138" s="1" t="str">
        <f>"زنگنه اينالو"</f>
        <v>زنگنه اينالو</v>
      </c>
      <c r="D1138" s="1" t="str">
        <f t="shared" si="119"/>
        <v>قراردادي بهره بردار</v>
      </c>
      <c r="E1138" s="1" t="str">
        <f t="shared" si="120"/>
        <v>پروژه بهره برداري نيروگاه بوشهر</v>
      </c>
      <c r="F1138" s="1">
        <v>13372989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2032258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1848000</v>
      </c>
      <c r="W1138" s="1">
        <v>0</v>
      </c>
      <c r="X1138" s="1">
        <v>0</v>
      </c>
      <c r="Y1138" s="1">
        <v>2709677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19962924</v>
      </c>
      <c r="AS1138" s="1">
        <v>1397405</v>
      </c>
      <c r="AT1138" s="1">
        <v>18565519</v>
      </c>
      <c r="AU1138" s="1">
        <v>3992585</v>
      </c>
      <c r="AV1138" s="1">
        <v>598888</v>
      </c>
      <c r="AW1138" s="1">
        <f t="shared" si="116"/>
        <v>24554397</v>
      </c>
    </row>
    <row r="1139" spans="1:49" x14ac:dyDescent="0.2">
      <c r="A1139" s="1" t="str">
        <f>"01454"</f>
        <v>01454</v>
      </c>
      <c r="B1139" s="1" t="str">
        <f>"اميرحسين"</f>
        <v>اميرحسين</v>
      </c>
      <c r="C1139" s="1" t="str">
        <f>"کفش بان مسجدي"</f>
        <v>کفش بان مسجدي</v>
      </c>
      <c r="D1139" s="1" t="str">
        <f t="shared" si="119"/>
        <v>قراردادي بهره بردار</v>
      </c>
      <c r="E1139" s="1" t="str">
        <f t="shared" si="120"/>
        <v>پروژه بهره برداري نيروگاه بوشهر</v>
      </c>
      <c r="F1139" s="1">
        <v>13372989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2032258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1848000</v>
      </c>
      <c r="W1139" s="1">
        <v>0</v>
      </c>
      <c r="X1139" s="1">
        <v>0</v>
      </c>
      <c r="Y1139" s="1">
        <v>2709677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19962924</v>
      </c>
      <c r="AS1139" s="1">
        <v>1397405</v>
      </c>
      <c r="AT1139" s="1">
        <v>18565519</v>
      </c>
      <c r="AU1139" s="1">
        <v>3992585</v>
      </c>
      <c r="AV1139" s="1">
        <v>598888</v>
      </c>
      <c r="AW1139" s="1">
        <f t="shared" si="116"/>
        <v>24554397</v>
      </c>
    </row>
    <row r="1140" spans="1:49" x14ac:dyDescent="0.2">
      <c r="A1140" s="1" t="str">
        <f>"01455"</f>
        <v>01455</v>
      </c>
      <c r="B1140" s="1" t="str">
        <f>"بهزاد"</f>
        <v>بهزاد</v>
      </c>
      <c r="C1140" s="1" t="str">
        <f>"کشاورز"</f>
        <v>کشاورز</v>
      </c>
      <c r="D1140" s="1" t="str">
        <f t="shared" si="119"/>
        <v>قراردادي بهره بردار</v>
      </c>
      <c r="E1140" s="1" t="str">
        <f t="shared" si="120"/>
        <v>پروژه بهره برداري نيروگاه بوشهر</v>
      </c>
      <c r="F1140" s="1">
        <v>13372989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2032258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1848000</v>
      </c>
      <c r="W1140" s="1">
        <v>0</v>
      </c>
      <c r="X1140" s="1">
        <v>0</v>
      </c>
      <c r="Y1140" s="1">
        <v>2709677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19962924</v>
      </c>
      <c r="AS1140" s="1">
        <v>1397405</v>
      </c>
      <c r="AT1140" s="1">
        <v>18565519</v>
      </c>
      <c r="AU1140" s="1">
        <v>3992585</v>
      </c>
      <c r="AV1140" s="1">
        <v>598888</v>
      </c>
      <c r="AW1140" s="1">
        <f t="shared" si="116"/>
        <v>24554397</v>
      </c>
    </row>
    <row r="1141" spans="1:49" x14ac:dyDescent="0.2">
      <c r="A1141" s="1" t="str">
        <f>"01456"</f>
        <v>01456</v>
      </c>
      <c r="B1141" s="1" t="str">
        <f>"ابوذر"</f>
        <v>ابوذر</v>
      </c>
      <c r="C1141" s="1" t="str">
        <f>"همتي"</f>
        <v>همتي</v>
      </c>
      <c r="D1141" s="1" t="str">
        <f t="shared" si="119"/>
        <v>قراردادي بهره بردار</v>
      </c>
      <c r="E1141" s="1" t="str">
        <f t="shared" si="120"/>
        <v>پروژه بهره برداري نيروگاه بوشهر</v>
      </c>
      <c r="F1141" s="1">
        <v>13372989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2032258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1848000</v>
      </c>
      <c r="W1141" s="1">
        <v>0</v>
      </c>
      <c r="X1141" s="1">
        <v>0</v>
      </c>
      <c r="Y1141" s="1">
        <v>2709677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19962924</v>
      </c>
      <c r="AS1141" s="1">
        <v>1397405</v>
      </c>
      <c r="AT1141" s="1">
        <v>18565519</v>
      </c>
      <c r="AU1141" s="1">
        <v>3992585</v>
      </c>
      <c r="AV1141" s="1">
        <v>598888</v>
      </c>
      <c r="AW1141" s="1">
        <f t="shared" si="116"/>
        <v>24554397</v>
      </c>
    </row>
    <row r="1142" spans="1:49" x14ac:dyDescent="0.2">
      <c r="A1142" s="1" t="str">
        <f>"01457"</f>
        <v>01457</v>
      </c>
      <c r="B1142" s="1" t="str">
        <f>"سيد حميدرضا"</f>
        <v>سيد حميدرضا</v>
      </c>
      <c r="C1142" s="1" t="str">
        <f>"منفرد اطاقسرايي"</f>
        <v>منفرد اطاقسرايي</v>
      </c>
      <c r="D1142" s="1" t="str">
        <f t="shared" si="119"/>
        <v>قراردادي بهره بردار</v>
      </c>
      <c r="E1142" s="1" t="str">
        <f t="shared" si="120"/>
        <v>پروژه بهره برداري نيروگاه بوشهر</v>
      </c>
      <c r="F1142" s="1">
        <v>13372989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2032258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1848000</v>
      </c>
      <c r="W1142" s="1">
        <v>0</v>
      </c>
      <c r="X1142" s="1">
        <v>0</v>
      </c>
      <c r="Y1142" s="1">
        <v>2709677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19962924</v>
      </c>
      <c r="AS1142" s="1">
        <v>1397405</v>
      </c>
      <c r="AT1142" s="1">
        <v>18565519</v>
      </c>
      <c r="AU1142" s="1">
        <v>3992585</v>
      </c>
      <c r="AV1142" s="1">
        <v>598888</v>
      </c>
      <c r="AW1142" s="1">
        <f t="shared" si="116"/>
        <v>24554397</v>
      </c>
    </row>
  </sheetData>
  <sortState ref="A2:BG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2020-09-06T03:33:13Z</dcterms:created>
  <dcterms:modified xsi:type="dcterms:W3CDTF">2020-09-12T04:17:31Z</dcterms:modified>
</cp:coreProperties>
</file>