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0730" windowHeight="9495" tabRatio="803" firstSheet="1" activeTab="8"/>
  </bookViews>
  <sheets>
    <sheet name="آناليز هزينه پرسنل پارسيان" sheetId="10" r:id="rId1"/>
    <sheet name="جدول آمار كاركنان" sheetId="11" r:id="rId2"/>
    <sheet name="مدرك تحصيلي و سابقه كار كاركنان" sheetId="15" r:id="rId3"/>
    <sheet name="محاسبه" sheetId="4" r:id="rId4"/>
    <sheet name="پاداش و رفاهيات" sheetId="16" r:id="rId5"/>
    <sheet name="آموزش" sheetId="19" r:id="rId6"/>
    <sheet name="غذاي مصرفي" sheetId="17" r:id="rId7"/>
    <sheet name="اياب ذهاب" sheetId="18" r:id="rId8"/>
    <sheet name="جمع بندي نهايي" sheetId="14" r:id="rId9"/>
  </sheets>
  <definedNames>
    <definedName name="_xlnm.Print_Area" localSheetId="5">آموزش!$A$2:$G$10</definedName>
    <definedName name="_xlnm.Print_Area" localSheetId="0">'آناليز هزينه پرسنل پارسيان'!$A$1:$C$41</definedName>
    <definedName name="_xlnm.Print_Area" localSheetId="7">'اياب ذهاب'!$A$1:$F$19,'اياب ذهاب'!#REF!</definedName>
    <definedName name="_xlnm.Print_Area" localSheetId="4">'پاداش و رفاهيات'!$A$1:$G$20,'پاداش و رفاهيات'!$A$22:$G$40,'پاداش و رفاهيات'!$A$42:$G$65</definedName>
    <definedName name="_xlnm.Print_Area" localSheetId="8">'جمع بندي نهايي'!$A$1:$C$36</definedName>
    <definedName name="_xlnm.Print_Area" localSheetId="6">'غذاي مصرفي'!$A$2:$C$27</definedName>
    <definedName name="_xlnm.Print_Area" localSheetId="3">محاسبه!$A$3:$G$24</definedName>
    <definedName name="_xlnm.Print_Area" localSheetId="2">'مدرك تحصيلي و سابقه كار كاركنان'!$A$1:$C$18</definedName>
  </definedNames>
  <calcPr calcId="144525"/>
</workbook>
</file>

<file path=xl/calcChain.xml><?xml version="1.0" encoding="utf-8"?>
<calcChain xmlns="http://schemas.openxmlformats.org/spreadsheetml/2006/main">
  <c r="C26" i="14" l="1"/>
  <c r="C11" i="14"/>
  <c r="C13" i="17" l="1"/>
  <c r="E29" i="16" l="1"/>
  <c r="E8" i="19" l="1"/>
  <c r="E7" i="19"/>
  <c r="E4" i="19"/>
  <c r="D17" i="11"/>
  <c r="C6" i="17" l="1"/>
  <c r="C14" i="17"/>
  <c r="C15" i="17" s="1"/>
  <c r="C16" i="17" s="1"/>
  <c r="C5" i="17"/>
  <c r="C7" i="17"/>
  <c r="C4" i="17"/>
  <c r="A26" i="16"/>
  <c r="B26" i="16"/>
  <c r="C26" i="16"/>
  <c r="D26" i="16"/>
  <c r="E26" i="16"/>
  <c r="E8" i="16"/>
  <c r="C36" i="10"/>
  <c r="C39" i="10"/>
  <c r="F21" i="18"/>
  <c r="C38" i="10"/>
  <c r="C27" i="10"/>
  <c r="C26" i="10"/>
  <c r="C37" i="10"/>
  <c r="C31" i="10"/>
  <c r="C30" i="10"/>
  <c r="C14" i="4" l="1"/>
  <c r="E14" i="4"/>
  <c r="A14" i="4"/>
  <c r="E16" i="11" l="1"/>
  <c r="A45" i="16"/>
  <c r="B45" i="16"/>
  <c r="C45" i="16"/>
  <c r="D45" i="16"/>
  <c r="E45" i="16"/>
  <c r="A25" i="16"/>
  <c r="B25" i="16"/>
  <c r="C25" i="16"/>
  <c r="D25" i="16"/>
  <c r="E25" i="16"/>
  <c r="B4" i="16"/>
  <c r="A4" i="16"/>
  <c r="C4" i="16"/>
  <c r="D4" i="16"/>
  <c r="E4" i="16"/>
  <c r="F12" i="4"/>
  <c r="A12" i="4"/>
  <c r="B12" i="4"/>
  <c r="C12" i="4"/>
  <c r="D12" i="4"/>
  <c r="E12" i="4"/>
  <c r="C53" i="16" l="1"/>
  <c r="C43" i="16"/>
  <c r="C32" i="16"/>
  <c r="C23" i="16"/>
  <c r="C12" i="16"/>
  <c r="E53" i="16"/>
  <c r="E43" i="16"/>
  <c r="E32" i="16"/>
  <c r="E23" i="16"/>
  <c r="E12" i="16"/>
  <c r="E17" i="4"/>
  <c r="C17" i="4"/>
  <c r="A10" i="15"/>
  <c r="A11" i="15"/>
  <c r="A12" i="15"/>
  <c r="H9" i="11"/>
  <c r="H10" i="11" s="1"/>
  <c r="H19" i="11"/>
  <c r="H20" i="11" s="1"/>
  <c r="H21" i="11" s="1"/>
  <c r="G16" i="11" l="1"/>
  <c r="C16" i="11"/>
  <c r="G9" i="19"/>
  <c r="G4" i="19"/>
  <c r="E5" i="19"/>
  <c r="G3" i="19"/>
  <c r="K14" i="16"/>
  <c r="F15" i="16" s="1"/>
  <c r="E7" i="4" l="1"/>
  <c r="D7" i="4" s="1"/>
  <c r="C7" i="4" s="1"/>
  <c r="A7" i="4" l="1"/>
  <c r="F8" i="19"/>
  <c r="G8" i="19" s="1"/>
  <c r="F7" i="19"/>
  <c r="G7" i="19" s="1"/>
  <c r="F6" i="19"/>
  <c r="G6" i="19" s="1"/>
  <c r="F5" i="19"/>
  <c r="G5" i="19" s="1"/>
  <c r="F18" i="11"/>
  <c r="D18" i="11"/>
  <c r="B18" i="11"/>
  <c r="C7" i="11"/>
  <c r="C9" i="11" s="1"/>
  <c r="D7" i="11"/>
  <c r="D9" i="11" s="1"/>
  <c r="E7" i="11"/>
  <c r="E9" i="11" s="1"/>
  <c r="F7" i="11"/>
  <c r="F9" i="11" s="1"/>
  <c r="G7" i="11"/>
  <c r="G9" i="11" s="1"/>
  <c r="A5" i="16"/>
  <c r="B5" i="16"/>
  <c r="C5" i="16"/>
  <c r="D5" i="16"/>
  <c r="E5" i="16"/>
  <c r="B7" i="11"/>
  <c r="B9" i="11" s="1"/>
  <c r="C18" i="11"/>
  <c r="C20" i="11" s="1"/>
  <c r="E18" i="11"/>
  <c r="E20" i="11" s="1"/>
  <c r="G18" i="11"/>
  <c r="G20" i="11" s="1"/>
  <c r="C17" i="15"/>
  <c r="D58" i="16" s="1"/>
  <c r="D48" i="16" s="1"/>
  <c r="C18" i="15"/>
  <c r="B58" i="16" s="1"/>
  <c r="B48" i="16" s="1"/>
  <c r="A11" i="4"/>
  <c r="B11" i="4"/>
  <c r="C11" i="4"/>
  <c r="D11" i="4"/>
  <c r="E11" i="4"/>
  <c r="A9" i="4"/>
  <c r="B9" i="4"/>
  <c r="C9" i="4"/>
  <c r="D9" i="4"/>
  <c r="E9" i="4"/>
  <c r="B6" i="15" l="1"/>
  <c r="A7" i="16" s="1"/>
  <c r="A8" i="16" s="1"/>
  <c r="G10" i="19"/>
  <c r="C8" i="14" s="1"/>
  <c r="B4" i="15"/>
  <c r="E7" i="16" s="1"/>
  <c r="C4" i="15"/>
  <c r="F7" i="16" s="1"/>
  <c r="C10" i="15"/>
  <c r="F28" i="16" s="1"/>
  <c r="F37" i="16" s="1"/>
  <c r="B20" i="11"/>
  <c r="B21" i="11" s="1"/>
  <c r="C11" i="15"/>
  <c r="D28" i="16" s="1"/>
  <c r="D37" i="16" s="1"/>
  <c r="D20" i="11"/>
  <c r="D21" i="11" s="1"/>
  <c r="C16" i="15"/>
  <c r="F58" i="16" s="1"/>
  <c r="F48" i="16" s="1"/>
  <c r="C6" i="15"/>
  <c r="B7" i="16" s="1"/>
  <c r="B8" i="16" s="1"/>
  <c r="F10" i="11"/>
  <c r="C5" i="15"/>
  <c r="D7" i="16" s="1"/>
  <c r="D8" i="16" s="1"/>
  <c r="D10" i="11"/>
  <c r="F45" i="16"/>
  <c r="F4" i="16"/>
  <c r="F5" i="16" s="1"/>
  <c r="F25" i="16"/>
  <c r="F9" i="4"/>
  <c r="B5" i="15"/>
  <c r="C12" i="15"/>
  <c r="B28" i="16" s="1"/>
  <c r="B37" i="16" s="1"/>
  <c r="F20" i="11"/>
  <c r="F21" i="11" s="1"/>
  <c r="B12" i="15"/>
  <c r="A28" i="16" s="1"/>
  <c r="A37" i="16" s="1"/>
  <c r="B11" i="15"/>
  <c r="C28" i="16" s="1"/>
  <c r="C37" i="16" s="1"/>
  <c r="B10" i="15"/>
  <c r="E28" i="16" s="1"/>
  <c r="E37" i="16" s="1"/>
  <c r="B10" i="11"/>
  <c r="F12" i="18"/>
  <c r="F11" i="18"/>
  <c r="B11" i="11" l="1"/>
  <c r="B22" i="11"/>
  <c r="F8" i="16"/>
  <c r="B16" i="15"/>
  <c r="E58" i="16" s="1"/>
  <c r="E48" i="16" s="1"/>
  <c r="B17" i="15"/>
  <c r="C58" i="16" s="1"/>
  <c r="C48" i="16" s="1"/>
  <c r="C7" i="16"/>
  <c r="C8" i="16" s="1"/>
  <c r="F18" i="18"/>
  <c r="F17" i="18"/>
  <c r="F15" i="18"/>
  <c r="B33" i="11" l="1"/>
  <c r="C22" i="17" s="1"/>
  <c r="B18" i="15"/>
  <c r="A58" i="16" s="1"/>
  <c r="A48" i="16" s="1"/>
  <c r="C24" i="14"/>
  <c r="F14" i="18"/>
  <c r="F4" i="18"/>
  <c r="F6" i="18"/>
  <c r="F8" i="18"/>
  <c r="F10" i="18"/>
  <c r="F16" i="18"/>
  <c r="F3" i="18"/>
  <c r="F5" i="18"/>
  <c r="F7" i="18"/>
  <c r="F9" i="18"/>
  <c r="F13" i="18"/>
  <c r="F19" i="18" l="1"/>
  <c r="C46" i="16"/>
  <c r="C49" i="16" s="1"/>
  <c r="B46" i="16"/>
  <c r="B49" i="16" s="1"/>
  <c r="K15" i="16"/>
  <c r="C9" i="14" l="1"/>
  <c r="F20" i="18"/>
  <c r="C10" i="14" s="1"/>
  <c r="E14" i="16"/>
  <c r="E15" i="16" s="1"/>
  <c r="F34" i="16"/>
  <c r="A34" i="16" s="1"/>
  <c r="A29" i="16"/>
  <c r="A46" i="16"/>
  <c r="A49" i="16" s="1"/>
  <c r="D46" i="16"/>
  <c r="D49" i="16" s="1"/>
  <c r="F46" i="16"/>
  <c r="F49" i="16" s="1"/>
  <c r="E46" i="16"/>
  <c r="E49" i="16" s="1"/>
  <c r="B29" i="16"/>
  <c r="C29" i="16"/>
  <c r="F26" i="16"/>
  <c r="F29" i="16" s="1"/>
  <c r="D29" i="16"/>
  <c r="A30" i="16" l="1"/>
  <c r="C21" i="14" s="1"/>
  <c r="C25" i="14"/>
  <c r="C34" i="16"/>
  <c r="C35" i="16" s="1"/>
  <c r="C38" i="16" s="1"/>
  <c r="E34" i="16"/>
  <c r="A35" i="16"/>
  <c r="A38" i="16" s="1"/>
  <c r="B34" i="16"/>
  <c r="F55" i="16"/>
  <c r="F35" i="16"/>
  <c r="F38" i="16" s="1"/>
  <c r="D34" i="16"/>
  <c r="A51" i="16"/>
  <c r="G13" i="10"/>
  <c r="E35" i="16" l="1"/>
  <c r="E38" i="16" s="1"/>
  <c r="F56" i="16"/>
  <c r="F59" i="16" s="1"/>
  <c r="B55" i="16"/>
  <c r="A55" i="16"/>
  <c r="E55" i="16"/>
  <c r="C55" i="16"/>
  <c r="D55" i="16"/>
  <c r="B35" i="16"/>
  <c r="B38" i="16" s="1"/>
  <c r="D35" i="16"/>
  <c r="D38" i="16" s="1"/>
  <c r="C8" i="10"/>
  <c r="G26" i="10"/>
  <c r="G19" i="10"/>
  <c r="G12" i="10"/>
  <c r="C12" i="10" s="1"/>
  <c r="G11" i="10"/>
  <c r="C11" i="10" s="1"/>
  <c r="E10" i="4"/>
  <c r="D10" i="4"/>
  <c r="C10" i="4"/>
  <c r="B10" i="4"/>
  <c r="A10" i="4"/>
  <c r="A40" i="16" l="1"/>
  <c r="C22" i="14" s="1"/>
  <c r="A56" i="16"/>
  <c r="A59" i="16" s="1"/>
  <c r="D56" i="16"/>
  <c r="D59" i="16" s="1"/>
  <c r="B56" i="16"/>
  <c r="B59" i="16" s="1"/>
  <c r="C56" i="16"/>
  <c r="C59" i="16" s="1"/>
  <c r="E56" i="16"/>
  <c r="E59" i="16" s="1"/>
  <c r="A61" i="16" l="1"/>
  <c r="A8" i="4"/>
  <c r="B8" i="4"/>
  <c r="C8" i="4"/>
  <c r="D8" i="4"/>
  <c r="E8" i="4"/>
  <c r="F8" i="4"/>
  <c r="A6" i="4"/>
  <c r="B6" i="4"/>
  <c r="C6" i="4"/>
  <c r="D6" i="4"/>
  <c r="E6" i="4"/>
  <c r="F6" i="4"/>
  <c r="C5" i="14" l="1"/>
  <c r="C20" i="14"/>
  <c r="C41" i="10" l="1"/>
  <c r="C14" i="10"/>
  <c r="C17" i="10"/>
  <c r="C18" i="10"/>
  <c r="C20" i="10" l="1"/>
  <c r="C21" i="10"/>
  <c r="C22" i="10" s="1"/>
  <c r="C23" i="10" l="1"/>
  <c r="A15" i="4"/>
  <c r="B15" i="4"/>
  <c r="C15" i="4"/>
  <c r="D15" i="4"/>
  <c r="E15" i="4"/>
  <c r="F15" i="4"/>
  <c r="F19" i="4" s="1"/>
  <c r="C24" i="10" l="1"/>
  <c r="C4" i="14"/>
  <c r="E23" i="4"/>
  <c r="E21" i="4"/>
  <c r="E19" i="4"/>
  <c r="C23" i="4"/>
  <c r="C21" i="4"/>
  <c r="C19" i="4"/>
  <c r="A23" i="4"/>
  <c r="A21" i="4"/>
  <c r="A19" i="4"/>
  <c r="F23" i="4"/>
  <c r="F21" i="4"/>
  <c r="D23" i="4"/>
  <c r="D21" i="4"/>
  <c r="A22" i="4" s="1"/>
  <c r="D19" i="4"/>
  <c r="B23" i="4"/>
  <c r="B21" i="4"/>
  <c r="B19" i="4"/>
  <c r="C9" i="15"/>
  <c r="C15" i="15" s="1"/>
  <c r="B9" i="15"/>
  <c r="B15" i="15" s="1"/>
  <c r="A17" i="15"/>
  <c r="A18" i="15"/>
  <c r="A16" i="15"/>
  <c r="A20" i="4" l="1"/>
  <c r="C3" i="14" s="1"/>
  <c r="C19" i="14"/>
  <c r="A24" i="4"/>
  <c r="C18" i="14"/>
  <c r="E11" i="15"/>
  <c r="E10" i="15"/>
  <c r="E12" i="15"/>
  <c r="E6" i="15" l="1"/>
  <c r="E5" i="15"/>
  <c r="E4" i="15"/>
  <c r="B17" i="16" l="1"/>
  <c r="E17" i="16" l="1"/>
  <c r="E18" i="16" s="1"/>
  <c r="D17" i="16"/>
  <c r="F17" i="16"/>
  <c r="F18" i="16" s="1"/>
  <c r="C17" i="16" l="1"/>
  <c r="A17" i="16"/>
  <c r="A10" i="16"/>
  <c r="A63" i="16" l="1"/>
  <c r="C6" i="14"/>
  <c r="C27" i="14" l="1"/>
  <c r="C28" i="14" s="1"/>
  <c r="C12" i="14"/>
  <c r="D14" i="16"/>
  <c r="D15" i="16" s="1"/>
  <c r="D18" i="16" s="1"/>
  <c r="C14" i="16"/>
  <c r="C15" i="16" s="1"/>
  <c r="C18" i="16" s="1"/>
  <c r="B14" i="16"/>
  <c r="B15" i="16" s="1"/>
  <c r="B18" i="16" s="1"/>
  <c r="A14" i="16"/>
  <c r="A15" i="16" s="1"/>
  <c r="A18" i="16" s="1"/>
  <c r="A20" i="16" l="1"/>
  <c r="C7" i="14" s="1"/>
  <c r="C13" i="14" l="1"/>
  <c r="A65" i="16"/>
  <c r="C29" i="14"/>
  <c r="C33" i="14" s="1"/>
  <c r="C14" i="14" l="1"/>
  <c r="C32" i="14" s="1"/>
  <c r="C34" i="14" s="1"/>
  <c r="C36" i="14"/>
</calcChain>
</file>

<file path=xl/comments1.xml><?xml version="1.0" encoding="utf-8"?>
<comments xmlns="http://schemas.openxmlformats.org/spreadsheetml/2006/main">
  <authors>
    <author>Arjmandi, Amin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Arjmandi, Amin:</t>
        </r>
        <r>
          <rPr>
            <sz val="9"/>
            <color indexed="81"/>
            <rFont val="Tahoma"/>
            <family val="2"/>
          </rPr>
          <t xml:space="preserve">
با احتساب هزينه هاي انجام شده بابت برگزاري كانون براي 185 نفر و همچنين كانون هاي پيش رو
</t>
        </r>
      </text>
    </comment>
  </commentList>
</comments>
</file>

<file path=xl/sharedStrings.xml><?xml version="1.0" encoding="utf-8"?>
<sst xmlns="http://schemas.openxmlformats.org/spreadsheetml/2006/main" count="350" uniqueCount="165">
  <si>
    <t xml:space="preserve">شرح </t>
  </si>
  <si>
    <t>كاردان</t>
  </si>
  <si>
    <t>ديپلم و
 زير ديپلم</t>
  </si>
  <si>
    <t>توضيحات</t>
  </si>
  <si>
    <t xml:space="preserve">بدون سابقه </t>
  </si>
  <si>
    <t xml:space="preserve"> بهره بردار</t>
  </si>
  <si>
    <t xml:space="preserve">جمع </t>
  </si>
  <si>
    <t>جمع هر رده</t>
  </si>
  <si>
    <t>جمع كل نفرات</t>
  </si>
  <si>
    <t>شرح آيتمهاي حقوقي</t>
  </si>
  <si>
    <t>شرح آيتمهاي حقوقي(ريال)</t>
  </si>
  <si>
    <t>با سابقه</t>
  </si>
  <si>
    <t>بدون سابقه</t>
  </si>
  <si>
    <t xml:space="preserve">حقوق ماهيانه </t>
  </si>
  <si>
    <t>سنوات</t>
  </si>
  <si>
    <t>مسكن</t>
  </si>
  <si>
    <t>عيدي</t>
  </si>
  <si>
    <t xml:space="preserve">پوشاك،البسه،وسايل ايمني </t>
  </si>
  <si>
    <t xml:space="preserve">ماموريت روزانه </t>
  </si>
  <si>
    <t>جمع</t>
  </si>
  <si>
    <t>آيتم</t>
  </si>
  <si>
    <t>غذاي مصرفي</t>
  </si>
  <si>
    <t>مبلغ (ريال)</t>
  </si>
  <si>
    <t>پايه</t>
  </si>
  <si>
    <t>كمك هزينه مسكن</t>
  </si>
  <si>
    <t>كمك هزينه اولاد</t>
  </si>
  <si>
    <t>بن</t>
  </si>
  <si>
    <t>فوق العاده جذب</t>
  </si>
  <si>
    <t>محروميت از تسهيلات زندگي</t>
  </si>
  <si>
    <t>شرايط محيط كار و پرتو</t>
  </si>
  <si>
    <t>ايثارگري</t>
  </si>
  <si>
    <t>سرپرستي</t>
  </si>
  <si>
    <t>البسه و وسايل ايمني</t>
  </si>
  <si>
    <t>بازخريد مرخصي 9روزه</t>
  </si>
  <si>
    <t>متوسط اضافه كاري 52ساعت</t>
  </si>
  <si>
    <t>رفاهيات</t>
  </si>
  <si>
    <t>جمع ناخالص ماهيانه هر نفر</t>
  </si>
  <si>
    <t>جمع كل ماهيانه</t>
  </si>
  <si>
    <t>جمع كل ساليانه</t>
  </si>
  <si>
    <t>رديف</t>
  </si>
  <si>
    <t>پارسيان</t>
  </si>
  <si>
    <t>جمع كل</t>
  </si>
  <si>
    <t>موضوع</t>
  </si>
  <si>
    <t>هزينه هاي اياب ذهاب و ماشين آلات</t>
  </si>
  <si>
    <t>هزينه حقوق و مزاياي پرسنل تپنا</t>
  </si>
  <si>
    <t>هزينه حقوق و مزاياي پرسنل راستين خدمات پارسيان</t>
  </si>
  <si>
    <t>نوبت كاري</t>
  </si>
  <si>
    <t>رفاهيات (مبلغ ماهيانه)</t>
  </si>
  <si>
    <t>رفاهيات (مبلغ ساليانه)</t>
  </si>
  <si>
    <t>برآورد هزينه پاداش ساليانه پرسنل تپنا</t>
  </si>
  <si>
    <t>برآورد هزينه تسهيلات رفاهي ساليانه پرسنل تپنا</t>
  </si>
  <si>
    <t>برآورد هزينه هاي آموزش كاركنان</t>
  </si>
  <si>
    <t xml:space="preserve">برآورد هزينه طبخ و توزيع و تامين غذاي كاركنان </t>
  </si>
  <si>
    <t>*</t>
  </si>
  <si>
    <t>برآورد هزينه پاداش ساليانه پرسنل راستين خدمات پارسيان</t>
  </si>
  <si>
    <t>هزينه پاداش ساليانه هر نفر</t>
  </si>
  <si>
    <t>مبالغ ثابت</t>
  </si>
  <si>
    <t>سال 98</t>
  </si>
  <si>
    <t>هزينه هاي اداري و دفتري (معادل 1% عملكرد رديف 1 و 2)</t>
  </si>
  <si>
    <t>سال 1400</t>
  </si>
  <si>
    <t>سال 1401</t>
  </si>
  <si>
    <t>سال 1402</t>
  </si>
  <si>
    <t>آناليز مبلغ قرارداد سال 1400شركت راستين خدمات پارسيان</t>
  </si>
  <si>
    <t>تعداد سال 1400</t>
  </si>
  <si>
    <t>جمع بندي نهايي سال 1400</t>
  </si>
  <si>
    <t>جمع بندي نهايي سال 1401</t>
  </si>
  <si>
    <t>تعداد سال 1401</t>
  </si>
  <si>
    <t>جمع سال 1401</t>
  </si>
  <si>
    <t>جمع کل سال 1402</t>
  </si>
  <si>
    <t>جمع سال 1402</t>
  </si>
  <si>
    <t>تعداد سال 1402</t>
  </si>
  <si>
    <t>جمع كل 1401</t>
  </si>
  <si>
    <t>جمع كل سال 1402</t>
  </si>
  <si>
    <t xml:space="preserve"> جذب 1400بهره بردار</t>
  </si>
  <si>
    <t xml:space="preserve"> جذب 1401 بهره بردار</t>
  </si>
  <si>
    <t xml:space="preserve"> جذب 1402 بهره بردار</t>
  </si>
  <si>
    <t>سال 99</t>
  </si>
  <si>
    <t>تعداد كاركنان</t>
  </si>
  <si>
    <t>شرح</t>
  </si>
  <si>
    <t>نوع وسيله نقليه</t>
  </si>
  <si>
    <t>تعداد</t>
  </si>
  <si>
    <t>مدت (ماه)</t>
  </si>
  <si>
    <t>مبلغ واحد (ريال)</t>
  </si>
  <si>
    <t>مبلغ كل (ريال)</t>
  </si>
  <si>
    <t>ميني بوس ايسوزو</t>
  </si>
  <si>
    <t>خودرو سواري</t>
  </si>
  <si>
    <t>اتوبوس</t>
  </si>
  <si>
    <t>آمبولانس</t>
  </si>
  <si>
    <t>ميني بوس (سرويس شهر و داخل نيروگاه)</t>
  </si>
  <si>
    <t>موتورسيكلت</t>
  </si>
  <si>
    <t>ميني بوس (سرويس شهر يا بهمني) نوبتكاري توليد</t>
  </si>
  <si>
    <t>ون</t>
  </si>
  <si>
    <t>نيروگاه به شهر  و بالعكس ميني‌بوس كولردار</t>
  </si>
  <si>
    <t>نيروگاه به بهمنی و بالعكس ميني‌بوس كولردار</t>
  </si>
  <si>
    <t>نيروگاه به عالیشهرو بالعكس ميني‌بوس كولردار</t>
  </si>
  <si>
    <t>نیسان کمپرسی حمل زباله</t>
  </si>
  <si>
    <t>مینی بوس داخل نیروگاه اتمی</t>
  </si>
  <si>
    <t>سرویس موردی</t>
  </si>
  <si>
    <t>متوسط اضافه كاري (40ساعت)</t>
  </si>
  <si>
    <t>پاداش (30 روز) (مبلغ ماهيانه)</t>
  </si>
  <si>
    <t>پاداش (30 روز) (مبلغ ساليانه)</t>
  </si>
  <si>
    <t>تعداد نفر/گروه</t>
  </si>
  <si>
    <t>تجهيزات آموزشي (لغت نامه، جزوات، كتاب و ....)</t>
  </si>
  <si>
    <t>-</t>
  </si>
  <si>
    <t>دوره تكميلي تخصصي زبان روسي، ويژه كانديداهاي اپراتوري اتاق كنترل</t>
  </si>
  <si>
    <t>تجهيزات آموزشي مربوط به رديف 4 (لغت نامه، جزوات، كتاب و ....)</t>
  </si>
  <si>
    <t>هزينه هاي جذب پرسنل جديد</t>
  </si>
  <si>
    <t>كانون ارزيابي شايستي و قابليت هاي پذيرفته شدگان</t>
  </si>
  <si>
    <t>بازخريد مرخصي 15 روز</t>
  </si>
  <si>
    <t>پذيرايي (7ماه- 20روزكاري- سزانه روزانه 60،000ريال)</t>
  </si>
  <si>
    <t>پذيرايي مربوط به رديف 4(3ماه- 20روزكاري- سزانه روزانه 60،000ريال)</t>
  </si>
  <si>
    <t>جمع كل  سال 1400</t>
  </si>
  <si>
    <t>جمع كل هزينه پاداش سال 1400 الي 1402</t>
  </si>
  <si>
    <t>جمع كل هزينه رفاهيات سال 1400 الي 1402</t>
  </si>
  <si>
    <t>جمع ماهيانه 1400</t>
  </si>
  <si>
    <t>جمع ماهيانه 1401</t>
  </si>
  <si>
    <t>جمع ماهيانه 1402</t>
  </si>
  <si>
    <t>مدت ( ساعت)</t>
  </si>
  <si>
    <t>سرانه ماهيانه/نفر</t>
  </si>
  <si>
    <t>مجموع هزينه ماهيانه کل</t>
  </si>
  <si>
    <t>40 ساعت</t>
  </si>
  <si>
    <t>پاداش (30 روز) (مبلغ 8 ماهه)</t>
  </si>
  <si>
    <t>جمع سال 1400 ( 8 ماهه)</t>
  </si>
  <si>
    <t>رفاهيات (مبلغ 8 ماهه)</t>
  </si>
  <si>
    <t>جمع سال 1400( 8 ماهه)</t>
  </si>
  <si>
    <t>جمع کل سال 1400 (8 ماهه)</t>
  </si>
  <si>
    <t>جمع کل سال 1400( 8 ماهه)</t>
  </si>
  <si>
    <t>مجموع هزينه سالیانه 1400( 8 ماهیانه)</t>
  </si>
  <si>
    <t xml:space="preserve">مجموع هزينه سالیانه 1402 </t>
  </si>
  <si>
    <t>جمع كل  8 ماهه سال  1400</t>
  </si>
  <si>
    <t>جمع كل   سال 1402</t>
  </si>
  <si>
    <t>جمع كل  8 ماهه 1400</t>
  </si>
  <si>
    <t>هزينه پاداش ساليانه هر نفر سال 1402</t>
  </si>
  <si>
    <t>جمع كل  سال1402</t>
  </si>
  <si>
    <t>هزينه پاداش ساليانه هر نفر 8 ماهه 1400</t>
  </si>
  <si>
    <t>جمع كل 8 ماهه سال 1400</t>
  </si>
  <si>
    <t>كارشناس سطح 2 و بالاتر</t>
  </si>
  <si>
    <t>كارشناس سطح يك</t>
  </si>
  <si>
    <t>جذب متغيير 3 ماهه</t>
  </si>
  <si>
    <t>جمع ناخالص ميانگين ماهيانه 172 نفر</t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</si>
  <si>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 8 ماهه سال 1400</t>
    </r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</si>
  <si>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</t>
    </r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</si>
  <si>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سال 1402</t>
    </r>
  </si>
  <si>
    <t>ميانگين حقوق ثابت بعلاوه ميانگين تفاوت تعديل براي هر سطح شغلي * 3. * تعداد واقعي پرسنل نوبتكار هر سطح شغلي / تعداد پرسنل هر سطح شغلي</t>
  </si>
  <si>
    <t>مجموع هزينه ماهيانه کل در شرايط كرونا</t>
  </si>
  <si>
    <t>تعداد كاركنان كه از غذا استفاه ميكنند</t>
  </si>
  <si>
    <t>عدد كل غذا براي 8ماه 1400</t>
  </si>
  <si>
    <t xml:space="preserve"> سال 1401</t>
  </si>
  <si>
    <t>مجموع هزينه سالیانه 1401(چهار ماه)</t>
  </si>
  <si>
    <t>شيفت + روزكار</t>
  </si>
  <si>
    <t>عدد كل غذا براي 4 ماه 1401</t>
  </si>
  <si>
    <t>جمع كل (با احتساب بيمه و ماليات)</t>
  </si>
  <si>
    <t>شيفت + روزكار+ 45نفر جذب بهرهبرداري+140جذب واحدهاي جديد</t>
  </si>
  <si>
    <t>جمع 4 ماهه سال 1401</t>
  </si>
  <si>
    <t>جمع چهارماهه سال 1401</t>
  </si>
  <si>
    <t>هزينه آموزشي 16گروه 12 نفري)</t>
  </si>
  <si>
    <t>جمع 4ماهه  سال  1401</t>
  </si>
  <si>
    <t>جمع كل بدون بيمه و ماليات</t>
  </si>
  <si>
    <t>هزينه مربوط به خدمات فرهنگي و ورزشي(تا سقف 0.25% عملكرد رديف 1 و 2)</t>
  </si>
  <si>
    <t>مبلغ كل سال 1400(هشت ماهه)</t>
  </si>
  <si>
    <t>مبلغ كل سال 1401 (چهار ماهه)</t>
  </si>
  <si>
    <t>مبلغ كل با احتساب بيمه و ماليات (ريال)</t>
  </si>
  <si>
    <t>جمع 4ماهه  سال1401</t>
  </si>
  <si>
    <t>هزينه پاداش ساليانه هر نفر 4ماهه سال 1401</t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</si>
  <si>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4 ماهه سال 1401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</si>
</sst>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-"/>
    <numFmt numFmtId="165" formatCode="#,##0.0"/>
  </numFmts>
  <fonts count="28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rgb="FF000000"/>
      <name val="B Titr"/>
      <charset val="178"/>
    </font>
    <font>
      <b/>
      <sz val="9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6"/>
      <color rgb="FF000000"/>
      <name val="B Titr"/>
      <charset val="178"/>
    </font>
    <font>
      <sz val="12"/>
      <color theme="1"/>
      <name val="B Nazanin"/>
      <charset val="178"/>
    </font>
    <font>
      <sz val="11"/>
      <color theme="1"/>
      <name val="B Titr"/>
      <charset val="178"/>
    </font>
    <font>
      <b/>
      <sz val="16"/>
      <color rgb="FF000000"/>
      <name val="B Nazanin"/>
      <charset val="178"/>
    </font>
    <font>
      <b/>
      <sz val="13"/>
      <color rgb="FF000000"/>
      <name val="B Nazanin"/>
      <charset val="178"/>
    </font>
    <font>
      <sz val="16"/>
      <color theme="1"/>
      <name val="B Titr"/>
      <charset val="178"/>
    </font>
    <font>
      <sz val="14"/>
      <color rgb="FF000000"/>
      <name val="B Nazanin"/>
      <charset val="178"/>
    </font>
    <font>
      <sz val="12"/>
      <color theme="1"/>
      <name val="B Titr"/>
      <charset val="178"/>
    </font>
    <font>
      <sz val="14"/>
      <name val="B Nazanin"/>
      <charset val="178"/>
    </font>
    <font>
      <sz val="12"/>
      <color theme="1"/>
      <name val="B Mitra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horizontal="center" vertical="top" wrapText="1" readingOrder="2"/>
    </xf>
    <xf numFmtId="3" fontId="9" fillId="0" borderId="0" xfId="0" applyNumberFormat="1" applyFont="1" applyBorder="1" applyAlignment="1">
      <alignment horizontal="center" vertical="top" wrapText="1" readingOrder="2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0" fillId="0" borderId="0" xfId="0" applyNumberFormat="1"/>
    <xf numFmtId="0" fontId="12" fillId="0" borderId="9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 readingOrder="2"/>
    </xf>
    <xf numFmtId="0" fontId="10" fillId="0" borderId="9" xfId="0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0" fontId="11" fillId="0" borderId="9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8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Fill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3" fillId="0" borderId="9" xfId="0" applyNumberFormat="1" applyFont="1" applyBorder="1" applyAlignment="1">
      <alignment horizontal="center" vertical="center" wrapText="1" readingOrder="2"/>
    </xf>
    <xf numFmtId="1" fontId="3" fillId="0" borderId="9" xfId="0" applyNumberFormat="1" applyFont="1" applyBorder="1" applyAlignment="1">
      <alignment horizontal="center" vertical="center" wrapText="1" readingOrder="2"/>
    </xf>
    <xf numFmtId="164" fontId="3" fillId="0" borderId="9" xfId="0" applyNumberFormat="1" applyFont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shrinkToFit="1" readingOrder="2"/>
    </xf>
    <xf numFmtId="164" fontId="1" fillId="0" borderId="0" xfId="0" applyNumberFormat="1" applyFont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 wrapText="1" readingOrder="2"/>
    </xf>
    <xf numFmtId="0" fontId="15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0" fillId="0" borderId="0" xfId="0" applyBorder="1"/>
    <xf numFmtId="0" fontId="0" fillId="0" borderId="20" xfId="0" applyBorder="1"/>
    <xf numFmtId="0" fontId="5" fillId="0" borderId="4" xfId="0" applyFont="1" applyBorder="1" applyAlignment="1">
      <alignment horizontal="center" vertical="center" wrapText="1" readingOrder="2"/>
    </xf>
    <xf numFmtId="0" fontId="7" fillId="0" borderId="20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1" fillId="4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14" xfId="0" applyFont="1" applyFill="1" applyBorder="1" applyAlignment="1">
      <alignment horizontal="center" vertical="center" shrinkToFit="1" readingOrder="2"/>
    </xf>
    <xf numFmtId="0" fontId="15" fillId="0" borderId="9" xfId="0" applyFont="1" applyFill="1" applyBorder="1" applyAlignment="1">
      <alignment horizontal="center" vertical="center" readingOrder="2"/>
    </xf>
    <xf numFmtId="164" fontId="15" fillId="0" borderId="9" xfId="0" applyNumberFormat="1" applyFont="1" applyFill="1" applyBorder="1" applyAlignment="1">
      <alignment horizontal="center" vertical="center" readingOrder="2"/>
    </xf>
    <xf numFmtId="164" fontId="15" fillId="0" borderId="4" xfId="0" applyNumberFormat="1" applyFont="1" applyBorder="1" applyAlignment="1">
      <alignment horizontal="center" vertical="center" readingOrder="2"/>
    </xf>
    <xf numFmtId="0" fontId="15" fillId="0" borderId="11" xfId="0" applyFont="1" applyBorder="1" applyAlignment="1">
      <alignment horizontal="center" vertical="center" readingOrder="2"/>
    </xf>
    <xf numFmtId="0" fontId="15" fillId="0" borderId="14" xfId="0" applyFont="1" applyFill="1" applyBorder="1" applyAlignment="1">
      <alignment horizontal="center" vertical="center" readingOrder="2"/>
    </xf>
    <xf numFmtId="164" fontId="15" fillId="0" borderId="25" xfId="0" applyNumberFormat="1" applyFont="1" applyBorder="1" applyAlignment="1">
      <alignment horizontal="center" vertical="center" readingOrder="2"/>
    </xf>
    <xf numFmtId="0" fontId="15" fillId="0" borderId="14" xfId="0" applyFont="1" applyBorder="1" applyAlignment="1">
      <alignment horizontal="center" vertical="center" shrinkToFit="1" readingOrder="2"/>
    </xf>
    <xf numFmtId="164" fontId="15" fillId="0" borderId="14" xfId="0" applyNumberFormat="1" applyFont="1" applyFill="1" applyBorder="1" applyAlignment="1">
      <alignment horizontal="center" vertical="center" readingOrder="2"/>
    </xf>
    <xf numFmtId="164" fontId="24" fillId="0" borderId="6" xfId="0" applyNumberFormat="1" applyFont="1" applyBorder="1" applyAlignment="1">
      <alignment horizontal="center" vertical="center" readingOrder="2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 readingOrder="2"/>
    </xf>
    <xf numFmtId="0" fontId="10" fillId="0" borderId="13" xfId="0" applyFont="1" applyFill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 readingOrder="2"/>
    </xf>
    <xf numFmtId="164" fontId="3" fillId="0" borderId="22" xfId="0" applyNumberFormat="1" applyFont="1" applyBorder="1" applyAlignment="1">
      <alignment horizontal="center" vertical="center" wrapText="1" readingOrder="2"/>
    </xf>
    <xf numFmtId="164" fontId="3" fillId="0" borderId="13" xfId="0" applyNumberFormat="1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3" fontId="17" fillId="0" borderId="10" xfId="0" applyNumberFormat="1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3" fontId="17" fillId="0" borderId="9" xfId="0" applyNumberFormat="1" applyFont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readingOrder="2"/>
    </xf>
    <xf numFmtId="0" fontId="15" fillId="0" borderId="13" xfId="0" applyFont="1" applyBorder="1" applyAlignment="1">
      <alignment horizontal="center" vertical="center" readingOrder="2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4" fillId="0" borderId="5" xfId="0" applyNumberFormat="1" applyFont="1" applyBorder="1" applyAlignment="1">
      <alignment horizontal="center" vertical="center" readingOrder="2"/>
    </xf>
    <xf numFmtId="164" fontId="24" fillId="0" borderId="21" xfId="0" applyNumberFormat="1" applyFont="1" applyBorder="1" applyAlignment="1">
      <alignment horizontal="center" vertical="center" readingOrder="2"/>
    </xf>
    <xf numFmtId="164" fontId="24" fillId="0" borderId="10" xfId="0" applyNumberFormat="1" applyFont="1" applyBorder="1" applyAlignment="1">
      <alignment horizontal="center" vertical="center" readingOrder="2"/>
    </xf>
    <xf numFmtId="0" fontId="2" fillId="0" borderId="23" xfId="0" applyFont="1" applyBorder="1" applyAlignment="1">
      <alignment horizontal="center" vertical="center" wrapText="1" readingOrder="2"/>
    </xf>
    <xf numFmtId="0" fontId="2" fillId="0" borderId="24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readingOrder="2"/>
    </xf>
    <xf numFmtId="3" fontId="7" fillId="0" borderId="12" xfId="0" applyNumberFormat="1" applyFont="1" applyFill="1" applyBorder="1" applyAlignment="1">
      <alignment horizontal="center" vertical="center" wrapText="1" readingOrder="2"/>
    </xf>
    <xf numFmtId="3" fontId="7" fillId="0" borderId="22" xfId="0" applyNumberFormat="1" applyFont="1" applyFill="1" applyBorder="1" applyAlignment="1">
      <alignment horizontal="center" vertical="center" wrapText="1" readingOrder="2"/>
    </xf>
    <xf numFmtId="3" fontId="7" fillId="0" borderId="13" xfId="0" applyNumberFormat="1" applyFont="1" applyFill="1" applyBorder="1" applyAlignment="1">
      <alignment horizontal="center" vertical="center" wrapText="1" readingOrder="2"/>
    </xf>
    <xf numFmtId="0" fontId="21" fillId="0" borderId="7" xfId="0" applyFont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 wrapText="1" readingOrder="2"/>
    </xf>
    <xf numFmtId="3" fontId="13" fillId="0" borderId="13" xfId="0" applyNumberFormat="1" applyFont="1" applyFill="1" applyBorder="1" applyAlignment="1">
      <alignment horizontal="center" vertical="center" wrapText="1" readingOrder="2"/>
    </xf>
    <xf numFmtId="0" fontId="19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13</xdr:row>
      <xdr:rowOff>95250</xdr:rowOff>
    </xdr:from>
    <xdr:to>
      <xdr:col>7</xdr:col>
      <xdr:colOff>447675</xdr:colOff>
      <xdr:row>13</xdr:row>
      <xdr:rowOff>276225</xdr:rowOff>
    </xdr:to>
    <xdr:sp macro="" textlink="">
      <xdr:nvSpPr>
        <xdr:cNvPr id="3" name="Right Arrow 2"/>
        <xdr:cNvSpPr/>
      </xdr:nvSpPr>
      <xdr:spPr>
        <a:xfrm rot="10800000">
          <a:off x="9983276325" y="3705225"/>
          <a:ext cx="314325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41"/>
  <sheetViews>
    <sheetView rightToLeft="1" view="pageBreakPreview" topLeftCell="A25" zoomScaleNormal="100" zoomScaleSheetLayoutView="100" workbookViewId="0">
      <selection activeCell="A39" sqref="A39:B39"/>
    </sheetView>
  </sheetViews>
  <sheetFormatPr defaultRowHeight="18"/>
  <cols>
    <col min="1" max="1" width="6" customWidth="1"/>
    <col min="2" max="2" width="52.42578125" customWidth="1"/>
    <col min="3" max="3" width="20.85546875" customWidth="1"/>
    <col min="4" max="4" width="2.140625" style="47" customWidth="1"/>
    <col min="5" max="5" width="1.42578125" style="47" customWidth="1"/>
    <col min="6" max="7" width="9.7109375" style="52" bestFit="1" customWidth="1"/>
    <col min="8" max="8" width="8" style="47" customWidth="1"/>
    <col min="10" max="10" width="10.140625" bestFit="1" customWidth="1"/>
    <col min="11" max="11" width="10.85546875" bestFit="1" customWidth="1"/>
    <col min="12" max="12" width="4" customWidth="1"/>
    <col min="13" max="13" width="11.7109375" bestFit="1" customWidth="1"/>
    <col min="14" max="14" width="10.85546875" bestFit="1" customWidth="1"/>
  </cols>
  <sheetData>
    <row r="1" spans="1:14" ht="22.5">
      <c r="A1" s="116" t="s">
        <v>62</v>
      </c>
      <c r="B1" s="116"/>
      <c r="C1" s="116"/>
      <c r="K1" s="14"/>
      <c r="L1" s="14"/>
      <c r="N1" s="14"/>
    </row>
    <row r="2" spans="1:14">
      <c r="F2" s="121" t="s">
        <v>56</v>
      </c>
      <c r="G2" s="121"/>
      <c r="I2" s="115"/>
      <c r="J2" s="115"/>
      <c r="K2" s="14"/>
      <c r="L2" s="115"/>
      <c r="M2" s="115"/>
      <c r="N2" s="14"/>
    </row>
    <row r="3" spans="1:14" ht="22.5">
      <c r="A3" s="28" t="s">
        <v>39</v>
      </c>
      <c r="B3" s="28" t="s">
        <v>20</v>
      </c>
      <c r="C3" s="28" t="s">
        <v>22</v>
      </c>
      <c r="F3" s="52" t="s">
        <v>57</v>
      </c>
      <c r="G3" s="52" t="s">
        <v>76</v>
      </c>
      <c r="I3" s="115"/>
      <c r="J3" s="115"/>
      <c r="K3" s="14"/>
      <c r="L3" s="115"/>
      <c r="M3" s="115"/>
      <c r="N3" s="14"/>
    </row>
    <row r="4" spans="1:14" ht="23.25">
      <c r="A4" s="15">
        <v>1</v>
      </c>
      <c r="B4" s="15" t="s">
        <v>23</v>
      </c>
      <c r="C4" s="27">
        <v>55000000</v>
      </c>
      <c r="I4" s="115"/>
      <c r="J4" s="115"/>
      <c r="K4" s="14"/>
      <c r="L4" s="115"/>
      <c r="M4" s="115"/>
      <c r="N4" s="14"/>
    </row>
    <row r="5" spans="1:14" ht="23.25">
      <c r="A5" s="15">
        <v>2</v>
      </c>
      <c r="B5" s="15" t="s">
        <v>24</v>
      </c>
      <c r="C5" s="27">
        <v>4500000</v>
      </c>
    </row>
    <row r="6" spans="1:14" ht="23.25">
      <c r="A6" s="15">
        <v>3</v>
      </c>
      <c r="B6" s="15" t="s">
        <v>25</v>
      </c>
      <c r="C6" s="27">
        <v>2655495</v>
      </c>
      <c r="D6" s="47" t="s">
        <v>53</v>
      </c>
    </row>
    <row r="7" spans="1:14" ht="23.25">
      <c r="A7" s="15">
        <v>4</v>
      </c>
      <c r="B7" s="15" t="s">
        <v>26</v>
      </c>
      <c r="C7" s="27">
        <v>6000000</v>
      </c>
    </row>
    <row r="8" spans="1:14" ht="23.25">
      <c r="A8" s="15">
        <v>5</v>
      </c>
      <c r="B8" s="15" t="s">
        <v>27</v>
      </c>
      <c r="C8" s="27">
        <f>G8*1.36</f>
        <v>0</v>
      </c>
    </row>
    <row r="9" spans="1:14" ht="23.25">
      <c r="A9" s="15">
        <v>6</v>
      </c>
      <c r="B9" s="15" t="s">
        <v>28</v>
      </c>
      <c r="C9" s="27">
        <v>6770000</v>
      </c>
      <c r="D9" s="47" t="s">
        <v>53</v>
      </c>
    </row>
    <row r="10" spans="1:14" ht="23.25">
      <c r="A10" s="15">
        <v>7</v>
      </c>
      <c r="B10" s="15" t="s">
        <v>29</v>
      </c>
      <c r="C10" s="27">
        <v>6314000</v>
      </c>
      <c r="D10" s="47" t="s">
        <v>53</v>
      </c>
      <c r="J10" s="20"/>
    </row>
    <row r="11" spans="1:14" ht="23.25">
      <c r="A11" s="15">
        <v>8</v>
      </c>
      <c r="B11" s="15" t="s">
        <v>30</v>
      </c>
      <c r="C11" s="27">
        <f>G11*1.36</f>
        <v>78110.851999999999</v>
      </c>
      <c r="F11" s="52">
        <v>49943</v>
      </c>
      <c r="G11" s="52">
        <f>F11*1.15</f>
        <v>57434.45</v>
      </c>
      <c r="J11" s="20"/>
    </row>
    <row r="12" spans="1:14" ht="23.25">
      <c r="A12" s="15">
        <v>9</v>
      </c>
      <c r="B12" s="15" t="s">
        <v>31</v>
      </c>
      <c r="C12" s="27">
        <f>G12*1.36</f>
        <v>36212.856</v>
      </c>
      <c r="F12" s="52">
        <v>23154</v>
      </c>
      <c r="G12" s="52">
        <f>F12*1.15</f>
        <v>26627.1</v>
      </c>
    </row>
    <row r="13" spans="1:14" ht="23.25">
      <c r="A13" s="15">
        <v>10</v>
      </c>
      <c r="B13" s="15" t="s">
        <v>16</v>
      </c>
      <c r="C13" s="27">
        <v>6638738</v>
      </c>
      <c r="F13" s="52">
        <v>3792203</v>
      </c>
      <c r="G13" s="52">
        <f>F13*1.15</f>
        <v>4361033.4499999993</v>
      </c>
    </row>
    <row r="14" spans="1:14" ht="23.25">
      <c r="A14" s="15">
        <v>11</v>
      </c>
      <c r="B14" s="15" t="s">
        <v>14</v>
      </c>
      <c r="C14" s="27">
        <f>ROUND((C4+C9+C10+C11)/12,0)</f>
        <v>5680176</v>
      </c>
      <c r="D14" s="47" t="s">
        <v>53</v>
      </c>
    </row>
    <row r="15" spans="1:14" ht="23.25">
      <c r="A15" s="15">
        <v>12</v>
      </c>
      <c r="B15" s="15" t="s">
        <v>32</v>
      </c>
      <c r="C15" s="27">
        <v>1000000</v>
      </c>
    </row>
    <row r="16" spans="1:14" ht="23.25">
      <c r="A16" s="15">
        <v>13</v>
      </c>
      <c r="B16" s="16" t="s">
        <v>21</v>
      </c>
      <c r="C16" s="27">
        <v>0</v>
      </c>
    </row>
    <row r="17" spans="1:9" ht="23.25">
      <c r="A17" s="15">
        <v>14</v>
      </c>
      <c r="B17" s="16" t="s">
        <v>33</v>
      </c>
      <c r="C17" s="27">
        <f>(((C4+C5+C6+C7+C8+C9+C10+C11+C12)/30)*9)/12</f>
        <v>2033845.4677000002</v>
      </c>
      <c r="D17" s="47" t="s">
        <v>53</v>
      </c>
    </row>
    <row r="18" spans="1:9" ht="23.25">
      <c r="A18" s="15">
        <v>15</v>
      </c>
      <c r="B18" s="16" t="s">
        <v>34</v>
      </c>
      <c r="C18" s="27">
        <f>ROUND((((C4+C9+C10+C11+C12)/192)*1.4)*52,0)</f>
        <v>25858531</v>
      </c>
      <c r="D18" s="47" t="s">
        <v>53</v>
      </c>
    </row>
    <row r="19" spans="1:9" ht="23.25">
      <c r="A19" s="15">
        <v>16</v>
      </c>
      <c r="B19" s="16" t="s">
        <v>35</v>
      </c>
      <c r="C19" s="27">
        <v>7750000</v>
      </c>
      <c r="F19" s="52">
        <v>8231667</v>
      </c>
      <c r="G19" s="52">
        <f>F19*1.15</f>
        <v>9466417.0499999989</v>
      </c>
    </row>
    <row r="20" spans="1:9" ht="22.5" customHeight="1">
      <c r="A20" s="117" t="s">
        <v>19</v>
      </c>
      <c r="B20" s="118"/>
      <c r="C20" s="27">
        <f>ROUND(SUM(C4:C19),0)</f>
        <v>130315109</v>
      </c>
      <c r="D20" s="47" t="s">
        <v>53</v>
      </c>
    </row>
    <row r="21" spans="1:9" ht="23.25">
      <c r="A21" s="25">
        <v>1</v>
      </c>
      <c r="B21" s="26" t="s">
        <v>36</v>
      </c>
      <c r="C21" s="27">
        <f>ROUND(SUM(C4:C19),0)</f>
        <v>130315109</v>
      </c>
      <c r="D21" s="47" t="s">
        <v>53</v>
      </c>
    </row>
    <row r="22" spans="1:9" ht="23.25">
      <c r="A22" s="25">
        <v>2</v>
      </c>
      <c r="B22" s="26" t="s">
        <v>139</v>
      </c>
      <c r="C22" s="27">
        <f>ROUND(C21*172,0)</f>
        <v>22414198748</v>
      </c>
      <c r="D22" s="47" t="s">
        <v>53</v>
      </c>
    </row>
    <row r="23" spans="1:9" ht="23.25">
      <c r="A23" s="25">
        <v>3</v>
      </c>
      <c r="B23" s="26" t="s">
        <v>37</v>
      </c>
      <c r="C23" s="27">
        <f>C22</f>
        <v>22414198748</v>
      </c>
      <c r="D23" s="47" t="s">
        <v>53</v>
      </c>
    </row>
    <row r="24" spans="1:9" ht="23.25">
      <c r="A24" s="25">
        <v>4</v>
      </c>
      <c r="B24" s="26" t="s">
        <v>38</v>
      </c>
      <c r="C24" s="27">
        <f>ROUND(C23*12,0)</f>
        <v>268970384976</v>
      </c>
      <c r="D24" s="47" t="s">
        <v>53</v>
      </c>
    </row>
    <row r="25" spans="1:9" ht="6" customHeight="1"/>
    <row r="26" spans="1:9" ht="20.25" customHeight="1">
      <c r="A26" s="119" t="s">
        <v>55</v>
      </c>
      <c r="B26" s="120"/>
      <c r="C26" s="27">
        <f>G26*1.36</f>
        <v>12512000</v>
      </c>
      <c r="F26" s="52">
        <v>8000000</v>
      </c>
      <c r="G26" s="52">
        <f>F26*1.15</f>
        <v>9200000</v>
      </c>
    </row>
    <row r="27" spans="1:9" ht="20.25" customHeight="1">
      <c r="A27" s="119" t="s">
        <v>141</v>
      </c>
      <c r="B27" s="120"/>
      <c r="C27" s="27">
        <f>C26*172</f>
        <v>2152064000</v>
      </c>
      <c r="D27" s="47" t="s">
        <v>53</v>
      </c>
    </row>
    <row r="28" spans="1:9" ht="20.25" customHeight="1">
      <c r="A28" s="100"/>
      <c r="B28" s="100"/>
      <c r="C28" s="101"/>
      <c r="F28" s="98"/>
      <c r="G28" s="98"/>
    </row>
    <row r="29" spans="1:9" ht="20.25" customHeight="1">
      <c r="A29" s="100"/>
      <c r="B29" s="100"/>
      <c r="C29" s="101"/>
      <c r="F29" s="98"/>
      <c r="G29" s="98"/>
    </row>
    <row r="30" spans="1:9" ht="23.25">
      <c r="A30">
        <v>1</v>
      </c>
      <c r="B30" s="26" t="s">
        <v>131</v>
      </c>
      <c r="C30" s="27">
        <f>C23*8</f>
        <v>179313589984</v>
      </c>
    </row>
    <row r="31" spans="1:9" ht="23.25">
      <c r="A31" s="25">
        <v>2</v>
      </c>
      <c r="B31" s="26" t="s">
        <v>162</v>
      </c>
      <c r="C31" s="27">
        <f>C23*4*1.4</f>
        <v>125519512988.79999</v>
      </c>
      <c r="I31">
        <v>1.4</v>
      </c>
    </row>
    <row r="32" spans="1:9" ht="23.25" hidden="1">
      <c r="A32" s="25">
        <v>3</v>
      </c>
      <c r="B32" s="26" t="s">
        <v>133</v>
      </c>
      <c r="C32" s="27">
        <v>0</v>
      </c>
      <c r="I32">
        <v>1.3</v>
      </c>
    </row>
    <row r="36" spans="1:9" ht="23.25">
      <c r="A36" s="119" t="s">
        <v>134</v>
      </c>
      <c r="B36" s="120"/>
      <c r="C36" s="27">
        <f>(C26/12)*8</f>
        <v>8341333.333333333</v>
      </c>
    </row>
    <row r="37" spans="1:9" ht="23.25">
      <c r="A37" s="119" t="s">
        <v>140</v>
      </c>
      <c r="B37" s="120"/>
      <c r="C37" s="27">
        <f>C36*172</f>
        <v>1434709333.3333333</v>
      </c>
    </row>
    <row r="38" spans="1:9" ht="23.25">
      <c r="A38" s="119" t="s">
        <v>163</v>
      </c>
      <c r="B38" s="120"/>
      <c r="C38" s="27">
        <f>((C26*1.4)/12)*4</f>
        <v>5838933.333333333</v>
      </c>
      <c r="I38">
        <v>1.4</v>
      </c>
    </row>
    <row r="39" spans="1:9" ht="23.25">
      <c r="A39" s="119" t="s">
        <v>164</v>
      </c>
      <c r="B39" s="120"/>
      <c r="C39" s="27">
        <f>C38*172</f>
        <v>1004296533.3333333</v>
      </c>
    </row>
    <row r="40" spans="1:9" ht="23.25" hidden="1">
      <c r="A40" s="119" t="s">
        <v>132</v>
      </c>
      <c r="B40" s="120"/>
      <c r="C40" s="27">
        <v>0</v>
      </c>
      <c r="I40">
        <v>1.3</v>
      </c>
    </row>
    <row r="41" spans="1:9" ht="23.25" hidden="1">
      <c r="A41" s="119" t="s">
        <v>142</v>
      </c>
      <c r="B41" s="120"/>
      <c r="C41" s="27">
        <f>C40*172</f>
        <v>0</v>
      </c>
    </row>
  </sheetData>
  <mergeCells count="17">
    <mergeCell ref="A41:B41"/>
    <mergeCell ref="A36:B36"/>
    <mergeCell ref="A37:B37"/>
    <mergeCell ref="A38:B38"/>
    <mergeCell ref="A39:B39"/>
    <mergeCell ref="A40:B40"/>
    <mergeCell ref="A1:C1"/>
    <mergeCell ref="A20:B20"/>
    <mergeCell ref="A26:B26"/>
    <mergeCell ref="A27:B27"/>
    <mergeCell ref="F2:G2"/>
    <mergeCell ref="I2:J2"/>
    <mergeCell ref="I3:J3"/>
    <mergeCell ref="I4:J4"/>
    <mergeCell ref="L2:M2"/>
    <mergeCell ref="L3:M3"/>
    <mergeCell ref="L4:M4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33"/>
  <sheetViews>
    <sheetView rightToLeft="1" view="pageBreakPreview" zoomScaleNormal="100" zoomScaleSheetLayoutView="100" workbookViewId="0">
      <selection activeCell="F17" sqref="F17"/>
    </sheetView>
  </sheetViews>
  <sheetFormatPr defaultRowHeight="18"/>
  <cols>
    <col min="1" max="1" width="21" style="2" customWidth="1"/>
    <col min="2" max="2" width="10.28515625" style="2" customWidth="1"/>
    <col min="3" max="3" width="12" style="2" customWidth="1"/>
    <col min="4" max="7" width="10.28515625" style="2" customWidth="1"/>
    <col min="8" max="8" width="11.85546875" style="2" customWidth="1"/>
    <col min="9" max="9" width="31.140625" style="2" customWidth="1"/>
    <col min="10" max="16384" width="9.140625" style="2"/>
  </cols>
  <sheetData>
    <row r="1" spans="1:9" ht="22.5">
      <c r="A1" s="122" t="s">
        <v>59</v>
      </c>
      <c r="B1" s="122"/>
      <c r="C1" s="122"/>
      <c r="D1" s="122"/>
      <c r="E1" s="122"/>
      <c r="F1" s="122"/>
      <c r="G1" s="122"/>
      <c r="H1" s="122"/>
      <c r="I1" s="122"/>
    </row>
    <row r="2" spans="1:9" ht="6.75" customHeight="1" thickBot="1">
      <c r="A2" s="17"/>
      <c r="B2" s="18"/>
      <c r="C2" s="18"/>
      <c r="D2" s="18"/>
      <c r="E2" s="18"/>
      <c r="F2" s="18"/>
      <c r="G2" s="18"/>
      <c r="H2" s="18"/>
      <c r="I2" s="18"/>
    </row>
    <row r="3" spans="1:9" ht="19.5" customHeight="1">
      <c r="A3" s="127" t="s">
        <v>0</v>
      </c>
      <c r="B3" s="129" t="s">
        <v>136</v>
      </c>
      <c r="C3" s="129"/>
      <c r="D3" s="129" t="s">
        <v>137</v>
      </c>
      <c r="E3" s="129"/>
      <c r="F3" s="129" t="s">
        <v>1</v>
      </c>
      <c r="G3" s="129"/>
      <c r="H3" s="130" t="s">
        <v>2</v>
      </c>
      <c r="I3" s="123" t="s">
        <v>3</v>
      </c>
    </row>
    <row r="4" spans="1:9" ht="23.25">
      <c r="A4" s="128"/>
      <c r="B4" s="12" t="s">
        <v>4</v>
      </c>
      <c r="C4" s="12" t="s">
        <v>11</v>
      </c>
      <c r="D4" s="12" t="s">
        <v>4</v>
      </c>
      <c r="E4" s="12" t="s">
        <v>11</v>
      </c>
      <c r="F4" s="12" t="s">
        <v>4</v>
      </c>
      <c r="G4" s="12" t="s">
        <v>11</v>
      </c>
      <c r="H4" s="131"/>
      <c r="I4" s="124"/>
    </row>
    <row r="5" spans="1:9" ht="23.25">
      <c r="A5" s="11" t="s">
        <v>5</v>
      </c>
      <c r="B5" s="13">
        <v>0</v>
      </c>
      <c r="C5" s="13">
        <v>109</v>
      </c>
      <c r="D5" s="13">
        <v>8</v>
      </c>
      <c r="E5" s="13">
        <v>167</v>
      </c>
      <c r="F5" s="13">
        <v>14</v>
      </c>
      <c r="G5" s="13">
        <v>401</v>
      </c>
      <c r="H5" s="83"/>
      <c r="I5" s="3"/>
    </row>
    <row r="6" spans="1:9" ht="18" customHeight="1">
      <c r="A6" s="19" t="s">
        <v>73</v>
      </c>
      <c r="B6" s="13">
        <v>0</v>
      </c>
      <c r="C6" s="83"/>
      <c r="D6" s="13">
        <v>0</v>
      </c>
      <c r="E6" s="83"/>
      <c r="F6" s="13">
        <v>0</v>
      </c>
      <c r="G6" s="83"/>
      <c r="H6" s="83"/>
      <c r="I6" s="3"/>
    </row>
    <row r="7" spans="1:9" ht="23.25">
      <c r="A7" s="11" t="s">
        <v>6</v>
      </c>
      <c r="B7" s="13">
        <f>SUM(B5:B6)</f>
        <v>0</v>
      </c>
      <c r="C7" s="78">
        <f t="shared" ref="C7:G7" si="0">SUM(C5:C6)</f>
        <v>109</v>
      </c>
      <c r="D7" s="78">
        <f t="shared" si="0"/>
        <v>8</v>
      </c>
      <c r="E7" s="78">
        <f t="shared" si="0"/>
        <v>167</v>
      </c>
      <c r="F7" s="78">
        <f t="shared" si="0"/>
        <v>14</v>
      </c>
      <c r="G7" s="78">
        <f t="shared" si="0"/>
        <v>401</v>
      </c>
      <c r="H7" s="83"/>
      <c r="I7" s="3"/>
    </row>
    <row r="8" spans="1:9" ht="23.25">
      <c r="A8" s="11" t="s">
        <v>40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172</v>
      </c>
      <c r="I8" s="3"/>
    </row>
    <row r="9" spans="1:9" s="21" customFormat="1" ht="23.25">
      <c r="A9" s="23" t="s">
        <v>41</v>
      </c>
      <c r="B9" s="22">
        <f>SUM(B7:B8)</f>
        <v>0</v>
      </c>
      <c r="C9" s="78">
        <f t="shared" ref="C9:H9" si="1">SUM(C7:C8)</f>
        <v>109</v>
      </c>
      <c r="D9" s="78">
        <f t="shared" si="1"/>
        <v>8</v>
      </c>
      <c r="E9" s="78">
        <f t="shared" si="1"/>
        <v>167</v>
      </c>
      <c r="F9" s="78">
        <f t="shared" si="1"/>
        <v>14</v>
      </c>
      <c r="G9" s="78">
        <f t="shared" si="1"/>
        <v>401</v>
      </c>
      <c r="H9" s="78">
        <f t="shared" si="1"/>
        <v>172</v>
      </c>
      <c r="I9" s="3"/>
    </row>
    <row r="10" spans="1:9" ht="23.25">
      <c r="A10" s="11" t="s">
        <v>7</v>
      </c>
      <c r="B10" s="125">
        <f>B9+C9</f>
        <v>109</v>
      </c>
      <c r="C10" s="125"/>
      <c r="D10" s="125">
        <f t="shared" ref="D10" si="2">D9+E9</f>
        <v>175</v>
      </c>
      <c r="E10" s="125"/>
      <c r="F10" s="125">
        <f t="shared" ref="F10" si="3">F9+G9</f>
        <v>415</v>
      </c>
      <c r="G10" s="125"/>
      <c r="H10" s="13">
        <f>H9</f>
        <v>172</v>
      </c>
      <c r="I10" s="3"/>
    </row>
    <row r="11" spans="1:9" ht="24" thickBot="1">
      <c r="A11" s="4" t="s">
        <v>8</v>
      </c>
      <c r="B11" s="126">
        <f>SUM(B10:H10)</f>
        <v>871</v>
      </c>
      <c r="C11" s="126"/>
      <c r="D11" s="126"/>
      <c r="E11" s="126"/>
      <c r="F11" s="126"/>
      <c r="G11" s="126"/>
      <c r="H11" s="126"/>
      <c r="I11" s="5"/>
    </row>
    <row r="12" spans="1:9" ht="22.5">
      <c r="A12" s="122" t="s">
        <v>60</v>
      </c>
      <c r="B12" s="122"/>
      <c r="C12" s="122"/>
      <c r="D12" s="122"/>
      <c r="E12" s="122"/>
      <c r="F12" s="122"/>
      <c r="G12" s="122"/>
      <c r="H12" s="122"/>
      <c r="I12" s="122"/>
    </row>
    <row r="13" spans="1:9" ht="6.75" customHeight="1" thickBot="1">
      <c r="A13" s="17"/>
      <c r="B13" s="18"/>
      <c r="C13" s="18"/>
      <c r="D13" s="18"/>
      <c r="E13" s="18"/>
      <c r="F13" s="18"/>
      <c r="G13" s="18"/>
      <c r="H13" s="18"/>
      <c r="I13" s="18"/>
    </row>
    <row r="14" spans="1:9" ht="19.5" customHeight="1">
      <c r="A14" s="127" t="s">
        <v>0</v>
      </c>
      <c r="B14" s="129" t="s">
        <v>136</v>
      </c>
      <c r="C14" s="129"/>
      <c r="D14" s="129" t="s">
        <v>137</v>
      </c>
      <c r="E14" s="129"/>
      <c r="F14" s="129" t="s">
        <v>1</v>
      </c>
      <c r="G14" s="129"/>
      <c r="H14" s="130" t="s">
        <v>2</v>
      </c>
      <c r="I14" s="123" t="s">
        <v>3</v>
      </c>
    </row>
    <row r="15" spans="1:9" ht="23.25">
      <c r="A15" s="128"/>
      <c r="B15" s="32" t="s">
        <v>4</v>
      </c>
      <c r="C15" s="32" t="s">
        <v>11</v>
      </c>
      <c r="D15" s="32" t="s">
        <v>4</v>
      </c>
      <c r="E15" s="32" t="s">
        <v>11</v>
      </c>
      <c r="F15" s="32" t="s">
        <v>4</v>
      </c>
      <c r="G15" s="32" t="s">
        <v>11</v>
      </c>
      <c r="H15" s="131"/>
      <c r="I15" s="124"/>
    </row>
    <row r="16" spans="1:9" ht="23.25">
      <c r="A16" s="31" t="s">
        <v>5</v>
      </c>
      <c r="B16" s="46">
        <v>0</v>
      </c>
      <c r="C16" s="46">
        <f>SUM(B5:C5)+B6</f>
        <v>109</v>
      </c>
      <c r="D16" s="78">
        <v>0</v>
      </c>
      <c r="E16" s="46">
        <f>SUM(D5:E5)+D6</f>
        <v>175</v>
      </c>
      <c r="F16" s="78">
        <v>0</v>
      </c>
      <c r="G16" s="46">
        <f>SUM(F5:G5)+F6</f>
        <v>415</v>
      </c>
      <c r="H16" s="83"/>
      <c r="I16" s="3"/>
    </row>
    <row r="17" spans="1:9" ht="19.5">
      <c r="A17" s="113" t="s">
        <v>74</v>
      </c>
      <c r="B17" s="46">
        <v>0</v>
      </c>
      <c r="C17" s="83"/>
      <c r="D17" s="46">
        <f>13+140</f>
        <v>153</v>
      </c>
      <c r="E17" s="83"/>
      <c r="F17" s="46">
        <v>32</v>
      </c>
      <c r="G17" s="83"/>
      <c r="H17" s="83"/>
      <c r="I17" s="3"/>
    </row>
    <row r="18" spans="1:9" ht="23.25">
      <c r="A18" s="31" t="s">
        <v>6</v>
      </c>
      <c r="B18" s="46">
        <f t="shared" ref="B18:G18" si="4">SUM(B16:B17)</f>
        <v>0</v>
      </c>
      <c r="C18" s="46">
        <f t="shared" si="4"/>
        <v>109</v>
      </c>
      <c r="D18" s="46">
        <f t="shared" si="4"/>
        <v>153</v>
      </c>
      <c r="E18" s="46">
        <f t="shared" si="4"/>
        <v>175</v>
      </c>
      <c r="F18" s="46">
        <f t="shared" si="4"/>
        <v>32</v>
      </c>
      <c r="G18" s="46">
        <f t="shared" si="4"/>
        <v>415</v>
      </c>
      <c r="H18" s="83"/>
      <c r="I18" s="3"/>
    </row>
    <row r="19" spans="1:9" ht="23.25">
      <c r="A19" s="31" t="s">
        <v>40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f>H8</f>
        <v>172</v>
      </c>
      <c r="I19" s="3"/>
    </row>
    <row r="20" spans="1:9" ht="23.25">
      <c r="A20" s="31" t="s">
        <v>41</v>
      </c>
      <c r="B20" s="30">
        <f>SUM(B18:B19)</f>
        <v>0</v>
      </c>
      <c r="C20" s="30">
        <f t="shared" ref="C20:H20" si="5">SUM(C18:C19)</f>
        <v>109</v>
      </c>
      <c r="D20" s="30">
        <f t="shared" si="5"/>
        <v>153</v>
      </c>
      <c r="E20" s="30">
        <f t="shared" si="5"/>
        <v>175</v>
      </c>
      <c r="F20" s="30">
        <f t="shared" si="5"/>
        <v>32</v>
      </c>
      <c r="G20" s="30">
        <f t="shared" si="5"/>
        <v>415</v>
      </c>
      <c r="H20" s="30">
        <f t="shared" si="5"/>
        <v>172</v>
      </c>
      <c r="I20" s="3"/>
    </row>
    <row r="21" spans="1:9" ht="23.25">
      <c r="A21" s="31" t="s">
        <v>7</v>
      </c>
      <c r="B21" s="125">
        <f>B20+C20</f>
        <v>109</v>
      </c>
      <c r="C21" s="125"/>
      <c r="D21" s="125">
        <f t="shared" ref="D21" si="6">D20+E20</f>
        <v>328</v>
      </c>
      <c r="E21" s="125"/>
      <c r="F21" s="125">
        <f t="shared" ref="F21" si="7">F20+G20</f>
        <v>447</v>
      </c>
      <c r="G21" s="125"/>
      <c r="H21" s="30">
        <f>H20</f>
        <v>172</v>
      </c>
      <c r="I21" s="3"/>
    </row>
    <row r="22" spans="1:9" ht="24" thickBot="1">
      <c r="A22" s="4" t="s">
        <v>8</v>
      </c>
      <c r="B22" s="126">
        <f>H21+F21+D21+B21</f>
        <v>1056</v>
      </c>
      <c r="C22" s="126"/>
      <c r="D22" s="126"/>
      <c r="E22" s="126"/>
      <c r="F22" s="126"/>
      <c r="G22" s="126"/>
      <c r="H22" s="126"/>
      <c r="I22" s="5"/>
    </row>
    <row r="23" spans="1:9" s="29" customFormat="1" ht="22.5" hidden="1">
      <c r="A23" s="122" t="s">
        <v>61</v>
      </c>
      <c r="B23" s="122"/>
      <c r="C23" s="122"/>
      <c r="D23" s="122"/>
      <c r="E23" s="122"/>
      <c r="F23" s="122"/>
      <c r="G23" s="122"/>
      <c r="H23" s="122"/>
      <c r="I23" s="122"/>
    </row>
    <row r="24" spans="1:9" s="29" customFormat="1" ht="5.25" hidden="1" customHeight="1" thickBot="1">
      <c r="A24" s="77"/>
      <c r="B24" s="77"/>
      <c r="C24" s="77"/>
      <c r="D24" s="77"/>
      <c r="E24" s="77"/>
      <c r="F24" s="77"/>
      <c r="G24" s="77"/>
      <c r="H24" s="77"/>
      <c r="I24" s="77"/>
    </row>
    <row r="25" spans="1:9" ht="19.5" hidden="1" customHeight="1">
      <c r="A25" s="127" t="s">
        <v>0</v>
      </c>
      <c r="B25" s="129" t="s">
        <v>136</v>
      </c>
      <c r="C25" s="129"/>
      <c r="D25" s="129" t="s">
        <v>137</v>
      </c>
      <c r="E25" s="129"/>
      <c r="F25" s="129" t="s">
        <v>1</v>
      </c>
      <c r="G25" s="129"/>
      <c r="H25" s="130" t="s">
        <v>2</v>
      </c>
      <c r="I25" s="123" t="s">
        <v>3</v>
      </c>
    </row>
    <row r="26" spans="1:9" ht="23.25" hidden="1">
      <c r="A26" s="128"/>
      <c r="B26" s="57" t="s">
        <v>4</v>
      </c>
      <c r="C26" s="57" t="s">
        <v>11</v>
      </c>
      <c r="D26" s="57" t="s">
        <v>4</v>
      </c>
      <c r="E26" s="57" t="s">
        <v>11</v>
      </c>
      <c r="F26" s="57" t="s">
        <v>4</v>
      </c>
      <c r="G26" s="57" t="s">
        <v>11</v>
      </c>
      <c r="H26" s="131"/>
      <c r="I26" s="124"/>
    </row>
    <row r="27" spans="1:9" ht="23.25" hidden="1">
      <c r="A27" s="56" t="s">
        <v>5</v>
      </c>
      <c r="B27" s="78"/>
      <c r="C27" s="78"/>
      <c r="D27" s="78"/>
      <c r="E27" s="78"/>
      <c r="F27" s="78"/>
      <c r="G27" s="78"/>
      <c r="H27" s="83"/>
      <c r="I27" s="3"/>
    </row>
    <row r="28" spans="1:9" ht="19.5" hidden="1">
      <c r="A28" s="113" t="s">
        <v>75</v>
      </c>
      <c r="B28" s="55"/>
      <c r="C28" s="83"/>
      <c r="D28" s="55"/>
      <c r="E28" s="83"/>
      <c r="F28" s="55"/>
      <c r="G28" s="83"/>
      <c r="H28" s="83"/>
      <c r="I28" s="3"/>
    </row>
    <row r="29" spans="1:9" ht="23.25" hidden="1">
      <c r="A29" s="56" t="s">
        <v>6</v>
      </c>
      <c r="B29" s="55"/>
      <c r="C29" s="55"/>
      <c r="D29" s="55"/>
      <c r="E29" s="55"/>
      <c r="F29" s="55"/>
      <c r="G29" s="55"/>
      <c r="H29" s="83"/>
      <c r="I29" s="3"/>
    </row>
    <row r="30" spans="1:9" ht="23.25" hidden="1">
      <c r="A30" s="56" t="s">
        <v>40</v>
      </c>
      <c r="B30" s="55"/>
      <c r="C30" s="55"/>
      <c r="D30" s="55"/>
      <c r="E30" s="55"/>
      <c r="F30" s="55"/>
      <c r="G30" s="55"/>
      <c r="H30" s="55"/>
      <c r="I30" s="3"/>
    </row>
    <row r="31" spans="1:9" ht="23.25" hidden="1">
      <c r="A31" s="56" t="s">
        <v>41</v>
      </c>
      <c r="B31" s="55"/>
      <c r="C31" s="55"/>
      <c r="D31" s="55"/>
      <c r="E31" s="55"/>
      <c r="F31" s="55"/>
      <c r="G31" s="55"/>
      <c r="H31" s="55"/>
      <c r="I31" s="3"/>
    </row>
    <row r="32" spans="1:9" ht="23.25" hidden="1">
      <c r="A32" s="56" t="s">
        <v>7</v>
      </c>
      <c r="B32" s="125"/>
      <c r="C32" s="125"/>
      <c r="D32" s="125"/>
      <c r="E32" s="125"/>
      <c r="F32" s="125"/>
      <c r="G32" s="125"/>
      <c r="H32" s="55"/>
      <c r="I32" s="3"/>
    </row>
    <row r="33" spans="1:9" ht="24" hidden="1" thickBot="1">
      <c r="A33" s="4" t="s">
        <v>8</v>
      </c>
      <c r="B33" s="126">
        <f>H32+F32+D32+B32</f>
        <v>0</v>
      </c>
      <c r="C33" s="126"/>
      <c r="D33" s="126"/>
      <c r="E33" s="126"/>
      <c r="F33" s="126"/>
      <c r="G33" s="126"/>
      <c r="H33" s="126"/>
      <c r="I33" s="5"/>
    </row>
  </sheetData>
  <mergeCells count="33">
    <mergeCell ref="A1:I1"/>
    <mergeCell ref="B10:C10"/>
    <mergeCell ref="D10:E10"/>
    <mergeCell ref="F10:G10"/>
    <mergeCell ref="B11:H11"/>
    <mergeCell ref="A3:A4"/>
    <mergeCell ref="B3:C3"/>
    <mergeCell ref="D3:E3"/>
    <mergeCell ref="F3:G3"/>
    <mergeCell ref="H3:H4"/>
    <mergeCell ref="I3:I4"/>
    <mergeCell ref="B21:C21"/>
    <mergeCell ref="D21:E21"/>
    <mergeCell ref="F21:G21"/>
    <mergeCell ref="B22:H22"/>
    <mergeCell ref="A12:I12"/>
    <mergeCell ref="A14:A15"/>
    <mergeCell ref="B14:C14"/>
    <mergeCell ref="D14:E14"/>
    <mergeCell ref="F14:G14"/>
    <mergeCell ref="H14:H15"/>
    <mergeCell ref="I14:I15"/>
    <mergeCell ref="B33:H33"/>
    <mergeCell ref="A25:A26"/>
    <mergeCell ref="B25:C25"/>
    <mergeCell ref="D25:E25"/>
    <mergeCell ref="F25:G25"/>
    <mergeCell ref="H25:H26"/>
    <mergeCell ref="A23:I23"/>
    <mergeCell ref="I25:I26"/>
    <mergeCell ref="B32:C32"/>
    <mergeCell ref="D32:E32"/>
    <mergeCell ref="F32:G32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8"/>
  <sheetViews>
    <sheetView rightToLeft="1" view="pageBreakPreview" zoomScaleNormal="100" zoomScaleSheetLayoutView="100" workbookViewId="0">
      <selection activeCell="C12" sqref="C12"/>
    </sheetView>
  </sheetViews>
  <sheetFormatPr defaultRowHeight="18"/>
  <cols>
    <col min="1" max="1" width="30.85546875" style="29" customWidth="1"/>
    <col min="2" max="2" width="10.5703125" style="29" customWidth="1"/>
    <col min="3" max="3" width="14.7109375" style="29" customWidth="1"/>
    <col min="4" max="16384" width="9.140625" style="29"/>
  </cols>
  <sheetData>
    <row r="1" spans="1:5" ht="22.5">
      <c r="A1" s="122" t="s">
        <v>59</v>
      </c>
      <c r="B1" s="122"/>
      <c r="C1" s="122"/>
    </row>
    <row r="2" spans="1:5" ht="5.25" customHeight="1"/>
    <row r="3" spans="1:5" ht="23.25">
      <c r="A3" s="36"/>
      <c r="B3" s="32" t="s">
        <v>11</v>
      </c>
      <c r="C3" s="32" t="s">
        <v>12</v>
      </c>
    </row>
    <row r="4" spans="1:5" ht="23.25">
      <c r="A4" s="111" t="s">
        <v>136</v>
      </c>
      <c r="B4" s="30">
        <f>'جدول آمار كاركنان'!C7</f>
        <v>109</v>
      </c>
      <c r="C4" s="30">
        <f>'جدول آمار كاركنان'!B7</f>
        <v>0</v>
      </c>
      <c r="E4" s="29">
        <f>SUM(B4:C4)</f>
        <v>109</v>
      </c>
    </row>
    <row r="5" spans="1:5" ht="23.25">
      <c r="A5" s="32" t="s">
        <v>137</v>
      </c>
      <c r="B5" s="30">
        <f>'جدول آمار كاركنان'!E7</f>
        <v>167</v>
      </c>
      <c r="C5" s="30">
        <f>'جدول آمار كاركنان'!D7</f>
        <v>8</v>
      </c>
      <c r="E5" s="29">
        <f t="shared" ref="E5:E6" si="0">SUM(B5:C5)</f>
        <v>175</v>
      </c>
    </row>
    <row r="6" spans="1:5" ht="23.25">
      <c r="A6" s="32" t="s">
        <v>1</v>
      </c>
      <c r="B6" s="30">
        <f>'جدول آمار كاركنان'!G7</f>
        <v>401</v>
      </c>
      <c r="C6" s="30">
        <f>'جدول آمار كاركنان'!F7</f>
        <v>14</v>
      </c>
      <c r="E6" s="29">
        <f t="shared" si="0"/>
        <v>415</v>
      </c>
    </row>
    <row r="7" spans="1:5" ht="22.5">
      <c r="A7" s="122" t="s">
        <v>60</v>
      </c>
      <c r="B7" s="122"/>
      <c r="C7" s="122"/>
    </row>
    <row r="8" spans="1:5" ht="5.25" customHeight="1"/>
    <row r="9" spans="1:5" ht="23.25">
      <c r="A9" s="36"/>
      <c r="B9" s="32" t="str">
        <f>B3</f>
        <v>با سابقه</v>
      </c>
      <c r="C9" s="32" t="str">
        <f>C3</f>
        <v>بدون سابقه</v>
      </c>
    </row>
    <row r="10" spans="1:5" ht="23.25">
      <c r="A10" s="32" t="str">
        <f>A4</f>
        <v>كارشناس سطح 2 و بالاتر</v>
      </c>
      <c r="B10" s="30">
        <f>'جدول آمار كاركنان'!C18</f>
        <v>109</v>
      </c>
      <c r="C10" s="30">
        <f>'جدول آمار كاركنان'!B18</f>
        <v>0</v>
      </c>
      <c r="E10" s="29">
        <f>SUM(B10:C10)</f>
        <v>109</v>
      </c>
    </row>
    <row r="11" spans="1:5" ht="23.25">
      <c r="A11" s="32" t="str">
        <f>A5</f>
        <v>كارشناس سطح يك</v>
      </c>
      <c r="B11" s="30">
        <f>'جدول آمار كاركنان'!E18</f>
        <v>175</v>
      </c>
      <c r="C11" s="30">
        <f>'جدول آمار كاركنان'!D18</f>
        <v>153</v>
      </c>
      <c r="E11" s="29">
        <f t="shared" ref="E11:E12" si="1">SUM(B11:C11)</f>
        <v>328</v>
      </c>
    </row>
    <row r="12" spans="1:5" ht="23.25">
      <c r="A12" s="32" t="str">
        <f>A6</f>
        <v>كاردان</v>
      </c>
      <c r="B12" s="30">
        <f>'جدول آمار كاركنان'!G18</f>
        <v>415</v>
      </c>
      <c r="C12" s="30">
        <f>'جدول آمار كاركنان'!F18</f>
        <v>32</v>
      </c>
      <c r="E12" s="29">
        <f t="shared" si="1"/>
        <v>447</v>
      </c>
    </row>
    <row r="13" spans="1:5" ht="22.5" hidden="1">
      <c r="A13" s="132" t="s">
        <v>61</v>
      </c>
      <c r="B13" s="133"/>
      <c r="C13" s="134"/>
    </row>
    <row r="14" spans="1:5" ht="3.75" hidden="1" customHeight="1">
      <c r="A14" s="66"/>
      <c r="B14" s="67"/>
      <c r="C14" s="68"/>
    </row>
    <row r="15" spans="1:5" ht="23.25" hidden="1">
      <c r="A15" s="69"/>
      <c r="B15" s="57" t="str">
        <f>B9</f>
        <v>با سابقه</v>
      </c>
      <c r="C15" s="58" t="str">
        <f>C9</f>
        <v>بدون سابقه</v>
      </c>
    </row>
    <row r="16" spans="1:5" ht="23.25" hidden="1">
      <c r="A16" s="56" t="str">
        <f>A10</f>
        <v>كارشناس سطح 2 و بالاتر</v>
      </c>
      <c r="B16" s="55">
        <f>'جدول آمار كاركنان'!C29</f>
        <v>0</v>
      </c>
      <c r="C16" s="3">
        <f>'جدول آمار كاركنان'!B29</f>
        <v>0</v>
      </c>
    </row>
    <row r="17" spans="1:3" ht="23.25" hidden="1">
      <c r="A17" s="56" t="str">
        <f>A11</f>
        <v>كارشناس سطح يك</v>
      </c>
      <c r="B17" s="55">
        <f>'جدول آمار كاركنان'!E29</f>
        <v>0</v>
      </c>
      <c r="C17" s="3">
        <f>'جدول آمار كاركنان'!D29</f>
        <v>0</v>
      </c>
    </row>
    <row r="18" spans="1:3" ht="23.25" hidden="1">
      <c r="A18" s="56" t="str">
        <f>A12</f>
        <v>كاردان</v>
      </c>
      <c r="B18" s="55">
        <f>'جدول آمار كاركنان'!G29</f>
        <v>0</v>
      </c>
      <c r="C18" s="3">
        <f>'جدول آمار كاركنان'!F29</f>
        <v>0</v>
      </c>
    </row>
  </sheetData>
  <mergeCells count="3">
    <mergeCell ref="A7:C7"/>
    <mergeCell ref="A1:C1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34"/>
  <sheetViews>
    <sheetView rightToLeft="1" zoomScaleNormal="100" zoomScaleSheetLayoutView="80" workbookViewId="0">
      <pane ySplit="4" topLeftCell="A14" activePane="bottomLeft" state="frozen"/>
      <selection pane="bottomLeft" activeCell="C28" sqref="C28"/>
    </sheetView>
  </sheetViews>
  <sheetFormatPr defaultRowHeight="15"/>
  <cols>
    <col min="1" max="1" width="17.140625" style="6" bestFit="1" customWidth="1"/>
    <col min="2" max="2" width="16.28515625" style="7" customWidth="1"/>
    <col min="3" max="3" width="16.7109375" style="6" bestFit="1" customWidth="1"/>
    <col min="4" max="4" width="15.85546875" style="6" bestFit="1" customWidth="1"/>
    <col min="5" max="5" width="16.28515625" style="8" bestFit="1" customWidth="1"/>
    <col min="6" max="6" width="18.42578125" style="6" customWidth="1"/>
    <col min="7" max="7" width="21.5703125" style="6" customWidth="1"/>
    <col min="8" max="14" width="9.140625" style="6"/>
    <col min="15" max="15" width="13.7109375" style="6" customWidth="1"/>
    <col min="16" max="16384" width="9.140625" style="6"/>
  </cols>
  <sheetData>
    <row r="1" spans="1:15" ht="21" customHeight="1">
      <c r="A1" s="144"/>
      <c r="B1" s="144"/>
      <c r="C1" s="144"/>
      <c r="D1" s="144"/>
      <c r="E1" s="144"/>
      <c r="F1" s="144"/>
      <c r="G1" s="144"/>
    </row>
    <row r="3" spans="1:15" ht="23.25" customHeight="1">
      <c r="A3" s="142" t="s">
        <v>1</v>
      </c>
      <c r="B3" s="142"/>
      <c r="C3" s="142" t="s">
        <v>137</v>
      </c>
      <c r="D3" s="142"/>
      <c r="E3" s="142" t="s">
        <v>136</v>
      </c>
      <c r="F3" s="142"/>
      <c r="G3" s="143" t="s">
        <v>10</v>
      </c>
    </row>
    <row r="4" spans="1:15" ht="20.25">
      <c r="A4" s="102" t="s">
        <v>11</v>
      </c>
      <c r="B4" s="103" t="s">
        <v>12</v>
      </c>
      <c r="C4" s="102" t="s">
        <v>11</v>
      </c>
      <c r="D4" s="102" t="s">
        <v>12</v>
      </c>
      <c r="E4" s="104" t="s">
        <v>11</v>
      </c>
      <c r="F4" s="102" t="s">
        <v>12</v>
      </c>
      <c r="G4" s="143"/>
    </row>
    <row r="5" spans="1:15" ht="27" customHeight="1">
      <c r="A5" s="105">
        <v>117057000</v>
      </c>
      <c r="B5" s="105">
        <v>55000000</v>
      </c>
      <c r="C5" s="105">
        <v>121299000</v>
      </c>
      <c r="D5" s="105">
        <v>68000000</v>
      </c>
      <c r="E5" s="105">
        <v>170167000</v>
      </c>
      <c r="F5" s="105">
        <v>0</v>
      </c>
      <c r="G5" s="106" t="s">
        <v>13</v>
      </c>
    </row>
    <row r="6" spans="1:15" ht="20.25" customHeight="1">
      <c r="A6" s="105">
        <f t="shared" ref="A6:E6" si="0">ROUND(A5/12,0)</f>
        <v>9754750</v>
      </c>
      <c r="B6" s="105">
        <f t="shared" si="0"/>
        <v>4583333</v>
      </c>
      <c r="C6" s="105">
        <f t="shared" si="0"/>
        <v>10108250</v>
      </c>
      <c r="D6" s="105">
        <f t="shared" si="0"/>
        <v>5666667</v>
      </c>
      <c r="E6" s="105">
        <f t="shared" si="0"/>
        <v>14180583</v>
      </c>
      <c r="F6" s="105">
        <f>ROUND(F5/12,0)</f>
        <v>0</v>
      </c>
      <c r="G6" s="106" t="s">
        <v>14</v>
      </c>
    </row>
    <row r="7" spans="1:15" ht="18.75" customHeight="1">
      <c r="A7" s="107">
        <f>B7</f>
        <v>4620000</v>
      </c>
      <c r="B7" s="107">
        <v>4620000</v>
      </c>
      <c r="C7" s="107">
        <f>D7</f>
        <v>5500000</v>
      </c>
      <c r="D7" s="107">
        <f>E7</f>
        <v>5500000</v>
      </c>
      <c r="E7" s="107">
        <f>F7</f>
        <v>5500000</v>
      </c>
      <c r="F7" s="107">
        <v>5500000</v>
      </c>
      <c r="G7" s="106" t="s">
        <v>15</v>
      </c>
    </row>
    <row r="8" spans="1:15" ht="19.5" customHeight="1">
      <c r="A8" s="108">
        <f t="shared" ref="A8:E8" si="1">ROUND(((A5/30)/12)*15,0)</f>
        <v>4877375</v>
      </c>
      <c r="B8" s="108">
        <f t="shared" si="1"/>
        <v>2291667</v>
      </c>
      <c r="C8" s="108">
        <f t="shared" si="1"/>
        <v>5054125</v>
      </c>
      <c r="D8" s="108">
        <f t="shared" si="1"/>
        <v>2833333</v>
      </c>
      <c r="E8" s="108">
        <f t="shared" si="1"/>
        <v>7090292</v>
      </c>
      <c r="F8" s="108">
        <f t="shared" ref="F8" si="2">ROUND(((F5/30)/12)*15,0)</f>
        <v>0</v>
      </c>
      <c r="G8" s="106" t="s">
        <v>108</v>
      </c>
    </row>
    <row r="9" spans="1:15" ht="19.5" customHeight="1">
      <c r="A9" s="108">
        <f t="shared" ref="A9:E9" si="3">(ROUND((A5/192)*40,0))*1.4</f>
        <v>34141625</v>
      </c>
      <c r="B9" s="108">
        <f t="shared" si="3"/>
        <v>16041666.199999999</v>
      </c>
      <c r="C9" s="108">
        <f t="shared" si="3"/>
        <v>35378875</v>
      </c>
      <c r="D9" s="108">
        <f t="shared" si="3"/>
        <v>19833333.799999997</v>
      </c>
      <c r="E9" s="108">
        <f t="shared" si="3"/>
        <v>49632041.199999996</v>
      </c>
      <c r="F9" s="108">
        <f>(ROUND((F5/192)*40,0))*1.4</f>
        <v>0</v>
      </c>
      <c r="G9" s="106" t="s">
        <v>98</v>
      </c>
      <c r="H9" s="6" t="s">
        <v>120</v>
      </c>
    </row>
    <row r="10" spans="1:15" ht="21.75" customHeight="1">
      <c r="A10" s="107">
        <f>F10</f>
        <v>6638738</v>
      </c>
      <c r="B10" s="107">
        <f>F10</f>
        <v>6638738</v>
      </c>
      <c r="C10" s="107">
        <f>F10</f>
        <v>6638738</v>
      </c>
      <c r="D10" s="107">
        <f>F10</f>
        <v>6638738</v>
      </c>
      <c r="E10" s="107">
        <f>F10</f>
        <v>6638738</v>
      </c>
      <c r="F10" s="107">
        <v>6638738</v>
      </c>
      <c r="G10" s="109" t="s">
        <v>16</v>
      </c>
    </row>
    <row r="11" spans="1:15" ht="22.5" customHeight="1">
      <c r="A11" s="105">
        <f>F11</f>
        <v>1000000</v>
      </c>
      <c r="B11" s="105">
        <f>F11</f>
        <v>1000000</v>
      </c>
      <c r="C11" s="105">
        <f>F11</f>
        <v>1000000</v>
      </c>
      <c r="D11" s="105">
        <f>F11</f>
        <v>1000000</v>
      </c>
      <c r="E11" s="105">
        <f>F11</f>
        <v>1000000</v>
      </c>
      <c r="F11" s="105">
        <v>1000000</v>
      </c>
      <c r="G11" s="109" t="s">
        <v>17</v>
      </c>
    </row>
    <row r="12" spans="1:15" ht="27.75" customHeight="1">
      <c r="A12" s="105">
        <f t="shared" ref="A12:F12" si="4">A5/30*0.15</f>
        <v>585285</v>
      </c>
      <c r="B12" s="105">
        <f t="shared" si="4"/>
        <v>275000</v>
      </c>
      <c r="C12" s="105">
        <f t="shared" si="4"/>
        <v>606495</v>
      </c>
      <c r="D12" s="105">
        <f t="shared" si="4"/>
        <v>339999.99999999994</v>
      </c>
      <c r="E12" s="105">
        <f>E5/30*0.15</f>
        <v>850834.99999999988</v>
      </c>
      <c r="F12" s="105">
        <f t="shared" si="4"/>
        <v>0</v>
      </c>
      <c r="G12" s="109" t="s">
        <v>18</v>
      </c>
    </row>
    <row r="13" spans="1:15" s="112" customFormat="1" ht="27.75" customHeight="1" thickBot="1">
      <c r="A13" s="105">
        <v>6538000</v>
      </c>
      <c r="B13" s="105">
        <v>3361000</v>
      </c>
      <c r="C13" s="105">
        <v>7159000</v>
      </c>
      <c r="D13" s="105">
        <v>4532000</v>
      </c>
      <c r="E13" s="105">
        <v>10061000</v>
      </c>
      <c r="F13" s="105">
        <v>0</v>
      </c>
      <c r="G13" s="109" t="s">
        <v>138</v>
      </c>
    </row>
    <row r="14" spans="1:15" s="40" customFormat="1" ht="27.75" customHeight="1" thickBot="1">
      <c r="A14" s="105">
        <f>27149000*248/401*0.3</f>
        <v>5037121.1970074819</v>
      </c>
      <c r="B14" s="105">
        <v>0</v>
      </c>
      <c r="C14" s="105">
        <f>33666000*38/175*0.3</f>
        <v>2193099.4285714282</v>
      </c>
      <c r="D14" s="105">
        <v>0</v>
      </c>
      <c r="E14" s="105">
        <f>44732000*7/109*0.3</f>
        <v>861809.17431192659</v>
      </c>
      <c r="F14" s="105">
        <v>0</v>
      </c>
      <c r="G14" s="109" t="s">
        <v>46</v>
      </c>
      <c r="I14" s="135" t="s">
        <v>143</v>
      </c>
      <c r="J14" s="136"/>
      <c r="K14" s="136"/>
      <c r="L14" s="136"/>
      <c r="M14" s="136"/>
      <c r="N14" s="136"/>
      <c r="O14" s="137"/>
    </row>
    <row r="15" spans="1:15" ht="30.75" customHeight="1">
      <c r="A15" s="110">
        <f t="shared" ref="A15:F15" si="5">SUM(A5:A14)</f>
        <v>190249894.19700748</v>
      </c>
      <c r="B15" s="110">
        <f t="shared" si="5"/>
        <v>93811404.200000003</v>
      </c>
      <c r="C15" s="110">
        <f t="shared" si="5"/>
        <v>194937582.42857143</v>
      </c>
      <c r="D15" s="110">
        <f t="shared" si="5"/>
        <v>114344071.8</v>
      </c>
      <c r="E15" s="110">
        <f t="shared" si="5"/>
        <v>265982298.37431192</v>
      </c>
      <c r="F15" s="110">
        <f t="shared" si="5"/>
        <v>13138738</v>
      </c>
      <c r="G15" s="102" t="s">
        <v>19</v>
      </c>
    </row>
    <row r="16" spans="1:15" ht="3.75" customHeight="1">
      <c r="A16" s="9"/>
      <c r="B16" s="10"/>
      <c r="C16" s="10"/>
    </row>
    <row r="17" spans="1:8" ht="20.25">
      <c r="A17" s="145" t="s">
        <v>1</v>
      </c>
      <c r="B17" s="145"/>
      <c r="C17" s="145" t="str">
        <f>C3</f>
        <v>كارشناس سطح يك</v>
      </c>
      <c r="D17" s="145"/>
      <c r="E17" s="145" t="str">
        <f>E3</f>
        <v>كارشناس سطح 2 و بالاتر</v>
      </c>
      <c r="F17" s="145"/>
      <c r="G17" s="141" t="s">
        <v>10</v>
      </c>
    </row>
    <row r="18" spans="1:8" ht="20.25">
      <c r="A18" s="80" t="s">
        <v>11</v>
      </c>
      <c r="B18" s="48" t="s">
        <v>12</v>
      </c>
      <c r="C18" s="80" t="s">
        <v>11</v>
      </c>
      <c r="D18" s="80" t="s">
        <v>12</v>
      </c>
      <c r="E18" s="49" t="s">
        <v>11</v>
      </c>
      <c r="F18" s="80" t="s">
        <v>12</v>
      </c>
      <c r="G18" s="141"/>
    </row>
    <row r="19" spans="1:8" ht="29.25" customHeight="1">
      <c r="A19" s="50">
        <f>A15*'مدرك تحصيلي و سابقه كار كاركنان'!B6</f>
        <v>76290207573</v>
      </c>
      <c r="B19" s="50">
        <f>B15*'مدرك تحصيلي و سابقه كار كاركنان'!C6</f>
        <v>1313359658.8</v>
      </c>
      <c r="C19" s="50">
        <f>C15*'مدرك تحصيلي و سابقه كار كاركنان'!B5</f>
        <v>32554576265.57143</v>
      </c>
      <c r="D19" s="50">
        <f>D15*'مدرك تحصيلي و سابقه كار كاركنان'!C5</f>
        <v>914752574.39999998</v>
      </c>
      <c r="E19" s="50">
        <f>E15*'مدرك تحصيلي و سابقه كار كاركنان'!B4</f>
        <v>28992070522.799999</v>
      </c>
      <c r="F19" s="50">
        <f>F15*'مدرك تحصيلي و سابقه كار كاركنان'!C4</f>
        <v>0</v>
      </c>
      <c r="G19" s="81" t="s">
        <v>114</v>
      </c>
    </row>
    <row r="20" spans="1:8" s="79" customFormat="1" ht="29.25" customHeight="1">
      <c r="A20" s="138">
        <f>SUM(A19:F19)*8</f>
        <v>1120519732756.5713</v>
      </c>
      <c r="B20" s="139"/>
      <c r="C20" s="139"/>
      <c r="D20" s="139"/>
      <c r="E20" s="139"/>
      <c r="F20" s="140"/>
      <c r="G20" s="81" t="s">
        <v>135</v>
      </c>
    </row>
    <row r="21" spans="1:8" ht="29.25" customHeight="1">
      <c r="A21" s="50">
        <f>(A15*H21)*'مدرك تحصيلي و سابقه كار كاركنان'!B12</f>
        <v>106587503223.87344</v>
      </c>
      <c r="B21" s="50">
        <f>(B15*H21)*'مدرك تحصيلي و سابقه كار كاركنان'!C12</f>
        <v>4052652661.4400005</v>
      </c>
      <c r="C21" s="50">
        <f>(C15*H21)*'مدرك تحصيلي و سابقه كار كاركنان'!B11</f>
        <v>46054003848.750008</v>
      </c>
      <c r="D21" s="50">
        <f>(D15*H21)*'مدرك تحصيلي و سابقه كار كاركنان'!C11</f>
        <v>23617768030.290001</v>
      </c>
      <c r="E21" s="50">
        <f>(E15*H21)*'مدرك تحصيلي و سابقه كار كاركنان'!B10</f>
        <v>39139295205.779999</v>
      </c>
      <c r="F21" s="50">
        <f>(F15*H21)*'مدرك تحصيلي و سابقه كار كاركنان'!C10</f>
        <v>0</v>
      </c>
      <c r="G21" s="81" t="s">
        <v>115</v>
      </c>
      <c r="H21" s="6">
        <v>1.35</v>
      </c>
    </row>
    <row r="22" spans="1:8" s="79" customFormat="1" ht="29.25" customHeight="1">
      <c r="A22" s="138">
        <f>SUM(A21:F21)*4</f>
        <v>877804891880.53381</v>
      </c>
      <c r="B22" s="139"/>
      <c r="C22" s="139"/>
      <c r="D22" s="139"/>
      <c r="E22" s="139"/>
      <c r="F22" s="140"/>
      <c r="G22" s="81" t="s">
        <v>153</v>
      </c>
    </row>
    <row r="23" spans="1:8" ht="29.25" hidden="1" customHeight="1">
      <c r="A23" s="50">
        <f>((A15*H23)*H23)*'مدرك تحصيلي و سابقه كار كاركنان'!B18</f>
        <v>0</v>
      </c>
      <c r="B23" s="50">
        <f>((B15*H23)*H23)*'مدرك تحصيلي و سابقه كار كاركنان'!C18</f>
        <v>0</v>
      </c>
      <c r="C23" s="50">
        <f>((C15*H23)*H23)*'مدرك تحصيلي و سابقه كار كاركنان'!B17</f>
        <v>0</v>
      </c>
      <c r="D23" s="50">
        <f>((D15*H23)*H23)*'مدرك تحصيلي و سابقه كار كاركنان'!C17</f>
        <v>0</v>
      </c>
      <c r="E23" s="50">
        <f>((E15*H23)*H23)*'مدرك تحصيلي و سابقه كار كاركنان'!B16</f>
        <v>0</v>
      </c>
      <c r="F23" s="50">
        <f>((F15*H23)*H23)*'مدرك تحصيلي و سابقه كار كاركنان'!C16</f>
        <v>0</v>
      </c>
      <c r="G23" s="81" t="s">
        <v>116</v>
      </c>
      <c r="H23" s="6">
        <v>1.3</v>
      </c>
    </row>
    <row r="24" spans="1:8" s="79" customFormat="1" ht="29.25" hidden="1" customHeight="1">
      <c r="A24" s="138">
        <f>SUM(A23:F23)*12</f>
        <v>0</v>
      </c>
      <c r="B24" s="139"/>
      <c r="C24" s="139"/>
      <c r="D24" s="139"/>
      <c r="E24" s="139"/>
      <c r="F24" s="140"/>
      <c r="G24" s="81" t="s">
        <v>72</v>
      </c>
    </row>
    <row r="25" spans="1:8" ht="21" customHeight="1">
      <c r="B25" s="6"/>
      <c r="E25" s="6"/>
    </row>
    <row r="26" spans="1:8" ht="21" customHeight="1">
      <c r="B26" s="6"/>
      <c r="E26" s="6"/>
    </row>
    <row r="27" spans="1:8">
      <c r="B27" s="6"/>
      <c r="E27" s="6"/>
    </row>
    <row r="32" spans="1:8" ht="21" customHeight="1"/>
    <row r="33" ht="21" customHeight="1"/>
    <row r="34" ht="21" customHeight="1"/>
  </sheetData>
  <mergeCells count="13">
    <mergeCell ref="A1:G1"/>
    <mergeCell ref="A17:B17"/>
    <mergeCell ref="C17:D17"/>
    <mergeCell ref="E17:F17"/>
    <mergeCell ref="A20:F20"/>
    <mergeCell ref="I14:O14"/>
    <mergeCell ref="A22:F22"/>
    <mergeCell ref="A24:F24"/>
    <mergeCell ref="G17:G18"/>
    <mergeCell ref="E3:F3"/>
    <mergeCell ref="G3:G4"/>
    <mergeCell ref="A3:B3"/>
    <mergeCell ref="C3:D3"/>
  </mergeCells>
  <pageMargins left="0.7" right="0.7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65"/>
  <sheetViews>
    <sheetView rightToLeft="1" view="pageBreakPreview" topLeftCell="A4" zoomScaleNormal="100" zoomScaleSheetLayoutView="100" workbookViewId="0">
      <selection activeCell="C69" sqref="C69"/>
    </sheetView>
  </sheetViews>
  <sheetFormatPr defaultRowHeight="18"/>
  <cols>
    <col min="1" max="1" width="15.42578125" customWidth="1"/>
    <col min="2" max="2" width="14.7109375" customWidth="1"/>
    <col min="3" max="3" width="15.7109375" customWidth="1"/>
    <col min="4" max="4" width="12.140625" bestFit="1" customWidth="1"/>
    <col min="5" max="5" width="14.5703125" customWidth="1"/>
    <col min="6" max="6" width="16.28515625" customWidth="1"/>
    <col min="7" max="7" width="42.28515625" customWidth="1"/>
    <col min="11" max="12" width="10.140625" style="29" bestFit="1" customWidth="1"/>
    <col min="13" max="13" width="16.85546875" bestFit="1" customWidth="1"/>
  </cols>
  <sheetData>
    <row r="1" spans="1:13" ht="22.5">
      <c r="A1" s="151"/>
      <c r="B1" s="151"/>
      <c r="C1" s="151"/>
      <c r="D1" s="151"/>
      <c r="E1" s="151"/>
      <c r="F1" s="151"/>
      <c r="G1" s="151"/>
    </row>
    <row r="2" spans="1:13" ht="20.25">
      <c r="A2" s="145" t="s">
        <v>1</v>
      </c>
      <c r="B2" s="145"/>
      <c r="C2" s="145" t="s">
        <v>137</v>
      </c>
      <c r="D2" s="145"/>
      <c r="E2" s="145" t="s">
        <v>136</v>
      </c>
      <c r="F2" s="145"/>
      <c r="G2" s="141" t="s">
        <v>9</v>
      </c>
    </row>
    <row r="3" spans="1:13" ht="20.25">
      <c r="A3" s="39" t="s">
        <v>11</v>
      </c>
      <c r="B3" s="39" t="s">
        <v>12</v>
      </c>
      <c r="C3" s="39" t="s">
        <v>11</v>
      </c>
      <c r="D3" s="39" t="s">
        <v>12</v>
      </c>
      <c r="E3" s="39" t="s">
        <v>11</v>
      </c>
      <c r="F3" s="39" t="s">
        <v>12</v>
      </c>
      <c r="G3" s="141"/>
    </row>
    <row r="4" spans="1:13" ht="19.5">
      <c r="A4" s="82">
        <f>(محاسبه!A5)/12</f>
        <v>9754750</v>
      </c>
      <c r="B4" s="82">
        <f>(محاسبه!B5)/12</f>
        <v>4583333.333333333</v>
      </c>
      <c r="C4" s="82">
        <f>(محاسبه!C5)/12</f>
        <v>10108250</v>
      </c>
      <c r="D4" s="82">
        <f>(محاسبه!D5)/12</f>
        <v>5666666.666666667</v>
      </c>
      <c r="E4" s="82">
        <f>(محاسبه!E5)/12</f>
        <v>14180583.333333334</v>
      </c>
      <c r="F4" s="37">
        <f>((محاسبه!F5/30)/12)*30</f>
        <v>0</v>
      </c>
      <c r="G4" s="38" t="s">
        <v>99</v>
      </c>
    </row>
    <row r="5" spans="1:13" ht="19.5">
      <c r="A5" s="82">
        <f t="shared" ref="A5:E5" si="0">A4*8</f>
        <v>78038000</v>
      </c>
      <c r="B5" s="82">
        <f t="shared" si="0"/>
        <v>36666666.666666664</v>
      </c>
      <c r="C5" s="82">
        <f t="shared" si="0"/>
        <v>80866000</v>
      </c>
      <c r="D5" s="82">
        <f t="shared" si="0"/>
        <v>45333333.333333336</v>
      </c>
      <c r="E5" s="82">
        <f t="shared" si="0"/>
        <v>113444666.66666667</v>
      </c>
      <c r="F5" s="37">
        <f>F4*8</f>
        <v>0</v>
      </c>
      <c r="G5" s="38" t="s">
        <v>121</v>
      </c>
    </row>
    <row r="6" spans="1:13" ht="6" customHeight="1">
      <c r="A6" s="35"/>
      <c r="B6" s="35"/>
      <c r="C6" s="35"/>
      <c r="D6" s="35"/>
      <c r="E6" s="35"/>
      <c r="F6" s="35"/>
      <c r="G6" s="34"/>
    </row>
    <row r="7" spans="1:13" ht="19.5">
      <c r="A7" s="37">
        <f>'مدرك تحصيلي و سابقه كار كاركنان'!B6</f>
        <v>401</v>
      </c>
      <c r="B7" s="37">
        <f>'مدرك تحصيلي و سابقه كار كاركنان'!C6</f>
        <v>14</v>
      </c>
      <c r="C7" s="37">
        <f>'مدرك تحصيلي و سابقه كار كاركنان'!B5</f>
        <v>167</v>
      </c>
      <c r="D7" s="37">
        <f>'مدرك تحصيلي و سابقه كار كاركنان'!C5</f>
        <v>8</v>
      </c>
      <c r="E7" s="37">
        <f>'مدرك تحصيلي و سابقه كار كاركنان'!B4</f>
        <v>109</v>
      </c>
      <c r="F7" s="37">
        <f>'مدرك تحصيلي و سابقه كار كاركنان'!C4</f>
        <v>0</v>
      </c>
      <c r="G7" s="38" t="s">
        <v>63</v>
      </c>
    </row>
    <row r="8" spans="1:13" ht="15.75" customHeight="1">
      <c r="A8" s="82">
        <f t="shared" ref="A8:D8" si="1">A5*A7</f>
        <v>31293238000</v>
      </c>
      <c r="B8" s="82">
        <f t="shared" si="1"/>
        <v>513333333.33333331</v>
      </c>
      <c r="C8" s="82">
        <f t="shared" si="1"/>
        <v>13504622000</v>
      </c>
      <c r="D8" s="82">
        <f t="shared" si="1"/>
        <v>362666666.66666669</v>
      </c>
      <c r="E8" s="82">
        <f>E5*E7</f>
        <v>12365468666.666668</v>
      </c>
      <c r="F8" s="37">
        <f>F5*F7</f>
        <v>0</v>
      </c>
      <c r="G8" s="38" t="s">
        <v>122</v>
      </c>
    </row>
    <row r="9" spans="1:13" ht="6" customHeight="1">
      <c r="A9" s="35"/>
      <c r="B9" s="35"/>
      <c r="C9" s="35"/>
      <c r="D9" s="35"/>
      <c r="E9" s="35"/>
      <c r="F9" s="35"/>
      <c r="G9" s="34"/>
    </row>
    <row r="10" spans="1:13" ht="32.25">
      <c r="A10" s="148">
        <f>SUM(A8:F8)</f>
        <v>58039328666.666656</v>
      </c>
      <c r="B10" s="148"/>
      <c r="C10" s="148"/>
      <c r="D10" s="148"/>
      <c r="E10" s="148"/>
      <c r="F10" s="148"/>
      <c r="G10" s="41" t="s">
        <v>126</v>
      </c>
    </row>
    <row r="12" spans="1:13" ht="20.25" hidden="1">
      <c r="A12" s="145" t="s">
        <v>1</v>
      </c>
      <c r="B12" s="145"/>
      <c r="C12" s="145" t="str">
        <f>C2</f>
        <v>كارشناس سطح يك</v>
      </c>
      <c r="D12" s="145"/>
      <c r="E12" s="145" t="str">
        <f>E2</f>
        <v>كارشناس سطح 2 و بالاتر</v>
      </c>
      <c r="F12" s="145"/>
      <c r="G12" s="141" t="s">
        <v>9</v>
      </c>
    </row>
    <row r="13" spans="1:13" ht="20.25" hidden="1">
      <c r="A13" s="44" t="s">
        <v>11</v>
      </c>
      <c r="B13" s="44" t="s">
        <v>12</v>
      </c>
      <c r="C13" s="44" t="s">
        <v>11</v>
      </c>
      <c r="D13" s="44" t="s">
        <v>12</v>
      </c>
      <c r="E13" s="44" t="s">
        <v>11</v>
      </c>
      <c r="F13" s="44" t="s">
        <v>12</v>
      </c>
      <c r="G13" s="141"/>
      <c r="K13" s="29">
        <v>99</v>
      </c>
      <c r="L13" s="29">
        <v>98</v>
      </c>
    </row>
    <row r="14" spans="1:13" ht="19.5" hidden="1">
      <c r="A14" s="45">
        <f>F14</f>
        <v>0</v>
      </c>
      <c r="B14" s="45">
        <f>F14</f>
        <v>0</v>
      </c>
      <c r="C14" s="45">
        <f>F14</f>
        <v>0</v>
      </c>
      <c r="D14" s="45">
        <f>F14</f>
        <v>0</v>
      </c>
      <c r="E14" s="45">
        <f>F14</f>
        <v>0</v>
      </c>
      <c r="F14" s="45">
        <v>0</v>
      </c>
      <c r="G14" s="43" t="s">
        <v>47</v>
      </c>
      <c r="K14" s="1">
        <f>L14*1.25</f>
        <v>12500000</v>
      </c>
      <c r="L14" s="1">
        <v>10000000</v>
      </c>
      <c r="M14" t="s">
        <v>47</v>
      </c>
    </row>
    <row r="15" spans="1:13" ht="19.5" hidden="1">
      <c r="A15" s="82">
        <f t="shared" ref="A15:E15" si="2">A14*8</f>
        <v>0</v>
      </c>
      <c r="B15" s="82">
        <f t="shared" si="2"/>
        <v>0</v>
      </c>
      <c r="C15" s="82">
        <f t="shared" si="2"/>
        <v>0</v>
      </c>
      <c r="D15" s="82">
        <f t="shared" si="2"/>
        <v>0</v>
      </c>
      <c r="E15" s="82">
        <f t="shared" si="2"/>
        <v>0</v>
      </c>
      <c r="F15" s="42">
        <f>F14*8</f>
        <v>0</v>
      </c>
      <c r="G15" s="43" t="s">
        <v>123</v>
      </c>
      <c r="K15" s="1">
        <f>L15*1.15</f>
        <v>0</v>
      </c>
      <c r="L15" s="29">
        <v>0</v>
      </c>
    </row>
    <row r="16" spans="1:13" ht="4.5" hidden="1" customHeight="1">
      <c r="A16" s="35"/>
      <c r="B16" s="35"/>
      <c r="C16" s="35"/>
      <c r="D16" s="35"/>
      <c r="E16" s="35"/>
      <c r="F16" s="35"/>
      <c r="G16" s="34"/>
    </row>
    <row r="17" spans="1:9" ht="19.5" hidden="1">
      <c r="A17" s="42">
        <f t="shared" ref="A17:F17" si="3">A7</f>
        <v>401</v>
      </c>
      <c r="B17" s="42">
        <f t="shared" si="3"/>
        <v>14</v>
      </c>
      <c r="C17" s="42">
        <f t="shared" si="3"/>
        <v>167</v>
      </c>
      <c r="D17" s="42">
        <f t="shared" si="3"/>
        <v>8</v>
      </c>
      <c r="E17" s="42">
        <f t="shared" si="3"/>
        <v>109</v>
      </c>
      <c r="F17" s="42">
        <f t="shared" si="3"/>
        <v>0</v>
      </c>
      <c r="G17" s="43" t="s">
        <v>63</v>
      </c>
    </row>
    <row r="18" spans="1:9" ht="19.5" hidden="1">
      <c r="A18" s="82">
        <f t="shared" ref="A18:E18" si="4">A15*A17</f>
        <v>0</v>
      </c>
      <c r="B18" s="82">
        <f t="shared" si="4"/>
        <v>0</v>
      </c>
      <c r="C18" s="82">
        <f t="shared" si="4"/>
        <v>0</v>
      </c>
      <c r="D18" s="82">
        <f t="shared" si="4"/>
        <v>0</v>
      </c>
      <c r="E18" s="82">
        <f t="shared" si="4"/>
        <v>0</v>
      </c>
      <c r="F18" s="42">
        <f>F15*F17</f>
        <v>0</v>
      </c>
      <c r="G18" s="43" t="s">
        <v>124</v>
      </c>
    </row>
    <row r="19" spans="1:9" ht="4.5" hidden="1" customHeight="1">
      <c r="A19" s="35"/>
      <c r="B19" s="35"/>
      <c r="C19" s="35"/>
      <c r="D19" s="35"/>
      <c r="E19" s="35"/>
      <c r="F19" s="35"/>
      <c r="G19" s="34"/>
    </row>
    <row r="20" spans="1:9" ht="32.25" hidden="1">
      <c r="A20" s="148">
        <f>SUM(A18:F18)</f>
        <v>0</v>
      </c>
      <c r="B20" s="148"/>
      <c r="C20" s="148"/>
      <c r="D20" s="148"/>
      <c r="E20" s="148"/>
      <c r="F20" s="148"/>
      <c r="G20" s="41" t="s">
        <v>125</v>
      </c>
    </row>
    <row r="21" spans="1:9" ht="4.5" customHeight="1" thickBot="1">
      <c r="A21" s="33"/>
      <c r="B21" s="33"/>
      <c r="C21" s="33"/>
      <c r="D21" s="33"/>
      <c r="E21" s="33"/>
      <c r="F21" s="33"/>
      <c r="G21" s="34"/>
    </row>
    <row r="22" spans="1:9" ht="22.5">
      <c r="A22" s="149"/>
      <c r="B22" s="149"/>
      <c r="C22" s="149"/>
      <c r="D22" s="149"/>
      <c r="E22" s="149"/>
      <c r="F22" s="149"/>
      <c r="G22" s="150"/>
    </row>
    <row r="23" spans="1:9" ht="20.25">
      <c r="A23" s="145" t="s">
        <v>1</v>
      </c>
      <c r="B23" s="145"/>
      <c r="C23" s="145" t="str">
        <f>C2</f>
        <v>كارشناس سطح يك</v>
      </c>
      <c r="D23" s="145"/>
      <c r="E23" s="145" t="str">
        <f>E2</f>
        <v>كارشناس سطح 2 و بالاتر</v>
      </c>
      <c r="F23" s="145"/>
      <c r="G23" s="147" t="s">
        <v>9</v>
      </c>
    </row>
    <row r="24" spans="1:9" ht="20.25">
      <c r="A24" s="59" t="s">
        <v>11</v>
      </c>
      <c r="B24" s="59" t="s">
        <v>12</v>
      </c>
      <c r="C24" s="59" t="s">
        <v>11</v>
      </c>
      <c r="D24" s="59" t="s">
        <v>12</v>
      </c>
      <c r="E24" s="59" t="s">
        <v>11</v>
      </c>
      <c r="F24" s="59" t="s">
        <v>12</v>
      </c>
      <c r="G24" s="147"/>
    </row>
    <row r="25" spans="1:9" ht="19.5">
      <c r="A25" s="82">
        <f>(محاسبه!A5*I25)/12</f>
        <v>13168912.5</v>
      </c>
      <c r="B25" s="82">
        <f>(محاسبه!B5*I25)/12</f>
        <v>6187500</v>
      </c>
      <c r="C25" s="82">
        <f>(محاسبه!C5*I25)/12</f>
        <v>13646137.5</v>
      </c>
      <c r="D25" s="82">
        <f>(محاسبه!D5*I25)/12</f>
        <v>7650000</v>
      </c>
      <c r="E25" s="82">
        <f>(محاسبه!E5*I25)/12</f>
        <v>19143787.500000004</v>
      </c>
      <c r="F25" s="60">
        <f>(((محاسبه!F5*I25)/30)/12)*30</f>
        <v>0</v>
      </c>
      <c r="G25" s="63" t="s">
        <v>99</v>
      </c>
      <c r="I25">
        <v>1.35</v>
      </c>
    </row>
    <row r="26" spans="1:9" ht="19.5">
      <c r="A26" s="60">
        <f>A25*4</f>
        <v>52675650</v>
      </c>
      <c r="B26" s="60">
        <f>B25*4</f>
        <v>24750000</v>
      </c>
      <c r="C26" s="60">
        <f>C25*4</f>
        <v>54584550</v>
      </c>
      <c r="D26" s="60">
        <f>D25*4</f>
        <v>30600000</v>
      </c>
      <c r="E26" s="60">
        <f>E25*4</f>
        <v>76575150.000000015</v>
      </c>
      <c r="F26" s="60">
        <f t="shared" ref="F26" si="5">F25*12</f>
        <v>0</v>
      </c>
      <c r="G26" s="63" t="s">
        <v>100</v>
      </c>
    </row>
    <row r="27" spans="1:9" ht="8.25" customHeight="1">
      <c r="A27" s="35"/>
      <c r="B27" s="35"/>
      <c r="C27" s="35"/>
      <c r="D27" s="35"/>
      <c r="E27" s="35"/>
      <c r="F27" s="35"/>
      <c r="G27" s="64"/>
    </row>
    <row r="28" spans="1:9" ht="19.5">
      <c r="A28" s="60">
        <f>'مدرك تحصيلي و سابقه كار كاركنان'!B12</f>
        <v>415</v>
      </c>
      <c r="B28" s="60">
        <f>'مدرك تحصيلي و سابقه كار كاركنان'!C12</f>
        <v>32</v>
      </c>
      <c r="C28" s="60">
        <f>'مدرك تحصيلي و سابقه كار كاركنان'!B11</f>
        <v>175</v>
      </c>
      <c r="D28" s="60">
        <f>'مدرك تحصيلي و سابقه كار كاركنان'!C11</f>
        <v>153</v>
      </c>
      <c r="E28" s="60">
        <f>'مدرك تحصيلي و سابقه كار كاركنان'!B10</f>
        <v>109</v>
      </c>
      <c r="F28" s="60">
        <f>'مدرك تحصيلي و سابقه كار كاركنان'!C10</f>
        <v>0</v>
      </c>
      <c r="G28" s="63" t="s">
        <v>66</v>
      </c>
    </row>
    <row r="29" spans="1:9" ht="19.5">
      <c r="A29" s="82">
        <f t="shared" ref="A29:D29" si="6">A26*A28</f>
        <v>21860394750</v>
      </c>
      <c r="B29" s="82">
        <f t="shared" si="6"/>
        <v>792000000</v>
      </c>
      <c r="C29" s="82">
        <f t="shared" si="6"/>
        <v>9552296250</v>
      </c>
      <c r="D29" s="82">
        <f t="shared" si="6"/>
        <v>4681800000</v>
      </c>
      <c r="E29" s="60">
        <f>E26*E28</f>
        <v>8346691350.0000019</v>
      </c>
      <c r="F29" s="82">
        <f>F26*F28</f>
        <v>0</v>
      </c>
      <c r="G29" s="63" t="s">
        <v>67</v>
      </c>
    </row>
    <row r="30" spans="1:9" ht="33" thickBot="1">
      <c r="A30" s="146">
        <f>SUM(A29:F29)</f>
        <v>45233182350</v>
      </c>
      <c r="B30" s="146"/>
      <c r="C30" s="146"/>
      <c r="D30" s="146"/>
      <c r="E30" s="146"/>
      <c r="F30" s="146"/>
      <c r="G30" s="65" t="s">
        <v>154</v>
      </c>
    </row>
    <row r="31" spans="1:9" hidden="1">
      <c r="A31" s="61"/>
      <c r="B31" s="61"/>
      <c r="C31" s="61"/>
      <c r="D31" s="61"/>
      <c r="E31" s="61"/>
      <c r="F31" s="61"/>
      <c r="G31" s="62"/>
    </row>
    <row r="32" spans="1:9" ht="20.25" hidden="1">
      <c r="A32" s="145" t="s">
        <v>1</v>
      </c>
      <c r="B32" s="145"/>
      <c r="C32" s="145" t="str">
        <f>C2</f>
        <v>كارشناس سطح يك</v>
      </c>
      <c r="D32" s="145"/>
      <c r="E32" s="145" t="str">
        <f>E2</f>
        <v>كارشناس سطح 2 و بالاتر</v>
      </c>
      <c r="F32" s="145"/>
      <c r="G32" s="147" t="s">
        <v>9</v>
      </c>
    </row>
    <row r="33" spans="1:9" ht="20.25" hidden="1">
      <c r="A33" s="59" t="s">
        <v>11</v>
      </c>
      <c r="B33" s="59" t="s">
        <v>12</v>
      </c>
      <c r="C33" s="59" t="s">
        <v>11</v>
      </c>
      <c r="D33" s="59" t="s">
        <v>12</v>
      </c>
      <c r="E33" s="59" t="s">
        <v>11</v>
      </c>
      <c r="F33" s="59" t="s">
        <v>12</v>
      </c>
      <c r="G33" s="147"/>
    </row>
    <row r="34" spans="1:9" ht="19.5" hidden="1">
      <c r="A34" s="45">
        <f>F34</f>
        <v>0</v>
      </c>
      <c r="B34" s="45">
        <f>F34</f>
        <v>0</v>
      </c>
      <c r="C34" s="45">
        <f>F34</f>
        <v>0</v>
      </c>
      <c r="D34" s="45">
        <f>F34</f>
        <v>0</v>
      </c>
      <c r="E34" s="45">
        <f>F34</f>
        <v>0</v>
      </c>
      <c r="F34" s="45">
        <f>F14*1.2</f>
        <v>0</v>
      </c>
      <c r="G34" s="63" t="s">
        <v>47</v>
      </c>
    </row>
    <row r="35" spans="1:9" ht="19.5" hidden="1">
      <c r="A35" s="60">
        <f t="shared" ref="A35:F35" si="7">A34*12</f>
        <v>0</v>
      </c>
      <c r="B35" s="60">
        <f t="shared" si="7"/>
        <v>0</v>
      </c>
      <c r="C35" s="60">
        <f t="shared" si="7"/>
        <v>0</v>
      </c>
      <c r="D35" s="60">
        <f t="shared" si="7"/>
        <v>0</v>
      </c>
      <c r="E35" s="60">
        <f t="shared" si="7"/>
        <v>0</v>
      </c>
      <c r="F35" s="60">
        <f t="shared" si="7"/>
        <v>0</v>
      </c>
      <c r="G35" s="63" t="s">
        <v>48</v>
      </c>
    </row>
    <row r="36" spans="1:9" ht="7.5" hidden="1" customHeight="1">
      <c r="A36" s="35"/>
      <c r="B36" s="35"/>
      <c r="C36" s="35"/>
      <c r="D36" s="35"/>
      <c r="E36" s="35"/>
      <c r="F36" s="35"/>
      <c r="G36" s="64"/>
    </row>
    <row r="37" spans="1:9" ht="19.5" hidden="1">
      <c r="A37" s="82">
        <f t="shared" ref="A37:E37" si="8">A28</f>
        <v>415</v>
      </c>
      <c r="B37" s="82">
        <f t="shared" si="8"/>
        <v>32</v>
      </c>
      <c r="C37" s="82">
        <f t="shared" si="8"/>
        <v>175</v>
      </c>
      <c r="D37" s="82">
        <f t="shared" si="8"/>
        <v>153</v>
      </c>
      <c r="E37" s="82">
        <f t="shared" si="8"/>
        <v>109</v>
      </c>
      <c r="F37" s="60">
        <f>F28</f>
        <v>0</v>
      </c>
      <c r="G37" s="63" t="s">
        <v>66</v>
      </c>
    </row>
    <row r="38" spans="1:9" ht="19.5" hidden="1">
      <c r="A38" s="82">
        <f>A35*A37</f>
        <v>0</v>
      </c>
      <c r="B38" s="82">
        <f t="shared" ref="B38:E38" si="9">B35*B37</f>
        <v>0</v>
      </c>
      <c r="C38" s="82">
        <f t="shared" si="9"/>
        <v>0</v>
      </c>
      <c r="D38" s="82">
        <f t="shared" si="9"/>
        <v>0</v>
      </c>
      <c r="E38" s="82">
        <f t="shared" si="9"/>
        <v>0</v>
      </c>
      <c r="F38" s="60">
        <f>F35*F37</f>
        <v>0</v>
      </c>
      <c r="G38" s="63" t="s">
        <v>67</v>
      </c>
    </row>
    <row r="39" spans="1:9" ht="10.5" hidden="1" customHeight="1">
      <c r="A39" s="35"/>
      <c r="B39" s="35"/>
      <c r="C39" s="35"/>
      <c r="D39" s="35"/>
      <c r="E39" s="35"/>
      <c r="F39" s="35"/>
      <c r="G39" s="64"/>
    </row>
    <row r="40" spans="1:9" ht="33" hidden="1" thickBot="1">
      <c r="A40" s="148">
        <f>SUM(A38:F38)</f>
        <v>0</v>
      </c>
      <c r="B40" s="148"/>
      <c r="C40" s="148"/>
      <c r="D40" s="148"/>
      <c r="E40" s="148"/>
      <c r="F40" s="148"/>
      <c r="G40" s="65" t="s">
        <v>71</v>
      </c>
    </row>
    <row r="41" spans="1:9" ht="4.5" customHeight="1"/>
    <row r="42" spans="1:9" ht="22.5" hidden="1">
      <c r="A42" s="149"/>
      <c r="B42" s="149"/>
      <c r="C42" s="149"/>
      <c r="D42" s="149"/>
      <c r="E42" s="149"/>
      <c r="F42" s="149"/>
      <c r="G42" s="150"/>
    </row>
    <row r="43" spans="1:9" ht="20.25" hidden="1">
      <c r="A43" s="145" t="s">
        <v>1</v>
      </c>
      <c r="B43" s="145"/>
      <c r="C43" s="145" t="str">
        <f>C2</f>
        <v>كارشناس سطح يك</v>
      </c>
      <c r="D43" s="145"/>
      <c r="E43" s="145" t="str">
        <f>E2</f>
        <v>كارشناس سطح 2 و بالاتر</v>
      </c>
      <c r="F43" s="145"/>
      <c r="G43" s="147" t="s">
        <v>9</v>
      </c>
    </row>
    <row r="44" spans="1:9" ht="20.25" hidden="1">
      <c r="A44" s="59" t="s">
        <v>11</v>
      </c>
      <c r="B44" s="59" t="s">
        <v>12</v>
      </c>
      <c r="C44" s="59" t="s">
        <v>11</v>
      </c>
      <c r="D44" s="59" t="s">
        <v>12</v>
      </c>
      <c r="E44" s="59" t="s">
        <v>11</v>
      </c>
      <c r="F44" s="59" t="s">
        <v>12</v>
      </c>
      <c r="G44" s="147"/>
    </row>
    <row r="45" spans="1:9" ht="19.5" hidden="1">
      <c r="A45" s="82">
        <f>((محاسبه!A5*I25)*I45)/12</f>
        <v>17119586.25</v>
      </c>
      <c r="B45" s="82">
        <f>((محاسبه!B5*I25)*I45)/12</f>
        <v>8043750</v>
      </c>
      <c r="C45" s="82">
        <f>((محاسبه!C5*I25)*I45)/12</f>
        <v>17739978.75</v>
      </c>
      <c r="D45" s="82">
        <f>((محاسبه!D5*I25)*I45)/12</f>
        <v>9945000</v>
      </c>
      <c r="E45" s="82">
        <f>((محاسبه!E5*I25)*I45)/12</f>
        <v>24886923.750000004</v>
      </c>
      <c r="F45" s="60">
        <f>((((محاسبه!F5*I45)*I45)/30)/12)*30</f>
        <v>0</v>
      </c>
      <c r="G45" s="63" t="s">
        <v>99</v>
      </c>
      <c r="I45">
        <v>1.3</v>
      </c>
    </row>
    <row r="46" spans="1:9" ht="19.5" hidden="1">
      <c r="A46" s="60">
        <f t="shared" ref="A46:F46" si="10">A45*12</f>
        <v>205435035</v>
      </c>
      <c r="B46" s="60">
        <f t="shared" si="10"/>
        <v>96525000</v>
      </c>
      <c r="C46" s="60">
        <f t="shared" si="10"/>
        <v>212879745</v>
      </c>
      <c r="D46" s="60">
        <f t="shared" si="10"/>
        <v>119340000</v>
      </c>
      <c r="E46" s="60">
        <f t="shared" si="10"/>
        <v>298643085.00000006</v>
      </c>
      <c r="F46" s="60">
        <f t="shared" si="10"/>
        <v>0</v>
      </c>
      <c r="G46" s="63" t="s">
        <v>100</v>
      </c>
    </row>
    <row r="47" spans="1:9" ht="4.5" hidden="1" customHeight="1">
      <c r="A47" s="35"/>
      <c r="B47" s="35"/>
      <c r="C47" s="35"/>
      <c r="D47" s="35"/>
      <c r="E47" s="35"/>
      <c r="F47" s="35"/>
      <c r="G47" s="64"/>
    </row>
    <row r="48" spans="1:9" ht="19.5" hidden="1">
      <c r="A48" s="82">
        <f t="shared" ref="A48:E48" si="11">A58</f>
        <v>0</v>
      </c>
      <c r="B48" s="82">
        <f t="shared" si="11"/>
        <v>0</v>
      </c>
      <c r="C48" s="82">
        <f t="shared" si="11"/>
        <v>0</v>
      </c>
      <c r="D48" s="82">
        <f t="shared" si="11"/>
        <v>0</v>
      </c>
      <c r="E48" s="82">
        <f t="shared" si="11"/>
        <v>0</v>
      </c>
      <c r="F48" s="60">
        <f>F58</f>
        <v>0</v>
      </c>
      <c r="G48" s="63" t="s">
        <v>70</v>
      </c>
    </row>
    <row r="49" spans="1:7" ht="19.5" hidden="1">
      <c r="A49" s="82">
        <f t="shared" ref="A49:E49" si="12">A46*A48</f>
        <v>0</v>
      </c>
      <c r="B49" s="82">
        <f t="shared" si="12"/>
        <v>0</v>
      </c>
      <c r="C49" s="82">
        <f t="shared" si="12"/>
        <v>0</v>
      </c>
      <c r="D49" s="82">
        <f t="shared" si="12"/>
        <v>0</v>
      </c>
      <c r="E49" s="82">
        <f t="shared" si="12"/>
        <v>0</v>
      </c>
      <c r="F49" s="60">
        <f>F46*F48</f>
        <v>0</v>
      </c>
      <c r="G49" s="63" t="s">
        <v>69</v>
      </c>
    </row>
    <row r="50" spans="1:7" ht="5.25" hidden="1" customHeight="1">
      <c r="A50" s="35"/>
      <c r="B50" s="35"/>
      <c r="C50" s="35"/>
      <c r="D50" s="35"/>
      <c r="E50" s="35"/>
      <c r="F50" s="35"/>
      <c r="G50" s="64"/>
    </row>
    <row r="51" spans="1:7" ht="33" hidden="1" thickBot="1">
      <c r="A51" s="146">
        <f>SUM(A49:F49)</f>
        <v>0</v>
      </c>
      <c r="B51" s="146"/>
      <c r="C51" s="146"/>
      <c r="D51" s="146"/>
      <c r="E51" s="146"/>
      <c r="F51" s="146"/>
      <c r="G51" s="65" t="s">
        <v>68</v>
      </c>
    </row>
    <row r="52" spans="1:7" hidden="1">
      <c r="A52" s="61"/>
      <c r="B52" s="61"/>
      <c r="C52" s="61"/>
      <c r="D52" s="61"/>
      <c r="E52" s="61"/>
      <c r="F52" s="61"/>
      <c r="G52" s="62"/>
    </row>
    <row r="53" spans="1:7" ht="20.25" hidden="1">
      <c r="A53" s="145" t="s">
        <v>1</v>
      </c>
      <c r="B53" s="145"/>
      <c r="C53" s="145" t="str">
        <f>C2</f>
        <v>كارشناس سطح يك</v>
      </c>
      <c r="D53" s="145"/>
      <c r="E53" s="145" t="str">
        <f>E2</f>
        <v>كارشناس سطح 2 و بالاتر</v>
      </c>
      <c r="F53" s="145"/>
      <c r="G53" s="147" t="s">
        <v>9</v>
      </c>
    </row>
    <row r="54" spans="1:7" ht="20.25" hidden="1">
      <c r="A54" s="59" t="s">
        <v>11</v>
      </c>
      <c r="B54" s="59" t="s">
        <v>12</v>
      </c>
      <c r="C54" s="59" t="s">
        <v>11</v>
      </c>
      <c r="D54" s="59" t="s">
        <v>12</v>
      </c>
      <c r="E54" s="59" t="s">
        <v>11</v>
      </c>
      <c r="F54" s="59" t="s">
        <v>12</v>
      </c>
      <c r="G54" s="147"/>
    </row>
    <row r="55" spans="1:7" ht="19.5" hidden="1">
      <c r="A55" s="45">
        <f>F55</f>
        <v>0</v>
      </c>
      <c r="B55" s="45">
        <f>F55</f>
        <v>0</v>
      </c>
      <c r="C55" s="45">
        <f>F55</f>
        <v>0</v>
      </c>
      <c r="D55" s="45">
        <f>F55</f>
        <v>0</v>
      </c>
      <c r="E55" s="45">
        <f>F55</f>
        <v>0</v>
      </c>
      <c r="F55" s="45">
        <f>F34*1.2</f>
        <v>0</v>
      </c>
      <c r="G55" s="63" t="s">
        <v>47</v>
      </c>
    </row>
    <row r="56" spans="1:7" ht="19.5" hidden="1">
      <c r="A56" s="60">
        <f t="shared" ref="A56:F56" si="13">A55*12</f>
        <v>0</v>
      </c>
      <c r="B56" s="60">
        <f t="shared" si="13"/>
        <v>0</v>
      </c>
      <c r="C56" s="60">
        <f t="shared" si="13"/>
        <v>0</v>
      </c>
      <c r="D56" s="60">
        <f t="shared" si="13"/>
        <v>0</v>
      </c>
      <c r="E56" s="60">
        <f t="shared" si="13"/>
        <v>0</v>
      </c>
      <c r="F56" s="60">
        <f t="shared" si="13"/>
        <v>0</v>
      </c>
      <c r="G56" s="63" t="s">
        <v>48</v>
      </c>
    </row>
    <row r="57" spans="1:7" ht="6" hidden="1" customHeight="1">
      <c r="A57" s="35"/>
      <c r="B57" s="35"/>
      <c r="C57" s="35"/>
      <c r="D57" s="35"/>
      <c r="E57" s="35"/>
      <c r="F57" s="35"/>
      <c r="G57" s="64"/>
    </row>
    <row r="58" spans="1:7" ht="19.5" hidden="1">
      <c r="A58" s="60">
        <f>'مدرك تحصيلي و سابقه كار كاركنان'!B18</f>
        <v>0</v>
      </c>
      <c r="B58" s="60">
        <f>'مدرك تحصيلي و سابقه كار كاركنان'!C18</f>
        <v>0</v>
      </c>
      <c r="C58" s="60">
        <f>'مدرك تحصيلي و سابقه كار كاركنان'!B17</f>
        <v>0</v>
      </c>
      <c r="D58" s="60">
        <f>'مدرك تحصيلي و سابقه كار كاركنان'!C17</f>
        <v>0</v>
      </c>
      <c r="E58" s="60">
        <f>'مدرك تحصيلي و سابقه كار كاركنان'!B16</f>
        <v>0</v>
      </c>
      <c r="F58" s="60">
        <f>'مدرك تحصيلي و سابقه كار كاركنان'!C16</f>
        <v>0</v>
      </c>
      <c r="G58" s="63" t="s">
        <v>70</v>
      </c>
    </row>
    <row r="59" spans="1:7" ht="19.5" hidden="1">
      <c r="A59" s="82">
        <f t="shared" ref="A59:E59" si="14">A56*A58</f>
        <v>0</v>
      </c>
      <c r="B59" s="82">
        <f t="shared" si="14"/>
        <v>0</v>
      </c>
      <c r="C59" s="82">
        <f t="shared" si="14"/>
        <v>0</v>
      </c>
      <c r="D59" s="82">
        <f t="shared" si="14"/>
        <v>0</v>
      </c>
      <c r="E59" s="82">
        <f t="shared" si="14"/>
        <v>0</v>
      </c>
      <c r="F59" s="60">
        <f>F56*F58</f>
        <v>0</v>
      </c>
      <c r="G59" s="63" t="s">
        <v>69</v>
      </c>
    </row>
    <row r="60" spans="1:7" ht="3.75" hidden="1" customHeight="1">
      <c r="A60" s="35"/>
      <c r="B60" s="35"/>
      <c r="C60" s="35"/>
      <c r="D60" s="35"/>
      <c r="E60" s="35"/>
      <c r="F60" s="35"/>
      <c r="G60" s="64"/>
    </row>
    <row r="61" spans="1:7" ht="33" hidden="1" thickBot="1">
      <c r="A61" s="146">
        <f>SUM(A59:F59)</f>
        <v>0</v>
      </c>
      <c r="B61" s="146"/>
      <c r="C61" s="146"/>
      <c r="D61" s="146"/>
      <c r="E61" s="146"/>
      <c r="F61" s="146"/>
      <c r="G61" s="65" t="s">
        <v>72</v>
      </c>
    </row>
    <row r="62" spans="1:7" ht="5.25" hidden="1" customHeight="1"/>
    <row r="63" spans="1:7" ht="33" hidden="1" thickBot="1">
      <c r="A63" s="146">
        <f>A10+A30+A51</f>
        <v>103272511016.66666</v>
      </c>
      <c r="B63" s="146"/>
      <c r="C63" s="146"/>
      <c r="D63" s="146"/>
      <c r="E63" s="146"/>
      <c r="F63" s="146"/>
      <c r="G63" s="65" t="s">
        <v>112</v>
      </c>
    </row>
    <row r="64" spans="1:7" ht="6" hidden="1" customHeight="1"/>
    <row r="65" spans="1:7" ht="33" hidden="1" thickBot="1">
      <c r="A65" s="146">
        <f>A20+A40+A61</f>
        <v>0</v>
      </c>
      <c r="B65" s="146"/>
      <c r="C65" s="146"/>
      <c r="D65" s="146"/>
      <c r="E65" s="146"/>
      <c r="F65" s="146"/>
      <c r="G65" s="65" t="s">
        <v>113</v>
      </c>
    </row>
  </sheetData>
  <mergeCells count="35">
    <mergeCell ref="A1:G1"/>
    <mergeCell ref="A12:B12"/>
    <mergeCell ref="C12:D12"/>
    <mergeCell ref="E12:F12"/>
    <mergeCell ref="G12:G13"/>
    <mergeCell ref="G2:G3"/>
    <mergeCell ref="A10:F10"/>
    <mergeCell ref="A2:B2"/>
    <mergeCell ref="C2:D2"/>
    <mergeCell ref="E2:F2"/>
    <mergeCell ref="A23:B23"/>
    <mergeCell ref="C23:D23"/>
    <mergeCell ref="E23:F23"/>
    <mergeCell ref="G23:G24"/>
    <mergeCell ref="A20:F20"/>
    <mergeCell ref="A22:G22"/>
    <mergeCell ref="A32:B32"/>
    <mergeCell ref="C32:D32"/>
    <mergeCell ref="E32:F32"/>
    <mergeCell ref="G32:G33"/>
    <mergeCell ref="A30:F30"/>
    <mergeCell ref="G53:G54"/>
    <mergeCell ref="A40:F40"/>
    <mergeCell ref="A42:G42"/>
    <mergeCell ref="A43:B43"/>
    <mergeCell ref="C43:D43"/>
    <mergeCell ref="E43:F43"/>
    <mergeCell ref="G43:G44"/>
    <mergeCell ref="A61:F61"/>
    <mergeCell ref="A63:F63"/>
    <mergeCell ref="A65:F65"/>
    <mergeCell ref="A51:F51"/>
    <mergeCell ref="A53:B53"/>
    <mergeCell ref="C53:D53"/>
    <mergeCell ref="E53:F5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G10"/>
  <sheetViews>
    <sheetView rightToLeft="1" view="pageBreakPreview" zoomScaleNormal="100" zoomScaleSheetLayoutView="100" workbookViewId="0">
      <selection activeCell="B8" sqref="B8:C8"/>
    </sheetView>
  </sheetViews>
  <sheetFormatPr defaultRowHeight="18.75"/>
  <cols>
    <col min="1" max="1" width="7.85546875" style="24" customWidth="1"/>
    <col min="2" max="2" width="23.140625" style="24" bestFit="1" customWidth="1"/>
    <col min="3" max="3" width="39" style="24" bestFit="1" customWidth="1"/>
    <col min="4" max="4" width="10.42578125" style="24" bestFit="1" customWidth="1"/>
    <col min="5" max="5" width="11.28515625" style="24" bestFit="1" customWidth="1"/>
    <col min="6" max="6" width="11.85546875" style="24" bestFit="1" customWidth="1"/>
    <col min="7" max="7" width="27.5703125" style="24" customWidth="1"/>
    <col min="8" max="16384" width="9.140625" style="24"/>
  </cols>
  <sheetData>
    <row r="1" spans="1:7" ht="19.5" thickBot="1">
      <c r="A1" s="152"/>
      <c r="B1" s="152"/>
      <c r="C1" s="152"/>
      <c r="D1" s="152"/>
      <c r="E1" s="152"/>
      <c r="F1" s="152"/>
      <c r="G1" s="152"/>
    </row>
    <row r="2" spans="1:7" ht="46.5">
      <c r="A2" s="84" t="s">
        <v>39</v>
      </c>
      <c r="B2" s="160" t="s">
        <v>42</v>
      </c>
      <c r="C2" s="161"/>
      <c r="D2" s="85" t="s">
        <v>117</v>
      </c>
      <c r="E2" s="85" t="s">
        <v>101</v>
      </c>
      <c r="F2" s="85" t="s">
        <v>82</v>
      </c>
      <c r="G2" s="86" t="s">
        <v>83</v>
      </c>
    </row>
    <row r="3" spans="1:7">
      <c r="A3" s="87">
        <v>1</v>
      </c>
      <c r="B3" s="153" t="s">
        <v>155</v>
      </c>
      <c r="C3" s="154"/>
      <c r="D3" s="88">
        <v>1112</v>
      </c>
      <c r="E3" s="89">
        <v>16</v>
      </c>
      <c r="F3" s="90">
        <v>2000000</v>
      </c>
      <c r="G3" s="91">
        <f>F3*E3*D3</f>
        <v>35584000000</v>
      </c>
    </row>
    <row r="4" spans="1:7">
      <c r="A4" s="87">
        <v>2</v>
      </c>
      <c r="B4" s="153" t="s">
        <v>102</v>
      </c>
      <c r="C4" s="154"/>
      <c r="D4" s="89" t="s">
        <v>103</v>
      </c>
      <c r="E4" s="89">
        <f>45+140</f>
        <v>185</v>
      </c>
      <c r="F4" s="90">
        <v>19923750</v>
      </c>
      <c r="G4" s="91">
        <f>F4*E4</f>
        <v>3685893750</v>
      </c>
    </row>
    <row r="5" spans="1:7">
      <c r="A5" s="87">
        <v>3</v>
      </c>
      <c r="B5" s="153" t="s">
        <v>109</v>
      </c>
      <c r="C5" s="154"/>
      <c r="D5" s="89" t="s">
        <v>103</v>
      </c>
      <c r="E5" s="89">
        <f>E4</f>
        <v>185</v>
      </c>
      <c r="F5" s="90">
        <f>7*20*60000</f>
        <v>8400000</v>
      </c>
      <c r="G5" s="91">
        <f>F5*E5</f>
        <v>1554000000</v>
      </c>
    </row>
    <row r="6" spans="1:7" ht="18.75" customHeight="1">
      <c r="A6" s="92">
        <v>4</v>
      </c>
      <c r="B6" s="155" t="s">
        <v>104</v>
      </c>
      <c r="C6" s="156"/>
      <c r="D6" s="93">
        <v>200</v>
      </c>
      <c r="E6" s="93">
        <v>16</v>
      </c>
      <c r="F6" s="90">
        <f>F3</f>
        <v>2000000</v>
      </c>
      <c r="G6" s="94">
        <f>F6*E6*D6</f>
        <v>6400000000</v>
      </c>
    </row>
    <row r="7" spans="1:7">
      <c r="A7" s="87">
        <v>5</v>
      </c>
      <c r="B7" s="153" t="s">
        <v>105</v>
      </c>
      <c r="C7" s="154"/>
      <c r="D7" s="89" t="s">
        <v>103</v>
      </c>
      <c r="E7" s="89">
        <f>E4</f>
        <v>185</v>
      </c>
      <c r="F7" s="90">
        <f>F4</f>
        <v>19923750</v>
      </c>
      <c r="G7" s="91">
        <f>F7*E7</f>
        <v>3685893750</v>
      </c>
    </row>
    <row r="8" spans="1:7">
      <c r="A8" s="92">
        <v>6</v>
      </c>
      <c r="B8" s="153" t="s">
        <v>110</v>
      </c>
      <c r="C8" s="154"/>
      <c r="D8" s="89" t="s">
        <v>103</v>
      </c>
      <c r="E8" s="89">
        <f>E4</f>
        <v>185</v>
      </c>
      <c r="F8" s="90">
        <f>3*20*60000</f>
        <v>3600000</v>
      </c>
      <c r="G8" s="91">
        <f>F8*E8</f>
        <v>666000000</v>
      </c>
    </row>
    <row r="9" spans="1:7">
      <c r="A9" s="87">
        <v>7</v>
      </c>
      <c r="B9" s="95" t="s">
        <v>106</v>
      </c>
      <c r="C9" s="95" t="s">
        <v>107</v>
      </c>
      <c r="D9" s="93" t="s">
        <v>103</v>
      </c>
      <c r="E9" s="93">
        <v>560</v>
      </c>
      <c r="F9" s="96">
        <v>14500000</v>
      </c>
      <c r="G9" s="94">
        <f>F9*E9</f>
        <v>8120000000</v>
      </c>
    </row>
    <row r="10" spans="1:7" ht="30.75" thickBot="1">
      <c r="A10" s="157" t="s">
        <v>38</v>
      </c>
      <c r="B10" s="158"/>
      <c r="C10" s="159"/>
      <c r="D10" s="159"/>
      <c r="E10" s="159"/>
      <c r="F10" s="159"/>
      <c r="G10" s="97">
        <f>SUM(G3:G9)</f>
        <v>59695787500</v>
      </c>
    </row>
  </sheetData>
  <mergeCells count="9">
    <mergeCell ref="A1:G1"/>
    <mergeCell ref="B7:C7"/>
    <mergeCell ref="B6:C6"/>
    <mergeCell ref="B8:C8"/>
    <mergeCell ref="A10:F10"/>
    <mergeCell ref="B2:C2"/>
    <mergeCell ref="B3:C3"/>
    <mergeCell ref="B4:C4"/>
    <mergeCell ref="B5:C5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I27"/>
  <sheetViews>
    <sheetView rightToLeft="1" view="pageBreakPreview" topLeftCell="A7" zoomScaleNormal="100" zoomScaleSheetLayoutView="100" workbookViewId="0">
      <selection activeCell="C14" sqref="C14"/>
    </sheetView>
  </sheetViews>
  <sheetFormatPr defaultRowHeight="18"/>
  <cols>
    <col min="1" max="1" width="5.7109375" style="1" bestFit="1" customWidth="1"/>
    <col min="2" max="2" width="36.85546875" style="1" customWidth="1"/>
    <col min="3" max="3" width="18.7109375" style="1" bestFit="1" customWidth="1"/>
    <col min="4" max="4" width="56.7109375" style="99" customWidth="1"/>
    <col min="5" max="5" width="9.140625" style="1"/>
    <col min="6" max="6" width="13.42578125" style="1" bestFit="1" customWidth="1"/>
    <col min="7" max="7" width="9.140625" style="1"/>
    <col min="8" max="8" width="13.42578125" style="1" bestFit="1" customWidth="1"/>
    <col min="9" max="16384" width="9.140625" style="1"/>
  </cols>
  <sheetData>
    <row r="2" spans="1:9" ht="25.5">
      <c r="A2" s="162" t="s">
        <v>59</v>
      </c>
      <c r="B2" s="162"/>
      <c r="C2" s="162"/>
    </row>
    <row r="3" spans="1:9" ht="22.5">
      <c r="A3" s="72" t="s">
        <v>39</v>
      </c>
      <c r="B3" s="72" t="s">
        <v>78</v>
      </c>
      <c r="C3" s="72" t="s">
        <v>19</v>
      </c>
    </row>
    <row r="4" spans="1:9" ht="26.25" customHeight="1">
      <c r="A4" s="72">
        <v>1</v>
      </c>
      <c r="B4" s="71" t="s">
        <v>145</v>
      </c>
      <c r="C4" s="70">
        <f>141+77</f>
        <v>218</v>
      </c>
      <c r="D4" s="99" t="s">
        <v>149</v>
      </c>
    </row>
    <row r="5" spans="1:9" ht="21.75" customHeight="1">
      <c r="A5" s="72">
        <v>2</v>
      </c>
      <c r="B5" s="71" t="s">
        <v>118</v>
      </c>
      <c r="C5" s="70">
        <f>(F6/C4)/8</f>
        <v>11981166.160550458</v>
      </c>
    </row>
    <row r="6" spans="1:9" ht="30" customHeight="1">
      <c r="A6" s="72">
        <v>3</v>
      </c>
      <c r="B6" s="71" t="s">
        <v>144</v>
      </c>
      <c r="C6" s="70">
        <f>C5*C4</f>
        <v>2611894223</v>
      </c>
      <c r="F6" s="114">
        <v>20895153784</v>
      </c>
      <c r="G6" s="114"/>
      <c r="H6" s="114" t="s">
        <v>146</v>
      </c>
      <c r="I6" s="114"/>
    </row>
    <row r="7" spans="1:9" ht="29.25" customHeight="1">
      <c r="A7" s="72">
        <v>4</v>
      </c>
      <c r="B7" s="71" t="s">
        <v>127</v>
      </c>
      <c r="C7" s="70">
        <f>C6*8</f>
        <v>20895153784</v>
      </c>
    </row>
    <row r="11" spans="1:9" ht="25.5">
      <c r="A11" s="162" t="s">
        <v>147</v>
      </c>
      <c r="B11" s="162"/>
      <c r="C11" s="162"/>
    </row>
    <row r="12" spans="1:9" ht="22.5">
      <c r="A12" s="72" t="s">
        <v>39</v>
      </c>
      <c r="B12" s="72" t="s">
        <v>78</v>
      </c>
      <c r="C12" s="72" t="s">
        <v>19</v>
      </c>
    </row>
    <row r="13" spans="1:9" ht="22.5">
      <c r="A13" s="72">
        <v>1</v>
      </c>
      <c r="B13" s="71" t="s">
        <v>145</v>
      </c>
      <c r="C13" s="70">
        <f>C4+45+140</f>
        <v>403</v>
      </c>
      <c r="D13" s="99" t="s">
        <v>152</v>
      </c>
    </row>
    <row r="14" spans="1:9" ht="22.5">
      <c r="A14" s="72">
        <v>2</v>
      </c>
      <c r="B14" s="71" t="s">
        <v>118</v>
      </c>
      <c r="C14" s="70">
        <f>(F14/C13)/4</f>
        <v>14317172.380893299</v>
      </c>
      <c r="F14" s="114">
        <v>23079281878</v>
      </c>
      <c r="G14" s="114"/>
      <c r="H14" s="114" t="s">
        <v>150</v>
      </c>
      <c r="I14" s="114"/>
    </row>
    <row r="15" spans="1:9" ht="22.5">
      <c r="A15" s="72">
        <v>3</v>
      </c>
      <c r="B15" s="71" t="s">
        <v>144</v>
      </c>
      <c r="C15" s="70">
        <f>C14*C13</f>
        <v>5769820469.5</v>
      </c>
    </row>
    <row r="16" spans="1:9" ht="22.5">
      <c r="A16" s="72">
        <v>4</v>
      </c>
      <c r="B16" s="71" t="s">
        <v>148</v>
      </c>
      <c r="C16" s="70">
        <f>C15*4</f>
        <v>23079281878</v>
      </c>
    </row>
    <row r="18" spans="1:3" hidden="1"/>
    <row r="19" spans="1:3" hidden="1"/>
    <row r="20" spans="1:3" ht="25.5" hidden="1">
      <c r="A20" s="162" t="s">
        <v>61</v>
      </c>
      <c r="B20" s="162"/>
      <c r="C20" s="162"/>
    </row>
    <row r="21" spans="1:3" ht="22.5" hidden="1">
      <c r="A21" s="72" t="s">
        <v>39</v>
      </c>
      <c r="B21" s="72" t="s">
        <v>78</v>
      </c>
      <c r="C21" s="72" t="s">
        <v>19</v>
      </c>
    </row>
    <row r="22" spans="1:3" ht="22.5" hidden="1">
      <c r="A22" s="72">
        <v>1</v>
      </c>
      <c r="B22" s="71" t="s">
        <v>77</v>
      </c>
      <c r="C22" s="70">
        <f>'جدول آمار كاركنان'!B33</f>
        <v>0</v>
      </c>
    </row>
    <row r="23" spans="1:3" ht="22.5" hidden="1">
      <c r="A23" s="72">
        <v>2</v>
      </c>
      <c r="B23" s="71" t="s">
        <v>118</v>
      </c>
      <c r="C23" s="70"/>
    </row>
    <row r="24" spans="1:3" ht="22.5" hidden="1">
      <c r="A24" s="72">
        <v>3</v>
      </c>
      <c r="B24" s="71" t="s">
        <v>119</v>
      </c>
      <c r="C24" s="70"/>
    </row>
    <row r="25" spans="1:3" ht="22.5" hidden="1">
      <c r="A25" s="72">
        <v>4</v>
      </c>
      <c r="B25" s="71" t="s">
        <v>128</v>
      </c>
      <c r="C25" s="70"/>
    </row>
    <row r="26" spans="1:3" hidden="1"/>
    <row r="27" spans="1:3" hidden="1"/>
  </sheetData>
  <mergeCells count="3">
    <mergeCell ref="A2:C2"/>
    <mergeCell ref="A11:C11"/>
    <mergeCell ref="A20:C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23"/>
  <sheetViews>
    <sheetView rightToLeft="1" view="pageBreakPreview" topLeftCell="A10" zoomScaleNormal="100" zoomScaleSheetLayoutView="100" workbookViewId="0">
      <selection activeCell="B25" sqref="B25"/>
    </sheetView>
  </sheetViews>
  <sheetFormatPr defaultRowHeight="18.75"/>
  <cols>
    <col min="1" max="1" width="5" style="24" bestFit="1" customWidth="1"/>
    <col min="2" max="2" width="39.140625" style="24" customWidth="1"/>
    <col min="3" max="3" width="4.7109375" style="24" bestFit="1" customWidth="1"/>
    <col min="4" max="4" width="8.5703125" style="24" bestFit="1" customWidth="1"/>
    <col min="5" max="5" width="15" style="24" bestFit="1" customWidth="1"/>
    <col min="6" max="6" width="19.7109375" style="24" customWidth="1"/>
    <col min="7" max="16384" width="9.140625" style="24"/>
  </cols>
  <sheetData>
    <row r="1" spans="1:7" ht="37.5" customHeight="1" thickBot="1">
      <c r="A1" s="166" t="s">
        <v>59</v>
      </c>
      <c r="B1" s="166"/>
      <c r="C1" s="166"/>
      <c r="D1" s="166"/>
      <c r="E1" s="166"/>
      <c r="F1" s="166"/>
    </row>
    <row r="2" spans="1:7" ht="45.75" customHeight="1">
      <c r="A2" s="73" t="s">
        <v>39</v>
      </c>
      <c r="B2" s="74" t="s">
        <v>79</v>
      </c>
      <c r="C2" s="74" t="s">
        <v>80</v>
      </c>
      <c r="D2" s="74" t="s">
        <v>81</v>
      </c>
      <c r="E2" s="74" t="s">
        <v>82</v>
      </c>
      <c r="F2" s="75" t="s">
        <v>83</v>
      </c>
    </row>
    <row r="3" spans="1:7" ht="23.25">
      <c r="A3" s="27">
        <v>1</v>
      </c>
      <c r="B3" s="27" t="s">
        <v>92</v>
      </c>
      <c r="C3" s="27">
        <v>4</v>
      </c>
      <c r="D3" s="27">
        <v>12</v>
      </c>
      <c r="E3" s="27">
        <v>40000000</v>
      </c>
      <c r="F3" s="27">
        <f>E3*D3*C3</f>
        <v>1920000000</v>
      </c>
      <c r="G3" s="76"/>
    </row>
    <row r="4" spans="1:7" ht="23.25">
      <c r="A4" s="27">
        <v>2</v>
      </c>
      <c r="B4" s="27" t="s">
        <v>92</v>
      </c>
      <c r="C4" s="27">
        <v>12</v>
      </c>
      <c r="D4" s="27">
        <v>9</v>
      </c>
      <c r="E4" s="27">
        <v>40000000</v>
      </c>
      <c r="F4" s="27">
        <f t="shared" ref="F4:F18" si="0">E4*D4*C4</f>
        <v>4320000000</v>
      </c>
      <c r="G4" s="76"/>
    </row>
    <row r="5" spans="1:7" ht="23.25">
      <c r="A5" s="27">
        <v>3</v>
      </c>
      <c r="B5" s="27" t="s">
        <v>93</v>
      </c>
      <c r="C5" s="27">
        <v>4</v>
      </c>
      <c r="D5" s="27">
        <v>12</v>
      </c>
      <c r="E5" s="27">
        <v>40000000</v>
      </c>
      <c r="F5" s="27">
        <f t="shared" si="0"/>
        <v>1920000000</v>
      </c>
      <c r="G5" s="76"/>
    </row>
    <row r="6" spans="1:7" ht="23.25">
      <c r="A6" s="27">
        <v>4</v>
      </c>
      <c r="B6" s="27" t="s">
        <v>93</v>
      </c>
      <c r="C6" s="27">
        <v>4</v>
      </c>
      <c r="D6" s="27">
        <v>9</v>
      </c>
      <c r="E6" s="27">
        <v>40000000</v>
      </c>
      <c r="F6" s="27">
        <f t="shared" si="0"/>
        <v>1440000000</v>
      </c>
      <c r="G6" s="76"/>
    </row>
    <row r="7" spans="1:7" ht="46.5">
      <c r="A7" s="27">
        <v>5</v>
      </c>
      <c r="B7" s="27" t="s">
        <v>94</v>
      </c>
      <c r="C7" s="27">
        <v>12</v>
      </c>
      <c r="D7" s="27">
        <v>12</v>
      </c>
      <c r="E7" s="27">
        <v>45000000</v>
      </c>
      <c r="F7" s="27">
        <f t="shared" si="0"/>
        <v>6480000000</v>
      </c>
      <c r="G7" s="76"/>
    </row>
    <row r="8" spans="1:7" ht="23.25">
      <c r="A8" s="27">
        <v>6</v>
      </c>
      <c r="B8" s="27" t="s">
        <v>88</v>
      </c>
      <c r="C8" s="27">
        <v>1</v>
      </c>
      <c r="D8" s="27">
        <v>12</v>
      </c>
      <c r="E8" s="27">
        <v>95000000</v>
      </c>
      <c r="F8" s="27">
        <f t="shared" si="0"/>
        <v>1140000000</v>
      </c>
      <c r="G8" s="76"/>
    </row>
    <row r="9" spans="1:7" ht="46.5">
      <c r="A9" s="27">
        <v>7</v>
      </c>
      <c r="B9" s="27" t="s">
        <v>90</v>
      </c>
      <c r="C9" s="27">
        <v>2</v>
      </c>
      <c r="D9" s="27">
        <v>12</v>
      </c>
      <c r="E9" s="27">
        <v>120000000</v>
      </c>
      <c r="F9" s="27">
        <f t="shared" si="0"/>
        <v>2880000000</v>
      </c>
      <c r="G9" s="76"/>
    </row>
    <row r="10" spans="1:7" ht="21" customHeight="1">
      <c r="A10" s="27">
        <v>8</v>
      </c>
      <c r="B10" s="27" t="s">
        <v>96</v>
      </c>
      <c r="C10" s="27">
        <v>1</v>
      </c>
      <c r="D10" s="27">
        <v>12</v>
      </c>
      <c r="E10" s="27">
        <v>130000000</v>
      </c>
      <c r="F10" s="27">
        <f t="shared" si="0"/>
        <v>1560000000</v>
      </c>
      <c r="G10" s="76"/>
    </row>
    <row r="11" spans="1:7" ht="21" customHeight="1">
      <c r="A11" s="27">
        <v>9</v>
      </c>
      <c r="B11" s="27" t="s">
        <v>95</v>
      </c>
      <c r="C11" s="27">
        <v>1</v>
      </c>
      <c r="D11" s="27">
        <v>12</v>
      </c>
      <c r="E11" s="27">
        <v>80000000</v>
      </c>
      <c r="F11" s="27">
        <f t="shared" si="0"/>
        <v>960000000</v>
      </c>
      <c r="G11" s="76"/>
    </row>
    <row r="12" spans="1:7" ht="21" customHeight="1">
      <c r="A12" s="27">
        <v>10</v>
      </c>
      <c r="B12" s="27" t="s">
        <v>97</v>
      </c>
      <c r="C12" s="27">
        <v>4</v>
      </c>
      <c r="D12" s="27">
        <v>12</v>
      </c>
      <c r="E12" s="27">
        <v>48000000</v>
      </c>
      <c r="F12" s="27">
        <f t="shared" si="0"/>
        <v>2304000000</v>
      </c>
      <c r="G12" s="76"/>
    </row>
    <row r="13" spans="1:7" ht="23.25">
      <c r="A13" s="27">
        <v>11</v>
      </c>
      <c r="B13" s="27" t="s">
        <v>84</v>
      </c>
      <c r="C13" s="27">
        <v>2</v>
      </c>
      <c r="D13" s="27">
        <v>12</v>
      </c>
      <c r="E13" s="27">
        <v>104500000</v>
      </c>
      <c r="F13" s="27">
        <f t="shared" si="0"/>
        <v>2508000000</v>
      </c>
      <c r="G13" s="76"/>
    </row>
    <row r="14" spans="1:7" ht="23.25">
      <c r="A14" s="27">
        <v>12</v>
      </c>
      <c r="B14" s="27" t="s">
        <v>85</v>
      </c>
      <c r="C14" s="27">
        <v>12</v>
      </c>
      <c r="D14" s="27">
        <v>12</v>
      </c>
      <c r="E14" s="27">
        <v>34600000</v>
      </c>
      <c r="F14" s="27">
        <f t="shared" si="0"/>
        <v>4982400000</v>
      </c>
      <c r="G14" s="76"/>
    </row>
    <row r="15" spans="1:7" ht="23.25">
      <c r="A15" s="27">
        <v>13</v>
      </c>
      <c r="B15" s="27" t="s">
        <v>86</v>
      </c>
      <c r="C15" s="27">
        <v>1</v>
      </c>
      <c r="D15" s="27">
        <v>12</v>
      </c>
      <c r="E15" s="27">
        <v>193200000</v>
      </c>
      <c r="F15" s="27">
        <f t="shared" si="0"/>
        <v>2318400000</v>
      </c>
      <c r="G15" s="76"/>
    </row>
    <row r="16" spans="1:7" ht="23.25">
      <c r="A16" s="27">
        <v>14</v>
      </c>
      <c r="B16" s="27" t="s">
        <v>87</v>
      </c>
      <c r="C16" s="27">
        <v>1</v>
      </c>
      <c r="D16" s="27">
        <v>12</v>
      </c>
      <c r="E16" s="27">
        <v>168900000</v>
      </c>
      <c r="F16" s="27">
        <f t="shared" si="0"/>
        <v>2026800000</v>
      </c>
      <c r="G16" s="76"/>
    </row>
    <row r="17" spans="1:7" ht="23.25">
      <c r="A17" s="27">
        <v>15</v>
      </c>
      <c r="B17" s="27" t="s">
        <v>89</v>
      </c>
      <c r="C17" s="27">
        <v>3</v>
      </c>
      <c r="D17" s="27">
        <v>12</v>
      </c>
      <c r="E17" s="27">
        <v>2000000</v>
      </c>
      <c r="F17" s="27">
        <f t="shared" si="0"/>
        <v>72000000</v>
      </c>
      <c r="G17" s="76"/>
    </row>
    <row r="18" spans="1:7" ht="23.25">
      <c r="A18" s="27">
        <v>16</v>
      </c>
      <c r="B18" s="27" t="s">
        <v>91</v>
      </c>
      <c r="C18" s="27">
        <v>3</v>
      </c>
      <c r="D18" s="27">
        <v>12</v>
      </c>
      <c r="E18" s="27">
        <v>145100000</v>
      </c>
      <c r="F18" s="27">
        <f t="shared" si="0"/>
        <v>5223600000</v>
      </c>
    </row>
    <row r="19" spans="1:7" ht="32.25" customHeight="1">
      <c r="A19" s="163" t="s">
        <v>111</v>
      </c>
      <c r="B19" s="164"/>
      <c r="C19" s="164"/>
      <c r="D19" s="164"/>
      <c r="E19" s="165"/>
      <c r="F19" s="53">
        <f>SUM(F3:F18)</f>
        <v>42055200000</v>
      </c>
    </row>
    <row r="20" spans="1:7" ht="22.5">
      <c r="A20" s="163" t="s">
        <v>129</v>
      </c>
      <c r="B20" s="164"/>
      <c r="C20" s="164"/>
      <c r="D20" s="164"/>
      <c r="E20" s="165"/>
      <c r="F20" s="53">
        <f>(F19/12)*8</f>
        <v>28036800000</v>
      </c>
    </row>
    <row r="21" spans="1:7" ht="22.5">
      <c r="A21" s="163" t="s">
        <v>156</v>
      </c>
      <c r="B21" s="164"/>
      <c r="C21" s="164"/>
      <c r="D21" s="164"/>
      <c r="E21" s="165"/>
      <c r="F21" s="53">
        <f>((F19*1.3)/12)*4</f>
        <v>18223920000</v>
      </c>
    </row>
    <row r="22" spans="1:7" ht="22.5" hidden="1">
      <c r="A22" s="163" t="s">
        <v>130</v>
      </c>
      <c r="B22" s="164"/>
      <c r="C22" s="164"/>
      <c r="D22" s="164"/>
      <c r="E22" s="165"/>
      <c r="F22" s="53">
        <v>0</v>
      </c>
    </row>
    <row r="23" spans="1:7" ht="22.5" hidden="1">
      <c r="A23" s="163"/>
      <c r="B23" s="164"/>
      <c r="C23" s="164"/>
      <c r="D23" s="164"/>
      <c r="E23" s="165"/>
      <c r="F23" s="53"/>
    </row>
  </sheetData>
  <mergeCells count="6">
    <mergeCell ref="A23:E23"/>
    <mergeCell ref="A1:F1"/>
    <mergeCell ref="A19:E19"/>
    <mergeCell ref="A20:E20"/>
    <mergeCell ref="A21:E21"/>
    <mergeCell ref="A22:E22"/>
  </mergeCells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6"/>
  <sheetViews>
    <sheetView rightToLeft="1" tabSelected="1" view="pageBreakPreview" topLeftCell="A28" zoomScaleNormal="100" zoomScaleSheetLayoutView="100" workbookViewId="0">
      <selection activeCell="C11" sqref="C11"/>
    </sheetView>
  </sheetViews>
  <sheetFormatPr defaultRowHeight="18.75"/>
  <cols>
    <col min="1" max="1" width="5.5703125" style="24" bestFit="1" customWidth="1"/>
    <col min="2" max="2" width="45.5703125" style="24" bestFit="1" customWidth="1"/>
    <col min="3" max="3" width="25.7109375" style="24" customWidth="1"/>
    <col min="4" max="16384" width="9.140625" style="24"/>
  </cols>
  <sheetData>
    <row r="1" spans="1:3" ht="32.25" customHeight="1">
      <c r="A1" s="169" t="s">
        <v>64</v>
      </c>
      <c r="B1" s="169"/>
      <c r="C1" s="169"/>
    </row>
    <row r="2" spans="1:3" ht="28.5" customHeight="1">
      <c r="A2" s="27" t="s">
        <v>39</v>
      </c>
      <c r="B2" s="27" t="s">
        <v>42</v>
      </c>
      <c r="C2" s="27" t="s">
        <v>22</v>
      </c>
    </row>
    <row r="3" spans="1:3" ht="23.25">
      <c r="A3" s="27">
        <v>1</v>
      </c>
      <c r="B3" s="27" t="s">
        <v>44</v>
      </c>
      <c r="C3" s="27">
        <f>محاسبه!A20</f>
        <v>1120519732756.5713</v>
      </c>
    </row>
    <row r="4" spans="1:3" ht="46.5">
      <c r="A4" s="27">
        <v>2</v>
      </c>
      <c r="B4" s="27" t="s">
        <v>45</v>
      </c>
      <c r="C4" s="27">
        <f>'آناليز هزينه پرسنل پارسيان'!C30</f>
        <v>179313589984</v>
      </c>
    </row>
    <row r="5" spans="1:3" ht="23.25">
      <c r="A5" s="27">
        <v>3</v>
      </c>
      <c r="B5" s="51" t="s">
        <v>54</v>
      </c>
      <c r="C5" s="27">
        <f>'آناليز هزينه پرسنل پارسيان'!C37</f>
        <v>1434709333.3333333</v>
      </c>
    </row>
    <row r="6" spans="1:3" ht="23.25">
      <c r="A6" s="27">
        <v>4</v>
      </c>
      <c r="B6" s="27" t="s">
        <v>49</v>
      </c>
      <c r="C6" s="27">
        <f>'پاداش و رفاهيات'!A10</f>
        <v>58039328666.666656</v>
      </c>
    </row>
    <row r="7" spans="1:3" ht="23.25">
      <c r="A7" s="27">
        <v>5</v>
      </c>
      <c r="B7" s="27" t="s">
        <v>50</v>
      </c>
      <c r="C7" s="27">
        <f>'پاداش و رفاهيات'!A20</f>
        <v>0</v>
      </c>
    </row>
    <row r="8" spans="1:3" ht="23.25">
      <c r="A8" s="27">
        <v>6</v>
      </c>
      <c r="B8" s="27" t="s">
        <v>51</v>
      </c>
      <c r="C8" s="27">
        <f>آموزش!G10</f>
        <v>59695787500</v>
      </c>
    </row>
    <row r="9" spans="1:3" ht="23.25">
      <c r="A9" s="27">
        <v>7</v>
      </c>
      <c r="B9" s="27" t="s">
        <v>52</v>
      </c>
      <c r="C9" s="27">
        <f>'غذاي مصرفي'!C7</f>
        <v>20895153784</v>
      </c>
    </row>
    <row r="10" spans="1:3" ht="20.25" customHeight="1">
      <c r="A10" s="27">
        <v>8</v>
      </c>
      <c r="B10" s="27" t="s">
        <v>43</v>
      </c>
      <c r="C10" s="27">
        <f>'اياب ذهاب'!F20</f>
        <v>28036800000</v>
      </c>
    </row>
    <row r="11" spans="1:3" ht="38.25" customHeight="1">
      <c r="A11" s="27">
        <v>9</v>
      </c>
      <c r="B11" s="27" t="s">
        <v>158</v>
      </c>
      <c r="C11" s="27">
        <f>(C3+C4)*0.0025</f>
        <v>3249583306.8514285</v>
      </c>
    </row>
    <row r="12" spans="1:3" s="54" customFormat="1" ht="46.5">
      <c r="A12" s="27">
        <v>10</v>
      </c>
      <c r="B12" s="27" t="s">
        <v>58</v>
      </c>
      <c r="C12" s="27">
        <f>(C3+C4)*0.01</f>
        <v>12998333227.405714</v>
      </c>
    </row>
    <row r="13" spans="1:3" ht="23.25">
      <c r="A13" s="167" t="s">
        <v>19</v>
      </c>
      <c r="B13" s="168"/>
      <c r="C13" s="27">
        <f>SUM(C3:C12)</f>
        <v>1484183018558.8284</v>
      </c>
    </row>
    <row r="14" spans="1:3" ht="20.25" customHeight="1">
      <c r="A14" s="167" t="s">
        <v>151</v>
      </c>
      <c r="B14" s="168"/>
      <c r="C14" s="27">
        <f>ROUND(C13*1.2167,0)</f>
        <v>1805805478681</v>
      </c>
    </row>
    <row r="16" spans="1:3" ht="32.25">
      <c r="A16" s="169" t="s">
        <v>65</v>
      </c>
      <c r="B16" s="169"/>
      <c r="C16" s="169"/>
    </row>
    <row r="17" spans="1:4" ht="28.5" customHeight="1">
      <c r="A17" s="27" t="s">
        <v>39</v>
      </c>
      <c r="B17" s="27" t="s">
        <v>42</v>
      </c>
      <c r="C17" s="27" t="s">
        <v>22</v>
      </c>
    </row>
    <row r="18" spans="1:4" ht="23.25">
      <c r="A18" s="27">
        <v>1</v>
      </c>
      <c r="B18" s="27" t="s">
        <v>44</v>
      </c>
      <c r="C18" s="27">
        <f>محاسبه!A22</f>
        <v>877804891880.53381</v>
      </c>
      <c r="D18" s="24">
        <v>1.35</v>
      </c>
    </row>
    <row r="19" spans="1:4" ht="46.5">
      <c r="A19" s="27">
        <v>2</v>
      </c>
      <c r="B19" s="27" t="s">
        <v>45</v>
      </c>
      <c r="C19" s="27">
        <f>'آناليز هزينه پرسنل پارسيان'!C31</f>
        <v>125519512988.79999</v>
      </c>
      <c r="D19" s="24">
        <v>1.4</v>
      </c>
    </row>
    <row r="20" spans="1:4" ht="23.25">
      <c r="A20" s="27">
        <v>3</v>
      </c>
      <c r="B20" s="51" t="s">
        <v>54</v>
      </c>
      <c r="C20" s="27">
        <f>'آناليز هزينه پرسنل پارسيان'!C39</f>
        <v>1004296533.3333333</v>
      </c>
      <c r="D20" s="24">
        <v>1.4</v>
      </c>
    </row>
    <row r="21" spans="1:4" ht="23.25">
      <c r="A21" s="27">
        <v>4</v>
      </c>
      <c r="B21" s="27" t="s">
        <v>49</v>
      </c>
      <c r="C21" s="27">
        <f>'پاداش و رفاهيات'!A30</f>
        <v>45233182350</v>
      </c>
      <c r="D21" s="24">
        <v>1.35</v>
      </c>
    </row>
    <row r="22" spans="1:4" ht="23.25">
      <c r="A22" s="27">
        <v>5</v>
      </c>
      <c r="B22" s="27" t="s">
        <v>50</v>
      </c>
      <c r="C22" s="27">
        <f>'پاداش و رفاهيات'!A40</f>
        <v>0</v>
      </c>
      <c r="D22" s="24">
        <v>0</v>
      </c>
    </row>
    <row r="23" spans="1:4" ht="23.25">
      <c r="A23" s="27">
        <v>6</v>
      </c>
      <c r="B23" s="27" t="s">
        <v>51</v>
      </c>
      <c r="C23" s="27">
        <v>0</v>
      </c>
      <c r="D23" s="24">
        <v>1.1000000000000001</v>
      </c>
    </row>
    <row r="24" spans="1:4" ht="23.25">
      <c r="A24" s="27">
        <v>7</v>
      </c>
      <c r="B24" s="27" t="s">
        <v>52</v>
      </c>
      <c r="C24" s="27">
        <f>'غذاي مصرفي'!C16</f>
        <v>23079281878</v>
      </c>
      <c r="D24" s="24">
        <v>1.4</v>
      </c>
    </row>
    <row r="25" spans="1:4" ht="23.25">
      <c r="A25" s="27">
        <v>8</v>
      </c>
      <c r="B25" s="27" t="s">
        <v>43</v>
      </c>
      <c r="C25" s="27">
        <f>'اياب ذهاب'!F21</f>
        <v>18223920000</v>
      </c>
      <c r="D25" s="24">
        <v>1.3</v>
      </c>
    </row>
    <row r="26" spans="1:4" ht="46.5">
      <c r="A26" s="27">
        <v>9</v>
      </c>
      <c r="B26" s="27" t="s">
        <v>158</v>
      </c>
      <c r="C26" s="27">
        <f>(C18+C19)*0.0025</f>
        <v>2508311012.1733346</v>
      </c>
    </row>
    <row r="27" spans="1:4" ht="46.5">
      <c r="A27" s="27">
        <v>10</v>
      </c>
      <c r="B27" s="27" t="s">
        <v>58</v>
      </c>
      <c r="C27" s="27">
        <f>(C18+C19)*0.01</f>
        <v>10033244048.693338</v>
      </c>
    </row>
    <row r="28" spans="1:4" ht="23.25">
      <c r="A28" s="167" t="s">
        <v>19</v>
      </c>
      <c r="B28" s="168"/>
      <c r="C28" s="27">
        <f>SUM(C18:C27)</f>
        <v>1103406640691.5337</v>
      </c>
    </row>
    <row r="29" spans="1:4" ht="23.25">
      <c r="A29" s="167" t="s">
        <v>151</v>
      </c>
      <c r="B29" s="168"/>
      <c r="C29" s="27">
        <f>ROUND(C28*1.2167,0)</f>
        <v>1342514859729</v>
      </c>
    </row>
    <row r="32" spans="1:4" ht="22.5">
      <c r="A32" s="53">
        <v>1</v>
      </c>
      <c r="B32" s="53" t="s">
        <v>159</v>
      </c>
      <c r="C32" s="53">
        <f>C14</f>
        <v>1805805478681</v>
      </c>
    </row>
    <row r="33" spans="1:3" ht="22.5">
      <c r="A33" s="53">
        <v>2</v>
      </c>
      <c r="B33" s="53" t="s">
        <v>160</v>
      </c>
      <c r="C33" s="53">
        <f>C29</f>
        <v>1342514859729</v>
      </c>
    </row>
    <row r="34" spans="1:3" ht="22.5">
      <c r="A34" s="163" t="s">
        <v>161</v>
      </c>
      <c r="B34" s="165"/>
      <c r="C34" s="53">
        <f>SUM(C32:C33)</f>
        <v>3148320338410</v>
      </c>
    </row>
    <row r="36" spans="1:3" ht="22.5">
      <c r="B36" s="24" t="s">
        <v>157</v>
      </c>
      <c r="C36" s="53">
        <f>C13+C28</f>
        <v>2587589659250.3623</v>
      </c>
    </row>
  </sheetData>
  <mergeCells count="7">
    <mergeCell ref="A34:B34"/>
    <mergeCell ref="A29:B29"/>
    <mergeCell ref="A13:B13"/>
    <mergeCell ref="A14:B14"/>
    <mergeCell ref="A1:C1"/>
    <mergeCell ref="A16:C16"/>
    <mergeCell ref="A28:B28"/>
  </mergeCells>
  <pageMargins left="0.7" right="0.7" top="0.75" bottom="0.75" header="0.3" footer="0.3"/>
  <pageSetup paperSize="9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آناليز هزينه پرسنل پارسيان</vt:lpstr>
      <vt:lpstr>جدول آمار كاركنان</vt:lpstr>
      <vt:lpstr>مدرك تحصيلي و سابقه كار كاركنان</vt:lpstr>
      <vt:lpstr>محاسبه</vt:lpstr>
      <vt:lpstr>پاداش و رفاهيات</vt:lpstr>
      <vt:lpstr>آموزش</vt:lpstr>
      <vt:lpstr>غذاي مصرفي</vt:lpstr>
      <vt:lpstr>اياب ذهاب</vt:lpstr>
      <vt:lpstr>جمع بندي نهايي</vt:lpstr>
      <vt:lpstr>آموزش!Print_Area</vt:lpstr>
      <vt:lpstr>'آناليز هزينه پرسنل پارسيان'!Print_Area</vt:lpstr>
      <vt:lpstr>'پاداش و رفاهيات'!Print_Area</vt:lpstr>
      <vt:lpstr>'جمع بندي نهايي'!Print_Area</vt:lpstr>
      <vt:lpstr>'غذاي مصرفي'!Print_Area</vt:lpstr>
      <vt:lpstr>محاسبه!Print_Area</vt:lpstr>
      <vt:lpstr>'مدرك تحصيلي و سابقه كار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Arjmandi, Amin</cp:lastModifiedBy>
  <cp:lastPrinted>2021-07-24T05:17:26Z</cp:lastPrinted>
  <dcterms:created xsi:type="dcterms:W3CDTF">2016-01-19T08:34:42Z</dcterms:created>
  <dcterms:modified xsi:type="dcterms:W3CDTF">2021-08-04T07:10:04Z</dcterms:modified>
</cp:coreProperties>
</file>