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708" sheetId="1" r:id="rId1"/>
  </sheets>
  <calcPr calcId="125725"/>
</workbook>
</file>

<file path=xl/calcChain.xml><?xml version="1.0" encoding="utf-8"?>
<calcChain xmlns="http://schemas.openxmlformats.org/spreadsheetml/2006/main">
  <c r="AT1140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2"/>
  <c r="A367"/>
  <c r="B367"/>
  <c r="C367"/>
  <c r="D367"/>
  <c r="E367"/>
  <c r="A502"/>
  <c r="B502"/>
  <c r="C502"/>
  <c r="D502"/>
  <c r="E502"/>
  <c r="A508"/>
  <c r="B508"/>
  <c r="C508"/>
  <c r="D508"/>
  <c r="E508"/>
  <c r="A522"/>
  <c r="B522"/>
  <c r="C522"/>
  <c r="D522"/>
  <c r="E522"/>
  <c r="A511"/>
  <c r="B511"/>
  <c r="C511"/>
  <c r="D511"/>
  <c r="E511"/>
  <c r="A650"/>
  <c r="B650"/>
  <c r="C650"/>
  <c r="D650"/>
  <c r="E650"/>
  <c r="A652"/>
  <c r="B652"/>
  <c r="C652"/>
  <c r="D652"/>
  <c r="E652"/>
  <c r="A761"/>
  <c r="B761"/>
  <c r="C761"/>
  <c r="D761"/>
  <c r="E761"/>
  <c r="A404"/>
  <c r="B404"/>
  <c r="C404"/>
  <c r="D404"/>
  <c r="E404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24"/>
  <c r="B24"/>
  <c r="C24"/>
  <c r="D24"/>
  <c r="E24"/>
  <c r="A2"/>
  <c r="B2"/>
  <c r="C2"/>
  <c r="D2"/>
  <c r="E2"/>
  <c r="A48"/>
  <c r="B48"/>
  <c r="C48"/>
  <c r="D48"/>
  <c r="E48"/>
  <c r="A498"/>
  <c r="B498"/>
  <c r="C498"/>
  <c r="D498"/>
  <c r="E498"/>
  <c r="A555"/>
  <c r="B555"/>
  <c r="C555"/>
  <c r="D555"/>
  <c r="E555"/>
  <c r="A776"/>
  <c r="B776"/>
  <c r="C776"/>
  <c r="D776"/>
  <c r="E776"/>
  <c r="A764"/>
  <c r="B764"/>
  <c r="C764"/>
  <c r="D764"/>
  <c r="E764"/>
  <c r="A944"/>
  <c r="B944"/>
  <c r="C944"/>
  <c r="D944"/>
  <c r="E944"/>
  <c r="A752"/>
  <c r="B752"/>
  <c r="C752"/>
  <c r="D752"/>
  <c r="E752"/>
  <c r="A426"/>
  <c r="B426"/>
  <c r="C426"/>
  <c r="D426"/>
  <c r="E426"/>
  <c r="A737"/>
  <c r="B737"/>
  <c r="C737"/>
  <c r="D737"/>
  <c r="E737"/>
  <c r="A922"/>
  <c r="B922"/>
  <c r="C922"/>
  <c r="D922"/>
  <c r="E922"/>
  <c r="A784"/>
  <c r="B784"/>
  <c r="C784"/>
  <c r="D784"/>
  <c r="E784"/>
  <c r="A785"/>
  <c r="B785"/>
  <c r="C785"/>
  <c r="D785"/>
  <c r="E785"/>
  <c r="A947"/>
  <c r="B947"/>
  <c r="C947"/>
  <c r="D947"/>
  <c r="E947"/>
  <c r="A505"/>
  <c r="B505"/>
  <c r="C505"/>
  <c r="D505"/>
  <c r="E505"/>
  <c r="A507"/>
  <c r="B507"/>
  <c r="C507"/>
  <c r="D507"/>
  <c r="E507"/>
  <c r="A519"/>
  <c r="B519"/>
  <c r="C519"/>
  <c r="D519"/>
  <c r="E519"/>
  <c r="A458"/>
  <c r="B458"/>
  <c r="C458"/>
  <c r="D458"/>
  <c r="E458"/>
  <c r="A51"/>
  <c r="B51"/>
  <c r="C51"/>
  <c r="D51"/>
  <c r="E51"/>
  <c r="A575"/>
  <c r="B575"/>
  <c r="C575"/>
  <c r="D575"/>
  <c r="E575"/>
  <c r="A576"/>
  <c r="B576"/>
  <c r="C576"/>
  <c r="D576"/>
  <c r="E576"/>
  <c r="A554"/>
  <c r="B554"/>
  <c r="C554"/>
  <c r="D554"/>
  <c r="E554"/>
  <c r="A1102"/>
  <c r="B1102"/>
  <c r="C1102"/>
  <c r="D1102"/>
  <c r="E1102"/>
  <c r="A1104"/>
  <c r="B1104"/>
  <c r="C1104"/>
  <c r="D1104"/>
  <c r="E1104"/>
  <c r="A1139"/>
  <c r="B1139"/>
  <c r="C1139"/>
  <c r="D1139"/>
  <c r="E1139"/>
  <c r="A884"/>
  <c r="B884"/>
  <c r="C884"/>
  <c r="D884"/>
  <c r="E884"/>
  <c r="A738"/>
  <c r="B738"/>
  <c r="C738"/>
  <c r="D738"/>
  <c r="E738"/>
  <c r="A735"/>
  <c r="B735"/>
  <c r="C735"/>
  <c r="D735"/>
  <c r="E735"/>
  <c r="A736"/>
  <c r="B736"/>
  <c r="C736"/>
  <c r="D736"/>
  <c r="E736"/>
  <c r="A997"/>
  <c r="B997"/>
  <c r="C997"/>
  <c r="D997"/>
  <c r="E997"/>
  <c r="A580"/>
  <c r="B580"/>
  <c r="C580"/>
  <c r="D580"/>
  <c r="E580"/>
  <c r="A605"/>
  <c r="B605"/>
  <c r="C605"/>
  <c r="D605"/>
  <c r="E605"/>
  <c r="A499"/>
  <c r="B499"/>
  <c r="C499"/>
  <c r="D499"/>
  <c r="E499"/>
  <c r="A516"/>
  <c r="B516"/>
  <c r="C516"/>
  <c r="D516"/>
  <c r="E516"/>
  <c r="A332"/>
  <c r="B332"/>
  <c r="C332"/>
  <c r="D332"/>
  <c r="E332"/>
  <c r="A334"/>
  <c r="B334"/>
  <c r="C334"/>
  <c r="D334"/>
  <c r="E334"/>
  <c r="A504"/>
  <c r="B504"/>
  <c r="C504"/>
  <c r="D504"/>
  <c r="E504"/>
  <c r="A614"/>
  <c r="B614"/>
  <c r="C614"/>
  <c r="D614"/>
  <c r="E614"/>
  <c r="A601"/>
  <c r="B601"/>
  <c r="C601"/>
  <c r="D601"/>
  <c r="E601"/>
  <c r="A655"/>
  <c r="B655"/>
  <c r="C655"/>
  <c r="D655"/>
  <c r="E655"/>
  <c r="A675"/>
  <c r="B675"/>
  <c r="C675"/>
  <c r="D675"/>
  <c r="E675"/>
  <c r="A631"/>
  <c r="B631"/>
  <c r="C631"/>
  <c r="D631"/>
  <c r="E631"/>
  <c r="A731"/>
  <c r="B731"/>
  <c r="C731"/>
  <c r="D731"/>
  <c r="E731"/>
  <c r="A740"/>
  <c r="B740"/>
  <c r="C740"/>
  <c r="D740"/>
  <c r="E740"/>
  <c r="A720"/>
  <c r="B720"/>
  <c r="C720"/>
  <c r="D720"/>
  <c r="E720"/>
  <c r="A728"/>
  <c r="B728"/>
  <c r="C728"/>
  <c r="D728"/>
  <c r="E728"/>
  <c r="A782"/>
  <c r="B782"/>
  <c r="C782"/>
  <c r="D782"/>
  <c r="E782"/>
  <c r="A783"/>
  <c r="B783"/>
  <c r="C783"/>
  <c r="D783"/>
  <c r="E783"/>
  <c r="A996"/>
  <c r="B996"/>
  <c r="C996"/>
  <c r="D996"/>
  <c r="E996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81"/>
  <c r="B781"/>
  <c r="C781"/>
  <c r="D781"/>
  <c r="E781"/>
  <c r="A719"/>
  <c r="B719"/>
  <c r="C719"/>
  <c r="D719"/>
  <c r="E719"/>
  <c r="A729"/>
  <c r="B729"/>
  <c r="C729"/>
  <c r="D729"/>
  <c r="E729"/>
  <c r="A730"/>
  <c r="B730"/>
  <c r="C730"/>
  <c r="D730"/>
  <c r="E730"/>
  <c r="A672"/>
  <c r="B672"/>
  <c r="C672"/>
  <c r="D672"/>
  <c r="E672"/>
  <c r="A657"/>
  <c r="B657"/>
  <c r="C657"/>
  <c r="D657"/>
  <c r="E657"/>
  <c r="A721"/>
  <c r="B721"/>
  <c r="C721"/>
  <c r="D721"/>
  <c r="E721"/>
  <c r="A724"/>
  <c r="B724"/>
  <c r="C724"/>
  <c r="D724"/>
  <c r="E724"/>
  <c r="A725"/>
  <c r="B725"/>
  <c r="C725"/>
  <c r="D725"/>
  <c r="E725"/>
  <c r="A726"/>
  <c r="B726"/>
  <c r="C726"/>
  <c r="D726"/>
  <c r="E726"/>
  <c r="A875"/>
  <c r="B875"/>
  <c r="C875"/>
  <c r="D875"/>
  <c r="E875"/>
  <c r="A780"/>
  <c r="B780"/>
  <c r="C780"/>
  <c r="D780"/>
  <c r="E780"/>
  <c r="A579"/>
  <c r="B579"/>
  <c r="C579"/>
  <c r="D579"/>
  <c r="E579"/>
  <c r="A310"/>
  <c r="B310"/>
  <c r="C310"/>
  <c r="D310"/>
  <c r="E310"/>
  <c r="A311"/>
  <c r="B311"/>
  <c r="C311"/>
  <c r="D311"/>
  <c r="E311"/>
  <c r="A312"/>
  <c r="B312"/>
  <c r="C312"/>
  <c r="D312"/>
  <c r="E312"/>
  <c r="A520"/>
  <c r="B520"/>
  <c r="C520"/>
  <c r="D520"/>
  <c r="E520"/>
  <c r="A521"/>
  <c r="B521"/>
  <c r="C521"/>
  <c r="D521"/>
  <c r="E521"/>
  <c r="A513"/>
  <c r="B513"/>
  <c r="C513"/>
  <c r="D513"/>
  <c r="E513"/>
  <c r="A514"/>
  <c r="B514"/>
  <c r="C514"/>
  <c r="D514"/>
  <c r="E514"/>
  <c r="A515"/>
  <c r="B515"/>
  <c r="C515"/>
  <c r="D515"/>
  <c r="E515"/>
  <c r="A506"/>
  <c r="B506"/>
  <c r="C506"/>
  <c r="D506"/>
  <c r="E506"/>
  <c r="A501"/>
  <c r="B501"/>
  <c r="C501"/>
  <c r="D501"/>
  <c r="E501"/>
  <c r="A368"/>
  <c r="B368"/>
  <c r="C368"/>
  <c r="D368"/>
  <c r="E368"/>
  <c r="A453"/>
  <c r="B453"/>
  <c r="C453"/>
  <c r="D453"/>
  <c r="E453"/>
  <c r="A588"/>
  <c r="B588"/>
  <c r="C588"/>
  <c r="D588"/>
  <c r="E588"/>
  <c r="A604"/>
  <c r="B604"/>
  <c r="C604"/>
  <c r="D604"/>
  <c r="E604"/>
  <c r="A619"/>
  <c r="B619"/>
  <c r="C619"/>
  <c r="D619"/>
  <c r="E619"/>
  <c r="A35"/>
  <c r="B35"/>
  <c r="C35"/>
  <c r="D35"/>
  <c r="E35"/>
  <c r="A8"/>
  <c r="B8"/>
  <c r="C8"/>
  <c r="D8"/>
  <c r="E8"/>
  <c r="A247"/>
  <c r="B247"/>
  <c r="C247"/>
  <c r="D247"/>
  <c r="E247"/>
  <c r="A242"/>
  <c r="B242"/>
  <c r="C242"/>
  <c r="D242"/>
  <c r="E242"/>
  <c r="A241"/>
  <c r="B241"/>
  <c r="C241"/>
  <c r="D241"/>
  <c r="E241"/>
  <c r="A319"/>
  <c r="B319"/>
  <c r="C319"/>
  <c r="D319"/>
  <c r="E319"/>
  <c r="A618"/>
  <c r="B618"/>
  <c r="C618"/>
  <c r="D618"/>
  <c r="E618"/>
  <c r="A517"/>
  <c r="B517"/>
  <c r="C517"/>
  <c r="D517"/>
  <c r="E517"/>
  <c r="A765"/>
  <c r="B765"/>
  <c r="C765"/>
  <c r="D765"/>
  <c r="E765"/>
  <c r="A641"/>
  <c r="B641"/>
  <c r="C641"/>
  <c r="D641"/>
  <c r="E641"/>
  <c r="A621"/>
  <c r="B621"/>
  <c r="C621"/>
  <c r="D621"/>
  <c r="E621"/>
  <c r="A624"/>
  <c r="B624"/>
  <c r="C624"/>
  <c r="D624"/>
  <c r="E624"/>
  <c r="A625"/>
  <c r="B625"/>
  <c r="C625"/>
  <c r="D625"/>
  <c r="E625"/>
  <c r="A370"/>
  <c r="B370"/>
  <c r="C370"/>
  <c r="D370"/>
  <c r="E370"/>
  <c r="A609"/>
  <c r="B609"/>
  <c r="C609"/>
  <c r="D609"/>
  <c r="E609"/>
  <c r="A589"/>
  <c r="B589"/>
  <c r="C589"/>
  <c r="D589"/>
  <c r="E589"/>
  <c r="A611"/>
  <c r="B611"/>
  <c r="C611"/>
  <c r="D611"/>
  <c r="E611"/>
  <c r="A603"/>
  <c r="B603"/>
  <c r="C603"/>
  <c r="D603"/>
  <c r="E603"/>
  <c r="A754"/>
  <c r="B754"/>
  <c r="C754"/>
  <c r="D754"/>
  <c r="E754"/>
  <c r="A751"/>
  <c r="B751"/>
  <c r="C751"/>
  <c r="D751"/>
  <c r="E751"/>
  <c r="A748"/>
  <c r="B748"/>
  <c r="C748"/>
  <c r="D748"/>
  <c r="E748"/>
  <c r="A749"/>
  <c r="B749"/>
  <c r="C749"/>
  <c r="D749"/>
  <c r="E749"/>
  <c r="A742"/>
  <c r="B742"/>
  <c r="C742"/>
  <c r="D742"/>
  <c r="E742"/>
  <c r="A727"/>
  <c r="B727"/>
  <c r="C727"/>
  <c r="D727"/>
  <c r="E727"/>
  <c r="A778"/>
  <c r="B778"/>
  <c r="C778"/>
  <c r="D778"/>
  <c r="E778"/>
  <c r="A779"/>
  <c r="B779"/>
  <c r="C779"/>
  <c r="D779"/>
  <c r="E779"/>
  <c r="A882"/>
  <c r="B882"/>
  <c r="C882"/>
  <c r="D882"/>
  <c r="E882"/>
  <c r="A747"/>
  <c r="B747"/>
  <c r="C747"/>
  <c r="D747"/>
  <c r="E747"/>
  <c r="A773"/>
  <c r="B773"/>
  <c r="C773"/>
  <c r="D773"/>
  <c r="E773"/>
  <c r="A769"/>
  <c r="B769"/>
  <c r="C769"/>
  <c r="D769"/>
  <c r="E769"/>
  <c r="A770"/>
  <c r="B770"/>
  <c r="C770"/>
  <c r="D770"/>
  <c r="E770"/>
  <c r="A775"/>
  <c r="B775"/>
  <c r="C775"/>
  <c r="D775"/>
  <c r="E775"/>
  <c r="A623"/>
  <c r="B623"/>
  <c r="C623"/>
  <c r="D623"/>
  <c r="E623"/>
  <c r="A594"/>
  <c r="B594"/>
  <c r="C594"/>
  <c r="D594"/>
  <c r="E594"/>
  <c r="A592"/>
  <c r="B592"/>
  <c r="C592"/>
  <c r="D592"/>
  <c r="E592"/>
  <c r="A620"/>
  <c r="B620"/>
  <c r="C620"/>
  <c r="D620"/>
  <c r="E620"/>
  <c r="A640"/>
  <c r="B640"/>
  <c r="C640"/>
  <c r="D640"/>
  <c r="E640"/>
  <c r="A756"/>
  <c r="B756"/>
  <c r="C756"/>
  <c r="D756"/>
  <c r="E756"/>
  <c r="A294"/>
  <c r="B294"/>
  <c r="C294"/>
  <c r="D294"/>
  <c r="E294"/>
  <c r="A457"/>
  <c r="B457"/>
  <c r="C457"/>
  <c r="D457"/>
  <c r="E457"/>
  <c r="A951"/>
  <c r="B951"/>
  <c r="C951"/>
  <c r="D951"/>
  <c r="E951"/>
  <c r="A989"/>
  <c r="B989"/>
  <c r="C989"/>
  <c r="D989"/>
  <c r="E989"/>
  <c r="A1006"/>
  <c r="B1006"/>
  <c r="C1006"/>
  <c r="D1006"/>
  <c r="E1006"/>
  <c r="A1058"/>
  <c r="B1058"/>
  <c r="C1058"/>
  <c r="D1058"/>
  <c r="E1058"/>
  <c r="A986"/>
  <c r="B986"/>
  <c r="C986"/>
  <c r="D986"/>
  <c r="E986"/>
  <c r="A981"/>
  <c r="B981"/>
  <c r="C981"/>
  <c r="D981"/>
  <c r="E981"/>
  <c r="A874"/>
  <c r="B874"/>
  <c r="C874"/>
  <c r="D874"/>
  <c r="E874"/>
  <c r="A877"/>
  <c r="B877"/>
  <c r="C877"/>
  <c r="D877"/>
  <c r="E877"/>
  <c r="A15"/>
  <c r="B15"/>
  <c r="C15"/>
  <c r="D15"/>
  <c r="E15"/>
  <c r="A43"/>
  <c r="B43"/>
  <c r="C43"/>
  <c r="D43"/>
  <c r="E43"/>
  <c r="A617"/>
  <c r="B617"/>
  <c r="C617"/>
  <c r="D617"/>
  <c r="E617"/>
  <c r="A612"/>
  <c r="B612"/>
  <c r="C612"/>
  <c r="D612"/>
  <c r="E612"/>
  <c r="A613"/>
  <c r="B613"/>
  <c r="C613"/>
  <c r="D613"/>
  <c r="E613"/>
  <c r="A598"/>
  <c r="B598"/>
  <c r="C598"/>
  <c r="D598"/>
  <c r="E598"/>
  <c r="A610"/>
  <c r="B610"/>
  <c r="C610"/>
  <c r="D610"/>
  <c r="E610"/>
  <c r="A583"/>
  <c r="B583"/>
  <c r="C583"/>
  <c r="D583"/>
  <c r="E583"/>
  <c r="A525"/>
  <c r="B525"/>
  <c r="C525"/>
  <c r="D525"/>
  <c r="E525"/>
  <c r="A353"/>
  <c r="B353"/>
  <c r="C353"/>
  <c r="D353"/>
  <c r="E353"/>
  <c r="A317"/>
  <c r="B317"/>
  <c r="C317"/>
  <c r="D317"/>
  <c r="E317"/>
  <c r="A271"/>
  <c r="B271"/>
  <c r="C271"/>
  <c r="D271"/>
  <c r="E271"/>
  <c r="A244"/>
  <c r="B244"/>
  <c r="C244"/>
  <c r="D244"/>
  <c r="E244"/>
  <c r="A245"/>
  <c r="B245"/>
  <c r="C245"/>
  <c r="D245"/>
  <c r="E245"/>
  <c r="A246"/>
  <c r="B246"/>
  <c r="C246"/>
  <c r="D246"/>
  <c r="E246"/>
  <c r="A248"/>
  <c r="B248"/>
  <c r="C248"/>
  <c r="D248"/>
  <c r="E248"/>
  <c r="A170"/>
  <c r="B170"/>
  <c r="C170"/>
  <c r="D170"/>
  <c r="E170"/>
  <c r="A124"/>
  <c r="B124"/>
  <c r="C124"/>
  <c r="D124"/>
  <c r="E124"/>
  <c r="A17"/>
  <c r="B17"/>
  <c r="C17"/>
  <c r="D17"/>
  <c r="E17"/>
  <c r="A16"/>
  <c r="B16"/>
  <c r="C16"/>
  <c r="D16"/>
  <c r="E16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243"/>
  <c r="B243"/>
  <c r="C243"/>
  <c r="D243"/>
  <c r="E243"/>
  <c r="A304"/>
  <c r="B304"/>
  <c r="C304"/>
  <c r="D304"/>
  <c r="E304"/>
  <c r="A320"/>
  <c r="B320"/>
  <c r="C320"/>
  <c r="D320"/>
  <c r="E320"/>
  <c r="A318"/>
  <c r="B318"/>
  <c r="C318"/>
  <c r="D318"/>
  <c r="E318"/>
  <c r="A196"/>
  <c r="B196"/>
  <c r="C196"/>
  <c r="D196"/>
  <c r="E196"/>
  <c r="A946"/>
  <c r="B946"/>
  <c r="C946"/>
  <c r="D946"/>
  <c r="E946"/>
  <c r="A401"/>
  <c r="B401"/>
  <c r="C401"/>
  <c r="D401"/>
  <c r="E401"/>
  <c r="A352"/>
  <c r="B352"/>
  <c r="C352"/>
  <c r="D352"/>
  <c r="E352"/>
  <c r="A328"/>
  <c r="B328"/>
  <c r="C328"/>
  <c r="D328"/>
  <c r="E328"/>
  <c r="A532"/>
  <c r="B532"/>
  <c r="C532"/>
  <c r="D532"/>
  <c r="E532"/>
  <c r="A607"/>
  <c r="B607"/>
  <c r="C607"/>
  <c r="D607"/>
  <c r="E607"/>
  <c r="A608"/>
  <c r="B608"/>
  <c r="C608"/>
  <c r="D608"/>
  <c r="E608"/>
  <c r="A599"/>
  <c r="B599"/>
  <c r="C599"/>
  <c r="D599"/>
  <c r="E599"/>
  <c r="A616"/>
  <c r="B616"/>
  <c r="C616"/>
  <c r="D616"/>
  <c r="E616"/>
  <c r="A11"/>
  <c r="B11"/>
  <c r="C11"/>
  <c r="D11"/>
  <c r="E11"/>
  <c r="A988"/>
  <c r="B988"/>
  <c r="C988"/>
  <c r="D988"/>
  <c r="E988"/>
  <c r="A1003"/>
  <c r="B1003"/>
  <c r="C1003"/>
  <c r="D1003"/>
  <c r="E1003"/>
  <c r="A1001"/>
  <c r="B1001"/>
  <c r="C1001"/>
  <c r="D1001"/>
  <c r="E1001"/>
  <c r="A1000"/>
  <c r="B1000"/>
  <c r="C1000"/>
  <c r="D1000"/>
  <c r="E1000"/>
  <c r="A1002"/>
  <c r="B1002"/>
  <c r="C1002"/>
  <c r="D1002"/>
  <c r="E1002"/>
  <c r="A1101"/>
  <c r="B1101"/>
  <c r="C1101"/>
  <c r="D1101"/>
  <c r="E1101"/>
  <c r="A948"/>
  <c r="B948"/>
  <c r="C948"/>
  <c r="D948"/>
  <c r="E948"/>
  <c r="A945"/>
  <c r="B945"/>
  <c r="C945"/>
  <c r="D945"/>
  <c r="E945"/>
  <c r="A950"/>
  <c r="B950"/>
  <c r="C950"/>
  <c r="D950"/>
  <c r="E950"/>
  <c r="A949"/>
  <c r="B949"/>
  <c r="C949"/>
  <c r="D949"/>
  <c r="E949"/>
  <c r="A772"/>
  <c r="B772"/>
  <c r="C772"/>
  <c r="D772"/>
  <c r="E772"/>
  <c r="A923"/>
  <c r="B923"/>
  <c r="C923"/>
  <c r="D923"/>
  <c r="E923"/>
  <c r="A924"/>
  <c r="B924"/>
  <c r="C924"/>
  <c r="D924"/>
  <c r="E924"/>
  <c r="A980"/>
  <c r="B980"/>
  <c r="C980"/>
  <c r="D980"/>
  <c r="E980"/>
  <c r="A983"/>
  <c r="B983"/>
  <c r="C983"/>
  <c r="D983"/>
  <c r="E983"/>
  <c r="A984"/>
  <c r="B984"/>
  <c r="C984"/>
  <c r="D984"/>
  <c r="E984"/>
  <c r="A995"/>
  <c r="B995"/>
  <c r="C995"/>
  <c r="D995"/>
  <c r="E995"/>
  <c r="A998"/>
  <c r="B998"/>
  <c r="C998"/>
  <c r="D998"/>
  <c r="E998"/>
  <c r="A978"/>
  <c r="B978"/>
  <c r="C978"/>
  <c r="D978"/>
  <c r="E978"/>
  <c r="A992"/>
  <c r="B992"/>
  <c r="C992"/>
  <c r="D992"/>
  <c r="E992"/>
  <c r="A758"/>
  <c r="B758"/>
  <c r="C758"/>
  <c r="D758"/>
  <c r="E758"/>
  <c r="A753"/>
  <c r="B753"/>
  <c r="C753"/>
  <c r="D753"/>
  <c r="E753"/>
  <c r="A755"/>
  <c r="B755"/>
  <c r="C755"/>
  <c r="D755"/>
  <c r="E755"/>
  <c r="A688"/>
  <c r="B688"/>
  <c r="C688"/>
  <c r="D688"/>
  <c r="E688"/>
  <c r="A622"/>
  <c r="B622"/>
  <c r="C622"/>
  <c r="D622"/>
  <c r="E622"/>
  <c r="A590"/>
  <c r="B590"/>
  <c r="C590"/>
  <c r="D590"/>
  <c r="E590"/>
  <c r="A593"/>
  <c r="B593"/>
  <c r="C593"/>
  <c r="D593"/>
  <c r="E593"/>
  <c r="A595"/>
  <c r="B595"/>
  <c r="C595"/>
  <c r="D595"/>
  <c r="E595"/>
  <c r="A596"/>
  <c r="B596"/>
  <c r="C596"/>
  <c r="D596"/>
  <c r="E596"/>
  <c r="A597"/>
  <c r="B597"/>
  <c r="C597"/>
  <c r="D597"/>
  <c r="E597"/>
  <c r="A774"/>
  <c r="B774"/>
  <c r="C774"/>
  <c r="D774"/>
  <c r="E774"/>
  <c r="A763"/>
  <c r="B763"/>
  <c r="C763"/>
  <c r="D763"/>
  <c r="E763"/>
  <c r="A759"/>
  <c r="B759"/>
  <c r="C759"/>
  <c r="D759"/>
  <c r="E759"/>
  <c r="A743"/>
  <c r="B743"/>
  <c r="C743"/>
  <c r="D743"/>
  <c r="E743"/>
  <c r="A744"/>
  <c r="B744"/>
  <c r="C744"/>
  <c r="D744"/>
  <c r="E744"/>
  <c r="A745"/>
  <c r="B745"/>
  <c r="C745"/>
  <c r="D745"/>
  <c r="E745"/>
  <c r="A741"/>
  <c r="B741"/>
  <c r="C741"/>
  <c r="D741"/>
  <c r="E741"/>
  <c r="A732"/>
  <c r="B732"/>
  <c r="C732"/>
  <c r="D732"/>
  <c r="E732"/>
  <c r="A733"/>
  <c r="B733"/>
  <c r="C733"/>
  <c r="D733"/>
  <c r="E733"/>
  <c r="A760"/>
  <c r="B760"/>
  <c r="C760"/>
  <c r="D760"/>
  <c r="E760"/>
  <c r="A349"/>
  <c r="B349"/>
  <c r="C349"/>
  <c r="D349"/>
  <c r="E349"/>
  <c r="A303"/>
  <c r="B303"/>
  <c r="C303"/>
  <c r="D303"/>
  <c r="E303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71"/>
  <c r="B671"/>
  <c r="C671"/>
  <c r="D671"/>
  <c r="E671"/>
  <c r="A771"/>
  <c r="B771"/>
  <c r="C771"/>
  <c r="D771"/>
  <c r="E771"/>
  <c r="A979"/>
  <c r="B979"/>
  <c r="C979"/>
  <c r="D979"/>
  <c r="E979"/>
  <c r="A976"/>
  <c r="B976"/>
  <c r="C976"/>
  <c r="D976"/>
  <c r="E976"/>
  <c r="A193"/>
  <c r="B193"/>
  <c r="C193"/>
  <c r="D193"/>
  <c r="E193"/>
  <c r="A302"/>
  <c r="B302"/>
  <c r="C302"/>
  <c r="D302"/>
  <c r="E302"/>
  <c r="A56"/>
  <c r="B56"/>
  <c r="C56"/>
  <c r="D56"/>
  <c r="E56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206"/>
  <c r="B206"/>
  <c r="C206"/>
  <c r="D206"/>
  <c r="E206"/>
  <c r="A205"/>
  <c r="B205"/>
  <c r="C205"/>
  <c r="D205"/>
  <c r="E205"/>
  <c r="A203"/>
  <c r="B203"/>
  <c r="C203"/>
  <c r="D203"/>
  <c r="E203"/>
  <c r="A187"/>
  <c r="B187"/>
  <c r="C187"/>
  <c r="D187"/>
  <c r="E187"/>
  <c r="A186"/>
  <c r="B186"/>
  <c r="C186"/>
  <c r="D186"/>
  <c r="E186"/>
  <c r="A183"/>
  <c r="B183"/>
  <c r="C183"/>
  <c r="D183"/>
  <c r="E183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634"/>
  <c r="B634"/>
  <c r="C634"/>
  <c r="D634"/>
  <c r="E634"/>
  <c r="A635"/>
  <c r="B635"/>
  <c r="C635"/>
  <c r="D635"/>
  <c r="E635"/>
  <c r="A636"/>
  <c r="B636"/>
  <c r="C636"/>
  <c r="D636"/>
  <c r="E636"/>
  <c r="A637"/>
  <c r="B637"/>
  <c r="C637"/>
  <c r="D637"/>
  <c r="E637"/>
  <c r="A638"/>
  <c r="B638"/>
  <c r="C638"/>
  <c r="D638"/>
  <c r="E638"/>
  <c r="A201"/>
  <c r="B201"/>
  <c r="C201"/>
  <c r="D201"/>
  <c r="E201"/>
  <c r="A204"/>
  <c r="B204"/>
  <c r="C204"/>
  <c r="D204"/>
  <c r="E204"/>
  <c r="A234"/>
  <c r="B234"/>
  <c r="C234"/>
  <c r="D234"/>
  <c r="E234"/>
  <c r="A202"/>
  <c r="B202"/>
  <c r="C202"/>
  <c r="D202"/>
  <c r="E202"/>
  <c r="A207"/>
  <c r="B207"/>
  <c r="C207"/>
  <c r="D207"/>
  <c r="E207"/>
  <c r="A750"/>
  <c r="B750"/>
  <c r="C750"/>
  <c r="D750"/>
  <c r="E750"/>
  <c r="A873"/>
  <c r="B873"/>
  <c r="C873"/>
  <c r="D873"/>
  <c r="E873"/>
  <c r="A1004"/>
  <c r="B1004"/>
  <c r="C1004"/>
  <c r="D1004"/>
  <c r="E1004"/>
  <c r="A942"/>
  <c r="B942"/>
  <c r="C942"/>
  <c r="D942"/>
  <c r="E942"/>
  <c r="A955"/>
  <c r="B955"/>
  <c r="C955"/>
  <c r="D955"/>
  <c r="E955"/>
  <c r="A669"/>
  <c r="B669"/>
  <c r="C669"/>
  <c r="D669"/>
  <c r="E669"/>
  <c r="A658"/>
  <c r="B658"/>
  <c r="C658"/>
  <c r="D658"/>
  <c r="E658"/>
  <c r="A651"/>
  <c r="B651"/>
  <c r="C651"/>
  <c r="D651"/>
  <c r="E651"/>
  <c r="A632"/>
  <c r="B632"/>
  <c r="C632"/>
  <c r="D632"/>
  <c r="E632"/>
  <c r="A633"/>
  <c r="B633"/>
  <c r="C633"/>
  <c r="D633"/>
  <c r="E633"/>
  <c r="A336"/>
  <c r="B336"/>
  <c r="C336"/>
  <c r="D336"/>
  <c r="E336"/>
  <c r="A602"/>
  <c r="B602"/>
  <c r="C602"/>
  <c r="D602"/>
  <c r="E602"/>
  <c r="A569"/>
  <c r="B569"/>
  <c r="C569"/>
  <c r="D569"/>
  <c r="E569"/>
  <c r="A465"/>
  <c r="B465"/>
  <c r="C465"/>
  <c r="D465"/>
  <c r="E465"/>
  <c r="A175"/>
  <c r="B175"/>
  <c r="C175"/>
  <c r="D175"/>
  <c r="E175"/>
  <c r="A176"/>
  <c r="B176"/>
  <c r="C176"/>
  <c r="D176"/>
  <c r="E176"/>
  <c r="A233"/>
  <c r="B233"/>
  <c r="C233"/>
  <c r="D233"/>
  <c r="E233"/>
  <c r="A653"/>
  <c r="B653"/>
  <c r="C653"/>
  <c r="D653"/>
  <c r="E653"/>
  <c r="A654"/>
  <c r="B654"/>
  <c r="C654"/>
  <c r="D654"/>
  <c r="E654"/>
  <c r="A718"/>
  <c r="B718"/>
  <c r="C718"/>
  <c r="D718"/>
  <c r="E718"/>
  <c r="A647"/>
  <c r="B647"/>
  <c r="C647"/>
  <c r="D647"/>
  <c r="E647"/>
  <c r="A648"/>
  <c r="B648"/>
  <c r="C648"/>
  <c r="D648"/>
  <c r="E648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456"/>
  <c r="B456"/>
  <c r="C456"/>
  <c r="D456"/>
  <c r="E456"/>
  <c r="A365"/>
  <c r="B365"/>
  <c r="C365"/>
  <c r="D365"/>
  <c r="E365"/>
  <c r="A338"/>
  <c r="B338"/>
  <c r="C338"/>
  <c r="D338"/>
  <c r="E338"/>
  <c r="A993"/>
  <c r="B993"/>
  <c r="C993"/>
  <c r="D993"/>
  <c r="E993"/>
  <c r="A987"/>
  <c r="B987"/>
  <c r="C987"/>
  <c r="D987"/>
  <c r="E987"/>
  <c r="A990"/>
  <c r="B990"/>
  <c r="C990"/>
  <c r="D990"/>
  <c r="E990"/>
  <c r="A991"/>
  <c r="B991"/>
  <c r="C991"/>
  <c r="D991"/>
  <c r="E991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649"/>
  <c r="B649"/>
  <c r="C649"/>
  <c r="D649"/>
  <c r="E649"/>
  <c r="A512"/>
  <c r="B512"/>
  <c r="C512"/>
  <c r="D512"/>
  <c r="E512"/>
  <c r="A523"/>
  <c r="B523"/>
  <c r="C523"/>
  <c r="D523"/>
  <c r="E523"/>
  <c r="A524"/>
  <c r="B524"/>
  <c r="C524"/>
  <c r="D524"/>
  <c r="E524"/>
  <c r="A509"/>
  <c r="B509"/>
  <c r="C509"/>
  <c r="D509"/>
  <c r="E509"/>
  <c r="A577"/>
  <c r="B577"/>
  <c r="C577"/>
  <c r="D577"/>
  <c r="E577"/>
  <c r="A606"/>
  <c r="B606"/>
  <c r="C606"/>
  <c r="D606"/>
  <c r="E606"/>
  <c r="A885"/>
  <c r="B885"/>
  <c r="C885"/>
  <c r="D885"/>
  <c r="E885"/>
  <c r="A977"/>
  <c r="B977"/>
  <c r="C977"/>
  <c r="D977"/>
  <c r="E977"/>
  <c r="A982"/>
  <c r="B982"/>
  <c r="C982"/>
  <c r="D982"/>
  <c r="E982"/>
  <c r="A985"/>
  <c r="B985"/>
  <c r="C985"/>
  <c r="D985"/>
  <c r="E985"/>
  <c r="A167"/>
  <c r="B167"/>
  <c r="C167"/>
  <c r="D167"/>
  <c r="E167"/>
  <c r="A165"/>
  <c r="B165"/>
  <c r="C165"/>
  <c r="D165"/>
  <c r="E165"/>
  <c r="A268"/>
  <c r="B268"/>
  <c r="C268"/>
  <c r="D268"/>
  <c r="E268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358"/>
  <c r="B358"/>
  <c r="C358"/>
  <c r="D358"/>
  <c r="E358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431"/>
  <c r="B431"/>
  <c r="C431"/>
  <c r="D431"/>
  <c r="E431"/>
  <c r="A423"/>
  <c r="B423"/>
  <c r="C423"/>
  <c r="D423"/>
  <c r="E423"/>
  <c r="A421"/>
  <c r="B421"/>
  <c r="C421"/>
  <c r="D421"/>
  <c r="E421"/>
  <c r="A408"/>
  <c r="B408"/>
  <c r="C408"/>
  <c r="D408"/>
  <c r="E408"/>
  <c r="A418"/>
  <c r="B418"/>
  <c r="C418"/>
  <c r="D418"/>
  <c r="E418"/>
  <c r="A139"/>
  <c r="B139"/>
  <c r="C139"/>
  <c r="D139"/>
  <c r="E139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479"/>
  <c r="B479"/>
  <c r="C479"/>
  <c r="D479"/>
  <c r="E479"/>
  <c r="A497"/>
  <c r="B497"/>
  <c r="C497"/>
  <c r="D497"/>
  <c r="E497"/>
  <c r="A255"/>
  <c r="B255"/>
  <c r="C255"/>
  <c r="D255"/>
  <c r="E255"/>
  <c r="A405"/>
  <c r="B405"/>
  <c r="C405"/>
  <c r="D405"/>
  <c r="E405"/>
  <c r="A416"/>
  <c r="B416"/>
  <c r="C416"/>
  <c r="D416"/>
  <c r="E416"/>
  <c r="A411"/>
  <c r="B411"/>
  <c r="C411"/>
  <c r="D411"/>
  <c r="E411"/>
  <c r="A412"/>
  <c r="B412"/>
  <c r="C412"/>
  <c r="D412"/>
  <c r="E412"/>
  <c r="A441"/>
  <c r="B441"/>
  <c r="C441"/>
  <c r="D441"/>
  <c r="E441"/>
  <c r="A447"/>
  <c r="B447"/>
  <c r="C447"/>
  <c r="D447"/>
  <c r="E447"/>
  <c r="A445"/>
  <c r="B445"/>
  <c r="C445"/>
  <c r="D445"/>
  <c r="E445"/>
  <c r="A697"/>
  <c r="B697"/>
  <c r="C697"/>
  <c r="D697"/>
  <c r="E697"/>
  <c r="A827"/>
  <c r="B827"/>
  <c r="C827"/>
  <c r="D827"/>
  <c r="E827"/>
  <c r="A794"/>
  <c r="B794"/>
  <c r="C794"/>
  <c r="D794"/>
  <c r="E794"/>
  <c r="A795"/>
  <c r="B795"/>
  <c r="C795"/>
  <c r="D795"/>
  <c r="E795"/>
  <c r="A790"/>
  <c r="B790"/>
  <c r="C790"/>
  <c r="D790"/>
  <c r="E790"/>
  <c r="A802"/>
  <c r="B802"/>
  <c r="C802"/>
  <c r="D802"/>
  <c r="E802"/>
  <c r="A797"/>
  <c r="B797"/>
  <c r="C797"/>
  <c r="D797"/>
  <c r="E797"/>
  <c r="A963"/>
  <c r="B963"/>
  <c r="C963"/>
  <c r="D963"/>
  <c r="E963"/>
  <c r="A476"/>
  <c r="B476"/>
  <c r="C476"/>
  <c r="D476"/>
  <c r="E476"/>
  <c r="A486"/>
  <c r="B486"/>
  <c r="C486"/>
  <c r="D486"/>
  <c r="E486"/>
  <c r="A1057"/>
  <c r="B1057"/>
  <c r="C1057"/>
  <c r="D1057"/>
  <c r="E1057"/>
  <c r="A1043"/>
  <c r="B1043"/>
  <c r="C1043"/>
  <c r="D1043"/>
  <c r="E1043"/>
  <c r="A1055"/>
  <c r="B1055"/>
  <c r="C1055"/>
  <c r="D1055"/>
  <c r="E1055"/>
  <c r="A1067"/>
  <c r="B1067"/>
  <c r="C1067"/>
  <c r="D1067"/>
  <c r="E1067"/>
  <c r="A591"/>
  <c r="B591"/>
  <c r="C591"/>
  <c r="D591"/>
  <c r="E591"/>
  <c r="A690"/>
  <c r="B690"/>
  <c r="C690"/>
  <c r="D690"/>
  <c r="E690"/>
  <c r="A677"/>
  <c r="B677"/>
  <c r="C677"/>
  <c r="D677"/>
  <c r="E677"/>
  <c r="A702"/>
  <c r="B702"/>
  <c r="C702"/>
  <c r="D702"/>
  <c r="E702"/>
  <c r="A695"/>
  <c r="B695"/>
  <c r="C695"/>
  <c r="D695"/>
  <c r="E695"/>
  <c r="A696"/>
  <c r="B696"/>
  <c r="C696"/>
  <c r="D696"/>
  <c r="E696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56"/>
  <c r="B1056"/>
  <c r="C1056"/>
  <c r="D1056"/>
  <c r="E1056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45"/>
  <c r="B1045"/>
  <c r="C1045"/>
  <c r="D1045"/>
  <c r="E1045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560"/>
  <c r="B560"/>
  <c r="C560"/>
  <c r="D560"/>
  <c r="E560"/>
  <c r="A1044"/>
  <c r="B1044"/>
  <c r="C1044"/>
  <c r="D1044"/>
  <c r="E1044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939"/>
  <c r="B939"/>
  <c r="C939"/>
  <c r="D939"/>
  <c r="E939"/>
  <c r="A940"/>
  <c r="B940"/>
  <c r="C940"/>
  <c r="D940"/>
  <c r="E940"/>
  <c r="A941"/>
  <c r="B941"/>
  <c r="C941"/>
  <c r="D941"/>
  <c r="E941"/>
  <c r="A932"/>
  <c r="B932"/>
  <c r="C932"/>
  <c r="D932"/>
  <c r="E932"/>
  <c r="A933"/>
  <c r="B933"/>
  <c r="C933"/>
  <c r="D933"/>
  <c r="E933"/>
  <c r="A934"/>
  <c r="B934"/>
  <c r="C934"/>
  <c r="D934"/>
  <c r="E934"/>
  <c r="A972"/>
  <c r="B972"/>
  <c r="C972"/>
  <c r="D972"/>
  <c r="E972"/>
  <c r="A999"/>
  <c r="B999"/>
  <c r="C999"/>
  <c r="D999"/>
  <c r="E999"/>
  <c r="A130"/>
  <c r="B130"/>
  <c r="C130"/>
  <c r="D130"/>
  <c r="E130"/>
  <c r="A382"/>
  <c r="B382"/>
  <c r="C382"/>
  <c r="D382"/>
  <c r="E382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952"/>
  <c r="B952"/>
  <c r="C952"/>
  <c r="D952"/>
  <c r="E952"/>
  <c r="A953"/>
  <c r="B953"/>
  <c r="C953"/>
  <c r="D953"/>
  <c r="E953"/>
  <c r="A936"/>
  <c r="B936"/>
  <c r="C936"/>
  <c r="D936"/>
  <c r="E936"/>
  <c r="A937"/>
  <c r="B937"/>
  <c r="C937"/>
  <c r="D937"/>
  <c r="E937"/>
  <c r="A938"/>
  <c r="B938"/>
  <c r="C938"/>
  <c r="D938"/>
  <c r="E938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41"/>
  <c r="B841"/>
  <c r="C841"/>
  <c r="D841"/>
  <c r="E841"/>
  <c r="A842"/>
  <c r="B842"/>
  <c r="C842"/>
  <c r="D842"/>
  <c r="E842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30"/>
  <c r="B830"/>
  <c r="C830"/>
  <c r="D830"/>
  <c r="E830"/>
  <c r="A831"/>
  <c r="B831"/>
  <c r="C831"/>
  <c r="D831"/>
  <c r="E831"/>
  <c r="A832"/>
  <c r="B832"/>
  <c r="C832"/>
  <c r="D832"/>
  <c r="E832"/>
  <c r="A833"/>
  <c r="B833"/>
  <c r="C833"/>
  <c r="D833"/>
  <c r="E833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09"/>
  <c r="B809"/>
  <c r="C809"/>
  <c r="D809"/>
  <c r="E809"/>
  <c r="A810"/>
  <c r="B810"/>
  <c r="C810"/>
  <c r="D810"/>
  <c r="E810"/>
  <c r="A811"/>
  <c r="B811"/>
  <c r="C811"/>
  <c r="D811"/>
  <c r="E811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28"/>
  <c r="B828"/>
  <c r="C828"/>
  <c r="D828"/>
  <c r="E828"/>
  <c r="A829"/>
  <c r="B829"/>
  <c r="C829"/>
  <c r="D829"/>
  <c r="E829"/>
  <c r="A826"/>
  <c r="B826"/>
  <c r="C826"/>
  <c r="D826"/>
  <c r="E826"/>
  <c r="A823"/>
  <c r="B823"/>
  <c r="C823"/>
  <c r="D823"/>
  <c r="E823"/>
  <c r="A824"/>
  <c r="B824"/>
  <c r="C824"/>
  <c r="D824"/>
  <c r="E824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07"/>
  <c r="B807"/>
  <c r="C807"/>
  <c r="D807"/>
  <c r="E807"/>
  <c r="A808"/>
  <c r="B808"/>
  <c r="C808"/>
  <c r="D808"/>
  <c r="E808"/>
  <c r="A541"/>
  <c r="B541"/>
  <c r="C541"/>
  <c r="D541"/>
  <c r="E541"/>
  <c r="A394"/>
  <c r="B394"/>
  <c r="C394"/>
  <c r="D394"/>
  <c r="E394"/>
  <c r="A223"/>
  <c r="B223"/>
  <c r="C223"/>
  <c r="D223"/>
  <c r="E223"/>
  <c r="A199"/>
  <c r="B199"/>
  <c r="C199"/>
  <c r="D199"/>
  <c r="E199"/>
  <c r="A222"/>
  <c r="B222"/>
  <c r="C222"/>
  <c r="D222"/>
  <c r="E222"/>
  <c r="A221"/>
  <c r="B221"/>
  <c r="C221"/>
  <c r="D221"/>
  <c r="E221"/>
  <c r="A767"/>
  <c r="B767"/>
  <c r="C767"/>
  <c r="D767"/>
  <c r="E767"/>
  <c r="A705"/>
  <c r="B705"/>
  <c r="C705"/>
  <c r="D705"/>
  <c r="E705"/>
  <c r="A820"/>
  <c r="B820"/>
  <c r="C820"/>
  <c r="D820"/>
  <c r="E820"/>
  <c r="A821"/>
  <c r="B821"/>
  <c r="C821"/>
  <c r="D821"/>
  <c r="E821"/>
  <c r="A703"/>
  <c r="B703"/>
  <c r="C703"/>
  <c r="D703"/>
  <c r="E703"/>
  <c r="A681"/>
  <c r="B681"/>
  <c r="C681"/>
  <c r="D681"/>
  <c r="E681"/>
  <c r="A682"/>
  <c r="B682"/>
  <c r="C682"/>
  <c r="D682"/>
  <c r="E682"/>
  <c r="A676"/>
  <c r="B676"/>
  <c r="C676"/>
  <c r="D676"/>
  <c r="E676"/>
  <c r="A686"/>
  <c r="B686"/>
  <c r="C686"/>
  <c r="D686"/>
  <c r="E686"/>
  <c r="A957"/>
  <c r="B957"/>
  <c r="C957"/>
  <c r="D957"/>
  <c r="E957"/>
  <c r="A849"/>
  <c r="B849"/>
  <c r="C849"/>
  <c r="D849"/>
  <c r="E849"/>
  <c r="A491"/>
  <c r="B491"/>
  <c r="C491"/>
  <c r="D491"/>
  <c r="E491"/>
  <c r="A469"/>
  <c r="B469"/>
  <c r="C469"/>
  <c r="D469"/>
  <c r="E469"/>
  <c r="A473"/>
  <c r="B473"/>
  <c r="C473"/>
  <c r="D473"/>
  <c r="E473"/>
  <c r="A786"/>
  <c r="B786"/>
  <c r="C786"/>
  <c r="D786"/>
  <c r="E786"/>
  <c r="A572"/>
  <c r="B572"/>
  <c r="C572"/>
  <c r="D572"/>
  <c r="E572"/>
  <c r="A573"/>
  <c r="B573"/>
  <c r="C573"/>
  <c r="D573"/>
  <c r="E573"/>
  <c r="A574"/>
  <c r="B574"/>
  <c r="C574"/>
  <c r="D574"/>
  <c r="E574"/>
  <c r="A395"/>
  <c r="B395"/>
  <c r="C395"/>
  <c r="D395"/>
  <c r="E395"/>
  <c r="A468"/>
  <c r="B468"/>
  <c r="C468"/>
  <c r="D468"/>
  <c r="E468"/>
  <c r="A490"/>
  <c r="B490"/>
  <c r="C490"/>
  <c r="D490"/>
  <c r="E490"/>
  <c r="A715"/>
  <c r="B715"/>
  <c r="C715"/>
  <c r="D715"/>
  <c r="E715"/>
  <c r="A710"/>
  <c r="B710"/>
  <c r="C710"/>
  <c r="D710"/>
  <c r="E710"/>
  <c r="A712"/>
  <c r="B712"/>
  <c r="C712"/>
  <c r="D712"/>
  <c r="E712"/>
  <c r="A462"/>
  <c r="B462"/>
  <c r="C462"/>
  <c r="D462"/>
  <c r="E462"/>
  <c r="A67"/>
  <c r="B67"/>
  <c r="C67"/>
  <c r="D67"/>
  <c r="E67"/>
  <c r="A132"/>
  <c r="B132"/>
  <c r="C132"/>
  <c r="D132"/>
  <c r="E132"/>
  <c r="A679"/>
  <c r="B679"/>
  <c r="C679"/>
  <c r="D679"/>
  <c r="E679"/>
  <c r="A701"/>
  <c r="B701"/>
  <c r="C701"/>
  <c r="D701"/>
  <c r="E701"/>
  <c r="A700"/>
  <c r="B700"/>
  <c r="C700"/>
  <c r="D700"/>
  <c r="E700"/>
  <c r="A709"/>
  <c r="B709"/>
  <c r="C709"/>
  <c r="D709"/>
  <c r="E709"/>
  <c r="A714"/>
  <c r="B714"/>
  <c r="C714"/>
  <c r="D714"/>
  <c r="E714"/>
  <c r="A739"/>
  <c r="B739"/>
  <c r="C739"/>
  <c r="D739"/>
  <c r="E739"/>
  <c r="A805"/>
  <c r="B805"/>
  <c r="C805"/>
  <c r="D805"/>
  <c r="E805"/>
  <c r="A331"/>
  <c r="B331"/>
  <c r="C331"/>
  <c r="D331"/>
  <c r="E331"/>
  <c r="A396"/>
  <c r="B396"/>
  <c r="C396"/>
  <c r="D396"/>
  <c r="E396"/>
  <c r="A392"/>
  <c r="B392"/>
  <c r="C392"/>
  <c r="D392"/>
  <c r="E392"/>
  <c r="A425"/>
  <c r="B425"/>
  <c r="C425"/>
  <c r="D425"/>
  <c r="E425"/>
  <c r="A434"/>
  <c r="B434"/>
  <c r="C434"/>
  <c r="D434"/>
  <c r="E434"/>
  <c r="A436"/>
  <c r="B436"/>
  <c r="C436"/>
  <c r="D436"/>
  <c r="E436"/>
  <c r="A534"/>
  <c r="B534"/>
  <c r="C534"/>
  <c r="D534"/>
  <c r="E534"/>
  <c r="A482"/>
  <c r="B482"/>
  <c r="C482"/>
  <c r="D482"/>
  <c r="E482"/>
  <c r="A487"/>
  <c r="B487"/>
  <c r="C487"/>
  <c r="D487"/>
  <c r="E487"/>
  <c r="A475"/>
  <c r="B475"/>
  <c r="C475"/>
  <c r="D475"/>
  <c r="E475"/>
  <c r="A57"/>
  <c r="B57"/>
  <c r="C57"/>
  <c r="D57"/>
  <c r="E57"/>
  <c r="A115"/>
  <c r="B115"/>
  <c r="C115"/>
  <c r="D115"/>
  <c r="E115"/>
  <c r="A959"/>
  <c r="B959"/>
  <c r="C959"/>
  <c r="D959"/>
  <c r="E959"/>
  <c r="A970"/>
  <c r="B970"/>
  <c r="C970"/>
  <c r="D970"/>
  <c r="E970"/>
  <c r="A880"/>
  <c r="B880"/>
  <c r="C880"/>
  <c r="D880"/>
  <c r="E880"/>
  <c r="A876"/>
  <c r="B876"/>
  <c r="C876"/>
  <c r="D876"/>
  <c r="E876"/>
  <c r="A656"/>
  <c r="B656"/>
  <c r="C656"/>
  <c r="D656"/>
  <c r="E656"/>
  <c r="A630"/>
  <c r="B630"/>
  <c r="C630"/>
  <c r="D630"/>
  <c r="E630"/>
  <c r="A639"/>
  <c r="B639"/>
  <c r="C639"/>
  <c r="D639"/>
  <c r="E639"/>
  <c r="A333"/>
  <c r="B333"/>
  <c r="C333"/>
  <c r="D333"/>
  <c r="E333"/>
  <c r="A581"/>
  <c r="B581"/>
  <c r="C581"/>
  <c r="D581"/>
  <c r="E581"/>
  <c r="A587"/>
  <c r="B587"/>
  <c r="C587"/>
  <c r="D587"/>
  <c r="E587"/>
  <c r="A215"/>
  <c r="B215"/>
  <c r="C215"/>
  <c r="D215"/>
  <c r="E215"/>
  <c r="A214"/>
  <c r="B214"/>
  <c r="C214"/>
  <c r="D214"/>
  <c r="E214"/>
  <c r="A217"/>
  <c r="B217"/>
  <c r="C217"/>
  <c r="D217"/>
  <c r="E217"/>
  <c r="A218"/>
  <c r="B218"/>
  <c r="C218"/>
  <c r="D218"/>
  <c r="E218"/>
  <c r="A235"/>
  <c r="B235"/>
  <c r="C235"/>
  <c r="D235"/>
  <c r="E235"/>
  <c r="A250"/>
  <c r="B250"/>
  <c r="C250"/>
  <c r="D250"/>
  <c r="E250"/>
  <c r="A293"/>
  <c r="B293"/>
  <c r="C293"/>
  <c r="D293"/>
  <c r="E293"/>
  <c r="A80"/>
  <c r="B80"/>
  <c r="C80"/>
  <c r="D80"/>
  <c r="E80"/>
  <c r="A147"/>
  <c r="B147"/>
  <c r="C147"/>
  <c r="D147"/>
  <c r="E147"/>
  <c r="A64"/>
  <c r="B64"/>
  <c r="C64"/>
  <c r="D64"/>
  <c r="E64"/>
  <c r="A239"/>
  <c r="B239"/>
  <c r="C239"/>
  <c r="D239"/>
  <c r="E239"/>
  <c r="A539"/>
  <c r="B539"/>
  <c r="C539"/>
  <c r="D539"/>
  <c r="E539"/>
  <c r="A550"/>
  <c r="B550"/>
  <c r="C550"/>
  <c r="D550"/>
  <c r="E550"/>
  <c r="A484"/>
  <c r="B484"/>
  <c r="C484"/>
  <c r="D484"/>
  <c r="E484"/>
  <c r="A289"/>
  <c r="B289"/>
  <c r="C289"/>
  <c r="D289"/>
  <c r="E289"/>
  <c r="A254"/>
  <c r="B254"/>
  <c r="C254"/>
  <c r="D254"/>
  <c r="E254"/>
  <c r="A340"/>
  <c r="B340"/>
  <c r="C340"/>
  <c r="D340"/>
  <c r="E340"/>
  <c r="A337"/>
  <c r="B337"/>
  <c r="C337"/>
  <c r="D337"/>
  <c r="E337"/>
  <c r="A60"/>
  <c r="B60"/>
  <c r="C60"/>
  <c r="D60"/>
  <c r="E60"/>
  <c r="A162"/>
  <c r="B162"/>
  <c r="C162"/>
  <c r="D162"/>
  <c r="E162"/>
  <c r="A141"/>
  <c r="B141"/>
  <c r="C141"/>
  <c r="D141"/>
  <c r="E141"/>
  <c r="A30"/>
  <c r="B30"/>
  <c r="C30"/>
  <c r="D30"/>
  <c r="E30"/>
  <c r="A819"/>
  <c r="B819"/>
  <c r="C819"/>
  <c r="D819"/>
  <c r="E819"/>
  <c r="A825"/>
  <c r="B825"/>
  <c r="C825"/>
  <c r="D825"/>
  <c r="E825"/>
  <c r="A812"/>
  <c r="B812"/>
  <c r="C812"/>
  <c r="D812"/>
  <c r="E812"/>
  <c r="A888"/>
  <c r="B888"/>
  <c r="C888"/>
  <c r="D888"/>
  <c r="E888"/>
  <c r="A964"/>
  <c r="B964"/>
  <c r="C964"/>
  <c r="D964"/>
  <c r="E964"/>
  <c r="A960"/>
  <c r="B960"/>
  <c r="C960"/>
  <c r="D960"/>
  <c r="E960"/>
  <c r="A156"/>
  <c r="B156"/>
  <c r="C156"/>
  <c r="D156"/>
  <c r="E156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152"/>
  <c r="B152"/>
  <c r="C152"/>
  <c r="D152"/>
  <c r="E152"/>
  <c r="A95"/>
  <c r="B95"/>
  <c r="C95"/>
  <c r="D95"/>
  <c r="E95"/>
  <c r="A59"/>
  <c r="B59"/>
  <c r="C59"/>
  <c r="D59"/>
  <c r="E59"/>
  <c r="A72"/>
  <c r="B72"/>
  <c r="C72"/>
  <c r="D72"/>
  <c r="E72"/>
  <c r="A78"/>
  <c r="B78"/>
  <c r="C78"/>
  <c r="D78"/>
  <c r="E78"/>
  <c r="A137"/>
  <c r="B137"/>
  <c r="C137"/>
  <c r="D137"/>
  <c r="E137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238"/>
  <c r="B238"/>
  <c r="C238"/>
  <c r="D238"/>
  <c r="E238"/>
  <c r="A118"/>
  <c r="B118"/>
  <c r="C118"/>
  <c r="D118"/>
  <c r="E118"/>
  <c r="A172"/>
  <c r="B172"/>
  <c r="C172"/>
  <c r="D172"/>
  <c r="E172"/>
  <c r="A92"/>
  <c r="B92"/>
  <c r="C92"/>
  <c r="D92"/>
  <c r="E92"/>
  <c r="A93"/>
  <c r="B93"/>
  <c r="C93"/>
  <c r="D93"/>
  <c r="E93"/>
  <c r="A62"/>
  <c r="B62"/>
  <c r="C62"/>
  <c r="D62"/>
  <c r="E6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549"/>
  <c r="B549"/>
  <c r="C549"/>
  <c r="D549"/>
  <c r="E549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472"/>
  <c r="B472"/>
  <c r="C472"/>
  <c r="D472"/>
  <c r="E472"/>
  <c r="A578"/>
  <c r="B578"/>
  <c r="C578"/>
  <c r="D578"/>
  <c r="E578"/>
  <c r="A561"/>
  <c r="B561"/>
  <c r="C561"/>
  <c r="D561"/>
  <c r="E561"/>
  <c r="A544"/>
  <c r="B544"/>
  <c r="C544"/>
  <c r="D544"/>
  <c r="E544"/>
  <c r="A566"/>
  <c r="B566"/>
  <c r="C566"/>
  <c r="D566"/>
  <c r="E566"/>
  <c r="A568"/>
  <c r="B568"/>
  <c r="C568"/>
  <c r="D568"/>
  <c r="E568"/>
  <c r="A565"/>
  <c r="B565"/>
  <c r="C565"/>
  <c r="D565"/>
  <c r="E565"/>
  <c r="A540"/>
  <c r="B540"/>
  <c r="C540"/>
  <c r="D540"/>
  <c r="E540"/>
  <c r="A535"/>
  <c r="B535"/>
  <c r="C535"/>
  <c r="D535"/>
  <c r="E535"/>
  <c r="A536"/>
  <c r="B536"/>
  <c r="C536"/>
  <c r="D536"/>
  <c r="E536"/>
  <c r="A390"/>
  <c r="B390"/>
  <c r="C390"/>
  <c r="D390"/>
  <c r="E390"/>
  <c r="A415"/>
  <c r="B415"/>
  <c r="C415"/>
  <c r="D415"/>
  <c r="E415"/>
  <c r="A400"/>
  <c r="B400"/>
  <c r="C400"/>
  <c r="D400"/>
  <c r="E400"/>
  <c r="A477"/>
  <c r="B477"/>
  <c r="C477"/>
  <c r="D477"/>
  <c r="E477"/>
  <c r="A480"/>
  <c r="B480"/>
  <c r="C480"/>
  <c r="D480"/>
  <c r="E480"/>
  <c r="A449"/>
  <c r="B449"/>
  <c r="C449"/>
  <c r="D449"/>
  <c r="E449"/>
  <c r="A450"/>
  <c r="B450"/>
  <c r="C450"/>
  <c r="D450"/>
  <c r="E450"/>
  <c r="A474"/>
  <c r="B474"/>
  <c r="C474"/>
  <c r="D474"/>
  <c r="E474"/>
  <c r="A470"/>
  <c r="B470"/>
  <c r="C470"/>
  <c r="D470"/>
  <c r="E470"/>
  <c r="A471"/>
  <c r="B471"/>
  <c r="C471"/>
  <c r="D471"/>
  <c r="E471"/>
  <c r="A438"/>
  <c r="B438"/>
  <c r="C438"/>
  <c r="D438"/>
  <c r="E438"/>
  <c r="A439"/>
  <c r="B439"/>
  <c r="C439"/>
  <c r="D439"/>
  <c r="E439"/>
  <c r="A440"/>
  <c r="B440"/>
  <c r="C440"/>
  <c r="D440"/>
  <c r="E440"/>
  <c r="A432"/>
  <c r="B432"/>
  <c r="C432"/>
  <c r="D432"/>
  <c r="E432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398"/>
  <c r="B398"/>
  <c r="C398"/>
  <c r="D398"/>
  <c r="E398"/>
  <c r="A673"/>
  <c r="B673"/>
  <c r="C673"/>
  <c r="D673"/>
  <c r="E673"/>
  <c r="A674"/>
  <c r="B674"/>
  <c r="C674"/>
  <c r="D674"/>
  <c r="E674"/>
  <c r="A694"/>
  <c r="B694"/>
  <c r="C694"/>
  <c r="D694"/>
  <c r="E694"/>
  <c r="A704"/>
  <c r="B704"/>
  <c r="C704"/>
  <c r="D704"/>
  <c r="E704"/>
  <c r="A966"/>
  <c r="B966"/>
  <c r="C966"/>
  <c r="D966"/>
  <c r="E966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46"/>
  <c r="B446"/>
  <c r="C446"/>
  <c r="D446"/>
  <c r="E446"/>
  <c r="A898"/>
  <c r="B898"/>
  <c r="C898"/>
  <c r="D898"/>
  <c r="E898"/>
  <c r="A899"/>
  <c r="B899"/>
  <c r="C899"/>
  <c r="D899"/>
  <c r="E899"/>
  <c r="A925"/>
  <c r="B925"/>
  <c r="C925"/>
  <c r="D925"/>
  <c r="E925"/>
  <c r="A918"/>
  <c r="B918"/>
  <c r="C918"/>
  <c r="D918"/>
  <c r="E918"/>
  <c r="A916"/>
  <c r="B916"/>
  <c r="C916"/>
  <c r="D916"/>
  <c r="E916"/>
  <c r="A788"/>
  <c r="B788"/>
  <c r="C788"/>
  <c r="D788"/>
  <c r="E788"/>
  <c r="A791"/>
  <c r="B791"/>
  <c r="C791"/>
  <c r="D791"/>
  <c r="E791"/>
  <c r="A792"/>
  <c r="B792"/>
  <c r="C792"/>
  <c r="D792"/>
  <c r="E792"/>
  <c r="A834"/>
  <c r="B834"/>
  <c r="C834"/>
  <c r="D834"/>
  <c r="E834"/>
  <c r="A843"/>
  <c r="B843"/>
  <c r="C843"/>
  <c r="D843"/>
  <c r="E843"/>
  <c r="A626"/>
  <c r="B626"/>
  <c r="C626"/>
  <c r="D626"/>
  <c r="E626"/>
  <c r="A893"/>
  <c r="B893"/>
  <c r="C893"/>
  <c r="D893"/>
  <c r="E893"/>
  <c r="A887"/>
  <c r="B887"/>
  <c r="C887"/>
  <c r="D887"/>
  <c r="E887"/>
  <c r="A891"/>
  <c r="B891"/>
  <c r="C891"/>
  <c r="D891"/>
  <c r="E891"/>
  <c r="A886"/>
  <c r="B886"/>
  <c r="C886"/>
  <c r="D886"/>
  <c r="E886"/>
  <c r="A890"/>
  <c r="B890"/>
  <c r="C890"/>
  <c r="D890"/>
  <c r="E890"/>
  <c r="A878"/>
  <c r="B878"/>
  <c r="C878"/>
  <c r="D878"/>
  <c r="E878"/>
  <c r="A881"/>
  <c r="B881"/>
  <c r="C881"/>
  <c r="D881"/>
  <c r="E881"/>
  <c r="A902"/>
  <c r="B902"/>
  <c r="C902"/>
  <c r="D902"/>
  <c r="E902"/>
  <c r="A897"/>
  <c r="B897"/>
  <c r="C897"/>
  <c r="D897"/>
  <c r="E897"/>
  <c r="A954"/>
  <c r="B954"/>
  <c r="C954"/>
  <c r="D954"/>
  <c r="E954"/>
  <c r="A956"/>
  <c r="B956"/>
  <c r="C956"/>
  <c r="D956"/>
  <c r="E956"/>
  <c r="A943"/>
  <c r="B943"/>
  <c r="C943"/>
  <c r="D943"/>
  <c r="E943"/>
  <c r="A971"/>
  <c r="B971"/>
  <c r="C971"/>
  <c r="D971"/>
  <c r="E971"/>
  <c r="A975"/>
  <c r="B975"/>
  <c r="C975"/>
  <c r="D975"/>
  <c r="E975"/>
  <c r="A1059"/>
  <c r="B1059"/>
  <c r="C1059"/>
  <c r="D1059"/>
  <c r="E1059"/>
  <c r="A968"/>
  <c r="B968"/>
  <c r="C968"/>
  <c r="D968"/>
  <c r="E968"/>
  <c r="A1062"/>
  <c r="B1062"/>
  <c r="C1062"/>
  <c r="D1062"/>
  <c r="E1062"/>
  <c r="A1066"/>
  <c r="B1066"/>
  <c r="C1066"/>
  <c r="D1066"/>
  <c r="E1066"/>
  <c r="A734"/>
  <c r="B734"/>
  <c r="C734"/>
  <c r="D734"/>
  <c r="E734"/>
  <c r="A531"/>
  <c r="B531"/>
  <c r="C531"/>
  <c r="D531"/>
  <c r="E531"/>
  <c r="A526"/>
  <c r="B526"/>
  <c r="C526"/>
  <c r="D526"/>
  <c r="E526"/>
  <c r="A527"/>
  <c r="B527"/>
  <c r="C527"/>
  <c r="D527"/>
  <c r="E527"/>
  <c r="A529"/>
  <c r="B529"/>
  <c r="C529"/>
  <c r="D529"/>
  <c r="E529"/>
  <c r="A478"/>
  <c r="B478"/>
  <c r="C478"/>
  <c r="D478"/>
  <c r="E478"/>
  <c r="A460"/>
  <c r="B460"/>
  <c r="C460"/>
  <c r="D460"/>
  <c r="E460"/>
  <c r="A437"/>
  <c r="B437"/>
  <c r="C437"/>
  <c r="D437"/>
  <c r="E437"/>
  <c r="A451"/>
  <c r="B451"/>
  <c r="C451"/>
  <c r="D451"/>
  <c r="E451"/>
  <c r="A452"/>
  <c r="B452"/>
  <c r="C452"/>
  <c r="D452"/>
  <c r="E452"/>
  <c r="A345"/>
  <c r="B345"/>
  <c r="C345"/>
  <c r="D345"/>
  <c r="E345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298"/>
  <c r="B298"/>
  <c r="C298"/>
  <c r="D298"/>
  <c r="E298"/>
  <c r="A567"/>
  <c r="B567"/>
  <c r="C567"/>
  <c r="D567"/>
  <c r="E567"/>
  <c r="A528"/>
  <c r="B528"/>
  <c r="C528"/>
  <c r="D528"/>
  <c r="E528"/>
  <c r="A584"/>
  <c r="B584"/>
  <c r="C584"/>
  <c r="D584"/>
  <c r="E584"/>
  <c r="A570"/>
  <c r="B570"/>
  <c r="C570"/>
  <c r="D570"/>
  <c r="E570"/>
  <c r="A571"/>
  <c r="B571"/>
  <c r="C571"/>
  <c r="D571"/>
  <c r="E571"/>
  <c r="A81"/>
  <c r="B81"/>
  <c r="C81"/>
  <c r="D81"/>
  <c r="E81"/>
  <c r="A68"/>
  <c r="B68"/>
  <c r="C68"/>
  <c r="D68"/>
  <c r="E68"/>
  <c r="A94"/>
  <c r="B94"/>
  <c r="C94"/>
  <c r="D94"/>
  <c r="E94"/>
  <c r="A126"/>
  <c r="B126"/>
  <c r="C126"/>
  <c r="D126"/>
  <c r="E126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84"/>
  <c r="B84"/>
  <c r="C84"/>
  <c r="D84"/>
  <c r="E84"/>
  <c r="A69"/>
  <c r="B69"/>
  <c r="C69"/>
  <c r="D69"/>
  <c r="E69"/>
  <c r="A144"/>
  <c r="B144"/>
  <c r="C144"/>
  <c r="D144"/>
  <c r="E144"/>
  <c r="A134"/>
  <c r="B134"/>
  <c r="C134"/>
  <c r="D134"/>
  <c r="E134"/>
  <c r="A102"/>
  <c r="B102"/>
  <c r="C102"/>
  <c r="D102"/>
  <c r="E102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562"/>
  <c r="B562"/>
  <c r="C562"/>
  <c r="D562"/>
  <c r="E562"/>
  <c r="A563"/>
  <c r="B563"/>
  <c r="C563"/>
  <c r="D563"/>
  <c r="E563"/>
  <c r="A564"/>
  <c r="B564"/>
  <c r="C564"/>
  <c r="D564"/>
  <c r="E564"/>
  <c r="A240"/>
  <c r="B240"/>
  <c r="C240"/>
  <c r="D240"/>
  <c r="E240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492"/>
  <c r="B492"/>
  <c r="C492"/>
  <c r="D492"/>
  <c r="E492"/>
  <c r="A489"/>
  <c r="B489"/>
  <c r="C489"/>
  <c r="D489"/>
  <c r="E489"/>
  <c r="A481"/>
  <c r="B481"/>
  <c r="C481"/>
  <c r="D481"/>
  <c r="E481"/>
  <c r="A483"/>
  <c r="B483"/>
  <c r="C483"/>
  <c r="D483"/>
  <c r="E483"/>
  <c r="A494"/>
  <c r="B494"/>
  <c r="C494"/>
  <c r="D494"/>
  <c r="E494"/>
  <c r="A530"/>
  <c r="B530"/>
  <c r="C530"/>
  <c r="D530"/>
  <c r="E530"/>
  <c r="A586"/>
  <c r="B586"/>
  <c r="C586"/>
  <c r="D586"/>
  <c r="E586"/>
  <c r="A547"/>
  <c r="B547"/>
  <c r="C547"/>
  <c r="D547"/>
  <c r="E547"/>
  <c r="A545"/>
  <c r="B545"/>
  <c r="C545"/>
  <c r="D545"/>
  <c r="E545"/>
  <c r="A533"/>
  <c r="B533"/>
  <c r="C533"/>
  <c r="D533"/>
  <c r="E533"/>
  <c r="A435"/>
  <c r="B435"/>
  <c r="C435"/>
  <c r="D435"/>
  <c r="E435"/>
  <c r="A442"/>
  <c r="B442"/>
  <c r="C442"/>
  <c r="D442"/>
  <c r="E442"/>
  <c r="A433"/>
  <c r="B433"/>
  <c r="C433"/>
  <c r="D433"/>
  <c r="E433"/>
  <c r="A417"/>
  <c r="B417"/>
  <c r="C417"/>
  <c r="D417"/>
  <c r="E417"/>
  <c r="A419"/>
  <c r="B419"/>
  <c r="C419"/>
  <c r="D419"/>
  <c r="E419"/>
  <c r="A402"/>
  <c r="B402"/>
  <c r="C402"/>
  <c r="D402"/>
  <c r="E402"/>
  <c r="A403"/>
  <c r="B403"/>
  <c r="C403"/>
  <c r="D403"/>
  <c r="E403"/>
  <c r="A414"/>
  <c r="B414"/>
  <c r="C414"/>
  <c r="D414"/>
  <c r="E414"/>
  <c r="A461"/>
  <c r="B461"/>
  <c r="C461"/>
  <c r="D461"/>
  <c r="E461"/>
  <c r="A448"/>
  <c r="B448"/>
  <c r="C448"/>
  <c r="D448"/>
  <c r="E448"/>
  <c r="A961"/>
  <c r="B961"/>
  <c r="C961"/>
  <c r="D961"/>
  <c r="E961"/>
  <c r="A958"/>
  <c r="B958"/>
  <c r="C958"/>
  <c r="D958"/>
  <c r="E958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689"/>
  <c r="B689"/>
  <c r="C689"/>
  <c r="D689"/>
  <c r="E689"/>
  <c r="A691"/>
  <c r="B691"/>
  <c r="C691"/>
  <c r="D691"/>
  <c r="E691"/>
  <c r="A692"/>
  <c r="B692"/>
  <c r="C692"/>
  <c r="D692"/>
  <c r="E692"/>
  <c r="A698"/>
  <c r="B698"/>
  <c r="C698"/>
  <c r="D698"/>
  <c r="E698"/>
  <c r="A699"/>
  <c r="B699"/>
  <c r="C699"/>
  <c r="D699"/>
  <c r="E699"/>
  <c r="A707"/>
  <c r="B707"/>
  <c r="C707"/>
  <c r="D707"/>
  <c r="E707"/>
  <c r="A708"/>
  <c r="B708"/>
  <c r="C708"/>
  <c r="D708"/>
  <c r="E708"/>
  <c r="A716"/>
  <c r="B716"/>
  <c r="C716"/>
  <c r="D716"/>
  <c r="E716"/>
  <c r="A717"/>
  <c r="B717"/>
  <c r="C717"/>
  <c r="D717"/>
  <c r="E717"/>
  <c r="A962"/>
  <c r="B962"/>
  <c r="C962"/>
  <c r="D962"/>
  <c r="E962"/>
  <c r="A926"/>
  <c r="B926"/>
  <c r="C926"/>
  <c r="D926"/>
  <c r="E926"/>
  <c r="A911"/>
  <c r="B911"/>
  <c r="C911"/>
  <c r="D911"/>
  <c r="E911"/>
  <c r="A787"/>
  <c r="B787"/>
  <c r="C787"/>
  <c r="D787"/>
  <c r="E787"/>
  <c r="A789"/>
  <c r="B789"/>
  <c r="C789"/>
  <c r="D789"/>
  <c r="E789"/>
  <c r="A800"/>
  <c r="B800"/>
  <c r="C800"/>
  <c r="D800"/>
  <c r="E800"/>
  <c r="A798"/>
  <c r="B798"/>
  <c r="C798"/>
  <c r="D798"/>
  <c r="E798"/>
  <c r="A803"/>
  <c r="B803"/>
  <c r="C803"/>
  <c r="D803"/>
  <c r="E803"/>
  <c r="A678"/>
  <c r="B678"/>
  <c r="C678"/>
  <c r="D678"/>
  <c r="E678"/>
  <c r="A685"/>
  <c r="B685"/>
  <c r="C685"/>
  <c r="D685"/>
  <c r="E685"/>
  <c r="A687"/>
  <c r="B687"/>
  <c r="C687"/>
  <c r="D687"/>
  <c r="E687"/>
  <c r="A909"/>
  <c r="B909"/>
  <c r="C909"/>
  <c r="D909"/>
  <c r="E909"/>
  <c r="A910"/>
  <c r="B910"/>
  <c r="C910"/>
  <c r="D910"/>
  <c r="E910"/>
  <c r="A906"/>
  <c r="B906"/>
  <c r="C906"/>
  <c r="D906"/>
  <c r="E906"/>
  <c r="A915"/>
  <c r="B915"/>
  <c r="C915"/>
  <c r="D915"/>
  <c r="E915"/>
  <c r="A919"/>
  <c r="B919"/>
  <c r="C919"/>
  <c r="D919"/>
  <c r="E919"/>
  <c r="A920"/>
  <c r="B920"/>
  <c r="C920"/>
  <c r="D920"/>
  <c r="E920"/>
  <c r="A912"/>
  <c r="B912"/>
  <c r="C912"/>
  <c r="D912"/>
  <c r="E912"/>
  <c r="A927"/>
  <c r="B927"/>
  <c r="C927"/>
  <c r="D927"/>
  <c r="E927"/>
  <c r="A879"/>
  <c r="B879"/>
  <c r="C879"/>
  <c r="D879"/>
  <c r="E879"/>
  <c r="A892"/>
  <c r="B892"/>
  <c r="C892"/>
  <c r="D892"/>
  <c r="E892"/>
  <c r="A1064"/>
  <c r="B1064"/>
  <c r="C1064"/>
  <c r="D1064"/>
  <c r="E1064"/>
  <c r="A1065"/>
  <c r="B1065"/>
  <c r="C1065"/>
  <c r="D1065"/>
  <c r="E1065"/>
  <c r="A1060"/>
  <c r="B1060"/>
  <c r="C1060"/>
  <c r="D1060"/>
  <c r="E1060"/>
  <c r="A1061"/>
  <c r="B1061"/>
  <c r="C1061"/>
  <c r="D1061"/>
  <c r="E1061"/>
  <c r="A680"/>
  <c r="B680"/>
  <c r="C680"/>
  <c r="D680"/>
  <c r="E680"/>
  <c r="A660"/>
  <c r="B660"/>
  <c r="C660"/>
  <c r="D660"/>
  <c r="E660"/>
  <c r="A889"/>
  <c r="B889"/>
  <c r="C889"/>
  <c r="D889"/>
  <c r="E889"/>
  <c r="A900"/>
  <c r="B900"/>
  <c r="C900"/>
  <c r="D900"/>
  <c r="E900"/>
  <c r="A901"/>
  <c r="B901"/>
  <c r="C901"/>
  <c r="D901"/>
  <c r="E901"/>
  <c r="A908"/>
  <c r="B908"/>
  <c r="C908"/>
  <c r="D908"/>
  <c r="E908"/>
  <c r="A1130"/>
  <c r="B1130"/>
  <c r="C1130"/>
  <c r="D1130"/>
  <c r="E1130"/>
  <c r="A1131"/>
  <c r="B1131"/>
  <c r="C1131"/>
  <c r="D1131"/>
  <c r="E1131"/>
  <c r="A1132"/>
  <c r="B1132"/>
  <c r="C1132"/>
  <c r="D1132"/>
  <c r="E1132"/>
  <c r="A1133"/>
  <c r="B1133"/>
  <c r="C1133"/>
  <c r="D1133"/>
  <c r="E1133"/>
  <c r="A1134"/>
  <c r="B1134"/>
  <c r="C1134"/>
  <c r="D1134"/>
  <c r="E1134"/>
  <c r="A1135"/>
  <c r="B1135"/>
  <c r="C1135"/>
  <c r="D1135"/>
  <c r="E1135"/>
  <c r="A1136"/>
  <c r="B1136"/>
  <c r="C1136"/>
  <c r="D1136"/>
  <c r="E1136"/>
  <c r="A1137"/>
  <c r="B1137"/>
  <c r="C1137"/>
  <c r="D1137"/>
  <c r="E1137"/>
  <c r="A1138"/>
  <c r="B1138"/>
  <c r="C1138"/>
  <c r="D1138"/>
  <c r="E1138"/>
  <c r="A1063"/>
  <c r="B1063"/>
  <c r="C1063"/>
  <c r="D1063"/>
  <c r="E1063"/>
  <c r="A1120"/>
  <c r="B1120"/>
  <c r="C1120"/>
  <c r="D1120"/>
  <c r="E1120"/>
  <c r="A1121"/>
  <c r="B1121"/>
  <c r="C1121"/>
  <c r="D1121"/>
  <c r="E1121"/>
  <c r="A1122"/>
  <c r="B1122"/>
  <c r="C1122"/>
  <c r="D1122"/>
  <c r="E1122"/>
  <c r="A1123"/>
  <c r="B1123"/>
  <c r="C1123"/>
  <c r="D1123"/>
  <c r="E1123"/>
  <c r="A1124"/>
  <c r="B1124"/>
  <c r="C1124"/>
  <c r="D1124"/>
  <c r="E1124"/>
  <c r="A1125"/>
  <c r="B1125"/>
  <c r="C1125"/>
  <c r="D1125"/>
  <c r="E1125"/>
  <c r="A1126"/>
  <c r="B1126"/>
  <c r="C1126"/>
  <c r="D1126"/>
  <c r="E1126"/>
  <c r="A1127"/>
  <c r="B1127"/>
  <c r="C1127"/>
  <c r="D1127"/>
  <c r="E1127"/>
  <c r="A1128"/>
  <c r="B1128"/>
  <c r="C1128"/>
  <c r="D1128"/>
  <c r="E1128"/>
  <c r="A1129"/>
  <c r="B1129"/>
  <c r="C1129"/>
  <c r="D1129"/>
  <c r="E1129"/>
  <c r="A1110"/>
  <c r="B1110"/>
  <c r="C1110"/>
  <c r="D1110"/>
  <c r="E1110"/>
  <c r="A1111"/>
  <c r="B1111"/>
  <c r="C1111"/>
  <c r="D1111"/>
  <c r="E1111"/>
  <c r="A1112"/>
  <c r="B1112"/>
  <c r="C1112"/>
  <c r="D1112"/>
  <c r="E1112"/>
  <c r="A1113"/>
  <c r="B1113"/>
  <c r="C1113"/>
  <c r="D1113"/>
  <c r="E1113"/>
  <c r="A1114"/>
  <c r="B1114"/>
  <c r="C1114"/>
  <c r="D1114"/>
  <c r="E1114"/>
  <c r="A1115"/>
  <c r="B1115"/>
  <c r="C1115"/>
  <c r="D1115"/>
  <c r="E1115"/>
  <c r="A1116"/>
  <c r="B1116"/>
  <c r="C1116"/>
  <c r="D1116"/>
  <c r="E1116"/>
  <c r="A1117"/>
  <c r="B1117"/>
  <c r="C1117"/>
  <c r="D1117"/>
  <c r="E1117"/>
  <c r="A1118"/>
  <c r="B1118"/>
  <c r="C1118"/>
  <c r="D1118"/>
  <c r="E1118"/>
  <c r="A1119"/>
  <c r="B1119"/>
  <c r="C1119"/>
  <c r="D1119"/>
  <c r="E1119"/>
  <c r="A1096"/>
  <c r="B1096"/>
  <c r="C1096"/>
  <c r="D1096"/>
  <c r="E1096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105"/>
  <c r="B1105"/>
  <c r="C1105"/>
  <c r="D1105"/>
  <c r="E1105"/>
  <c r="A1106"/>
  <c r="B1106"/>
  <c r="C1106"/>
  <c r="D1106"/>
  <c r="E1106"/>
  <c r="A1107"/>
  <c r="B1107"/>
  <c r="C1107"/>
  <c r="D1107"/>
  <c r="E1107"/>
  <c r="A1108"/>
  <c r="B1108"/>
  <c r="C1108"/>
  <c r="D1108"/>
  <c r="E1108"/>
  <c r="A1109"/>
  <c r="B1109"/>
  <c r="C1109"/>
  <c r="D1109"/>
  <c r="E1109"/>
  <c r="A1086"/>
  <c r="B1086"/>
  <c r="C1086"/>
  <c r="D1086"/>
  <c r="E1086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76"/>
  <c r="B1076"/>
  <c r="C1076"/>
  <c r="D1076"/>
  <c r="E107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967"/>
  <c r="B967"/>
  <c r="C967"/>
  <c r="D967"/>
  <c r="E967"/>
  <c r="A994"/>
  <c r="B994"/>
  <c r="C994"/>
  <c r="D994"/>
  <c r="E994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69"/>
  <c r="B169"/>
  <c r="C169"/>
  <c r="D169"/>
  <c r="E169"/>
  <c r="A145"/>
  <c r="B145"/>
  <c r="C145"/>
  <c r="D145"/>
  <c r="E145"/>
  <c r="A249"/>
  <c r="B249"/>
  <c r="C249"/>
  <c r="D249"/>
  <c r="E249"/>
  <c r="A582"/>
  <c r="B582"/>
  <c r="C582"/>
  <c r="D582"/>
  <c r="E582"/>
  <c r="A600"/>
  <c r="B600"/>
  <c r="C600"/>
  <c r="D600"/>
  <c r="E600"/>
  <c r="A615"/>
  <c r="B615"/>
  <c r="C615"/>
  <c r="D615"/>
  <c r="E615"/>
  <c r="A495"/>
  <c r="B495"/>
  <c r="C495"/>
  <c r="D495"/>
  <c r="E495"/>
  <c r="A467"/>
  <c r="B467"/>
  <c r="C467"/>
  <c r="D467"/>
  <c r="E467"/>
  <c r="A464"/>
  <c r="B464"/>
  <c r="C464"/>
  <c r="D464"/>
  <c r="E464"/>
  <c r="A290"/>
  <c r="B290"/>
  <c r="C290"/>
  <c r="D290"/>
  <c r="E290"/>
  <c r="A143"/>
  <c r="B143"/>
  <c r="C143"/>
  <c r="D143"/>
  <c r="E143"/>
  <c r="A96"/>
  <c r="B96"/>
  <c r="C96"/>
  <c r="D96"/>
  <c r="E96"/>
  <c r="A86"/>
  <c r="B86"/>
  <c r="C86"/>
  <c r="D86"/>
  <c r="E86"/>
  <c r="A110"/>
  <c r="B110"/>
  <c r="C110"/>
  <c r="D110"/>
  <c r="E110"/>
  <c r="A91"/>
  <c r="B91"/>
  <c r="C91"/>
  <c r="D91"/>
  <c r="E91"/>
  <c r="A135"/>
  <c r="B135"/>
  <c r="C135"/>
  <c r="D135"/>
  <c r="E135"/>
  <c r="A71"/>
  <c r="B71"/>
  <c r="C71"/>
  <c r="D71"/>
  <c r="E71"/>
  <c r="A136"/>
  <c r="B136"/>
  <c r="C136"/>
  <c r="D136"/>
  <c r="E136"/>
  <c r="A166"/>
  <c r="B166"/>
  <c r="C166"/>
  <c r="D166"/>
  <c r="E166"/>
  <c r="A164"/>
  <c r="B164"/>
  <c r="C164"/>
  <c r="D164"/>
  <c r="E164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90"/>
  <c r="B90"/>
  <c r="C90"/>
  <c r="D90"/>
  <c r="E90"/>
  <c r="A129"/>
  <c r="B129"/>
  <c r="C129"/>
  <c r="D129"/>
  <c r="E129"/>
  <c r="A65"/>
  <c r="B65"/>
  <c r="C65"/>
  <c r="D65"/>
  <c r="E65"/>
  <c r="A553"/>
  <c r="B553"/>
  <c r="C553"/>
  <c r="D553"/>
  <c r="E553"/>
  <c r="A548"/>
  <c r="B548"/>
  <c r="C548"/>
  <c r="D548"/>
  <c r="E548"/>
  <c r="A556"/>
  <c r="B556"/>
  <c r="C556"/>
  <c r="D556"/>
  <c r="E556"/>
  <c r="A557"/>
  <c r="B557"/>
  <c r="C557"/>
  <c r="D557"/>
  <c r="E557"/>
  <c r="A229"/>
  <c r="B229"/>
  <c r="C229"/>
  <c r="D229"/>
  <c r="E229"/>
  <c r="A160"/>
  <c r="B160"/>
  <c r="C160"/>
  <c r="D160"/>
  <c r="E160"/>
  <c r="A265"/>
  <c r="B265"/>
  <c r="C265"/>
  <c r="D265"/>
  <c r="E265"/>
  <c r="A253"/>
  <c r="B253"/>
  <c r="C253"/>
  <c r="D253"/>
  <c r="E253"/>
  <c r="A272"/>
  <c r="B272"/>
  <c r="C272"/>
  <c r="D272"/>
  <c r="E272"/>
  <c r="A280"/>
  <c r="B280"/>
  <c r="C280"/>
  <c r="D280"/>
  <c r="E280"/>
  <c r="A485"/>
  <c r="B485"/>
  <c r="C485"/>
  <c r="D485"/>
  <c r="E485"/>
  <c r="A493"/>
  <c r="B493"/>
  <c r="C493"/>
  <c r="D493"/>
  <c r="E493"/>
  <c r="A496"/>
  <c r="B496"/>
  <c r="C496"/>
  <c r="D496"/>
  <c r="E496"/>
  <c r="A551"/>
  <c r="B551"/>
  <c r="C551"/>
  <c r="D551"/>
  <c r="E551"/>
  <c r="A537"/>
  <c r="B537"/>
  <c r="C537"/>
  <c r="D537"/>
  <c r="E537"/>
  <c r="A538"/>
  <c r="B538"/>
  <c r="C538"/>
  <c r="D538"/>
  <c r="E538"/>
  <c r="A542"/>
  <c r="B542"/>
  <c r="C542"/>
  <c r="D542"/>
  <c r="E542"/>
  <c r="A543"/>
  <c r="B543"/>
  <c r="C543"/>
  <c r="D543"/>
  <c r="E543"/>
  <c r="A546"/>
  <c r="B546"/>
  <c r="C546"/>
  <c r="D546"/>
  <c r="E546"/>
  <c r="A552"/>
  <c r="B552"/>
  <c r="C552"/>
  <c r="D552"/>
  <c r="E552"/>
  <c r="A406"/>
  <c r="B406"/>
  <c r="C406"/>
  <c r="D406"/>
  <c r="E406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459"/>
  <c r="B459"/>
  <c r="C459"/>
  <c r="D459"/>
  <c r="E459"/>
  <c r="A466"/>
  <c r="B466"/>
  <c r="C466"/>
  <c r="D466"/>
  <c r="E466"/>
  <c r="A488"/>
  <c r="B488"/>
  <c r="C488"/>
  <c r="D488"/>
  <c r="E488"/>
  <c r="A896"/>
  <c r="B896"/>
  <c r="C896"/>
  <c r="D896"/>
  <c r="E896"/>
  <c r="A683"/>
  <c r="B683"/>
  <c r="C683"/>
  <c r="D683"/>
  <c r="E683"/>
  <c r="A684"/>
  <c r="B684"/>
  <c r="C684"/>
  <c r="D684"/>
  <c r="E684"/>
  <c r="A713"/>
  <c r="B713"/>
  <c r="C713"/>
  <c r="D713"/>
  <c r="E713"/>
  <c r="A706"/>
  <c r="B706"/>
  <c r="C706"/>
  <c r="D706"/>
  <c r="E706"/>
  <c r="A693"/>
  <c r="B693"/>
  <c r="C693"/>
  <c r="D693"/>
  <c r="E693"/>
  <c r="A711"/>
  <c r="B711"/>
  <c r="C711"/>
  <c r="D711"/>
  <c r="E711"/>
  <c r="A965"/>
  <c r="B965"/>
  <c r="C965"/>
  <c r="D965"/>
  <c r="E965"/>
  <c r="A413"/>
  <c r="B413"/>
  <c r="C413"/>
  <c r="D413"/>
  <c r="E413"/>
  <c r="A399"/>
  <c r="B399"/>
  <c r="C399"/>
  <c r="D399"/>
  <c r="E399"/>
  <c r="A796"/>
  <c r="B796"/>
  <c r="C796"/>
  <c r="D796"/>
  <c r="E796"/>
  <c r="A793"/>
  <c r="B793"/>
  <c r="C793"/>
  <c r="D793"/>
  <c r="E793"/>
  <c r="A804"/>
  <c r="B804"/>
  <c r="C804"/>
  <c r="D804"/>
  <c r="E804"/>
  <c r="A813"/>
  <c r="B813"/>
  <c r="C813"/>
  <c r="D813"/>
  <c r="E813"/>
  <c r="A913"/>
  <c r="B913"/>
  <c r="C913"/>
  <c r="D913"/>
  <c r="E913"/>
  <c r="A914"/>
  <c r="B914"/>
  <c r="C914"/>
  <c r="D914"/>
  <c r="E914"/>
  <c r="A905"/>
  <c r="B905"/>
  <c r="C905"/>
  <c r="D905"/>
  <c r="E905"/>
  <c r="A894"/>
  <c r="B894"/>
  <c r="C894"/>
  <c r="D894"/>
  <c r="E894"/>
  <c r="A903"/>
  <c r="B903"/>
  <c r="C903"/>
  <c r="D903"/>
  <c r="E903"/>
  <c r="A907"/>
  <c r="B907"/>
  <c r="C907"/>
  <c r="D907"/>
  <c r="E907"/>
  <c r="A585"/>
  <c r="B585"/>
  <c r="C585"/>
  <c r="D585"/>
  <c r="E585"/>
  <c r="A463"/>
  <c r="B463"/>
  <c r="C463"/>
  <c r="D463"/>
  <c r="E463"/>
  <c r="A409"/>
  <c r="B409"/>
  <c r="C409"/>
  <c r="D409"/>
  <c r="E409"/>
  <c r="A410"/>
  <c r="B410"/>
  <c r="C410"/>
  <c r="D410"/>
  <c r="E410"/>
  <c r="A928"/>
  <c r="B928"/>
  <c r="C928"/>
  <c r="D928"/>
  <c r="E928"/>
  <c r="A929"/>
  <c r="B929"/>
  <c r="C929"/>
  <c r="D929"/>
  <c r="E929"/>
  <c r="A931"/>
  <c r="B931"/>
  <c r="C931"/>
  <c r="D931"/>
  <c r="E931"/>
  <c r="A822"/>
  <c r="B822"/>
  <c r="C822"/>
  <c r="D822"/>
  <c r="E822"/>
  <c r="A799"/>
  <c r="B799"/>
  <c r="C799"/>
  <c r="D799"/>
  <c r="E799"/>
  <c r="A801"/>
  <c r="B801"/>
  <c r="C801"/>
  <c r="D801"/>
  <c r="E80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904"/>
  <c r="B904"/>
  <c r="C904"/>
  <c r="D904"/>
  <c r="E904"/>
  <c r="A917"/>
  <c r="B917"/>
  <c r="C917"/>
  <c r="D917"/>
  <c r="E917"/>
  <c r="A921"/>
  <c r="B921"/>
  <c r="C921"/>
  <c r="D921"/>
  <c r="E921"/>
  <c r="A974"/>
  <c r="B974"/>
  <c r="C974"/>
  <c r="D974"/>
  <c r="E974"/>
  <c r="A558"/>
  <c r="B558"/>
  <c r="C558"/>
  <c r="D558"/>
  <c r="E558"/>
  <c r="A163"/>
  <c r="B163"/>
  <c r="C163"/>
  <c r="D163"/>
  <c r="E163"/>
  <c r="A74"/>
  <c r="B74"/>
  <c r="C74"/>
  <c r="D74"/>
  <c r="E74"/>
  <c r="A87"/>
  <c r="B87"/>
  <c r="C87"/>
  <c r="D87"/>
  <c r="E87"/>
  <c r="A123"/>
  <c r="B123"/>
  <c r="C123"/>
  <c r="D123"/>
  <c r="E123"/>
  <c r="A161"/>
  <c r="B161"/>
  <c r="C161"/>
  <c r="D161"/>
  <c r="E161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70"/>
  <c r="B670"/>
  <c r="C670"/>
  <c r="D670"/>
  <c r="E670"/>
  <c r="A895"/>
  <c r="B895"/>
  <c r="C895"/>
  <c r="D895"/>
  <c r="E895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662"/>
  <c r="B662"/>
  <c r="C662"/>
  <c r="D662"/>
  <c r="E662"/>
  <c r="A661"/>
  <c r="B661"/>
  <c r="C661"/>
  <c r="D661"/>
  <c r="E661"/>
  <c r="A665"/>
  <c r="B665"/>
  <c r="C665"/>
  <c r="D665"/>
  <c r="E665"/>
  <c r="A668"/>
  <c r="B668"/>
  <c r="C668"/>
  <c r="D668"/>
  <c r="E668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4"/>
  <c r="B184"/>
  <c r="C184"/>
  <c r="D184"/>
  <c r="E184"/>
  <c r="A182"/>
  <c r="B182"/>
  <c r="C182"/>
  <c r="D182"/>
  <c r="E182"/>
  <c r="A385"/>
  <c r="B385"/>
  <c r="C385"/>
  <c r="D385"/>
  <c r="E385"/>
  <c r="A386"/>
  <c r="B386"/>
  <c r="C386"/>
  <c r="D386"/>
  <c r="E386"/>
  <c r="A969"/>
  <c r="B969"/>
  <c r="C969"/>
  <c r="D969"/>
  <c r="E969"/>
  <c r="A1005"/>
  <c r="B1005"/>
  <c r="C1005"/>
  <c r="D1005"/>
  <c r="E1005"/>
  <c r="A806"/>
  <c r="B806"/>
  <c r="C806"/>
  <c r="D806"/>
  <c r="E806"/>
  <c r="A667"/>
  <c r="B667"/>
  <c r="C667"/>
  <c r="D667"/>
  <c r="E667"/>
  <c r="A666"/>
  <c r="B666"/>
  <c r="C666"/>
  <c r="D666"/>
  <c r="E666"/>
  <c r="A659"/>
  <c r="B659"/>
  <c r="C659"/>
  <c r="D659"/>
  <c r="E659"/>
  <c r="A664"/>
  <c r="B664"/>
  <c r="C664"/>
  <c r="D664"/>
  <c r="E664"/>
  <c r="A663"/>
  <c r="B663"/>
  <c r="C663"/>
  <c r="D663"/>
  <c r="E663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0"/>
  <c r="B500"/>
  <c r="C500"/>
  <c r="D500"/>
  <c r="E500"/>
  <c r="A503"/>
  <c r="B503"/>
  <c r="C503"/>
  <c r="D503"/>
  <c r="E503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230"/>
  <c r="B230"/>
  <c r="C230"/>
  <c r="D230"/>
  <c r="E230"/>
  <c r="A226"/>
  <c r="B226"/>
  <c r="C226"/>
  <c r="D226"/>
  <c r="E226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518"/>
  <c r="B518"/>
  <c r="C518"/>
  <c r="D518"/>
  <c r="E518"/>
  <c r="A768"/>
  <c r="B768"/>
  <c r="C768"/>
  <c r="D768"/>
  <c r="E768"/>
  <c r="A777"/>
  <c r="B777"/>
  <c r="C777"/>
  <c r="D777"/>
  <c r="E777"/>
  <c r="A883"/>
  <c r="B883"/>
  <c r="C883"/>
  <c r="D883"/>
  <c r="E883"/>
  <c r="A1103"/>
  <c r="B1103"/>
  <c r="C1103"/>
  <c r="D1103"/>
  <c r="E1103"/>
  <c r="A510"/>
  <c r="B510"/>
  <c r="C510"/>
  <c r="D510"/>
  <c r="E510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9"/>
  <c r="B559"/>
  <c r="C559"/>
  <c r="D559"/>
  <c r="E559"/>
  <c r="A746"/>
  <c r="B746"/>
  <c r="C746"/>
  <c r="D746"/>
  <c r="E746"/>
  <c r="A757"/>
  <c r="B757"/>
  <c r="C757"/>
  <c r="D757"/>
  <c r="E757"/>
  <c r="A762"/>
  <c r="B762"/>
  <c r="C762"/>
  <c r="D762"/>
  <c r="E762"/>
  <c r="A766"/>
  <c r="B766"/>
  <c r="C766"/>
  <c r="D766"/>
  <c r="E766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2"/>
  <c r="B722"/>
  <c r="C722"/>
  <c r="D722"/>
  <c r="E722"/>
  <c r="A723"/>
  <c r="B723"/>
  <c r="C723"/>
  <c r="D723"/>
  <c r="E723"/>
  <c r="A357"/>
  <c r="B357"/>
  <c r="C357"/>
  <c r="D357"/>
  <c r="E357"/>
  <c r="A329"/>
  <c r="B329"/>
  <c r="C329"/>
  <c r="D329"/>
  <c r="E329"/>
  <c r="A305"/>
  <c r="B305"/>
  <c r="C305"/>
  <c r="D305"/>
  <c r="E305"/>
  <c r="A308"/>
  <c r="B308"/>
  <c r="C308"/>
  <c r="D308"/>
  <c r="E308"/>
  <c r="A627"/>
  <c r="B627"/>
  <c r="C627"/>
  <c r="D627"/>
  <c r="E627"/>
  <c r="A628"/>
  <c r="B628"/>
  <c r="C628"/>
  <c r="D628"/>
  <c r="E628"/>
  <c r="A629"/>
  <c r="B629"/>
  <c r="C629"/>
  <c r="D629"/>
  <c r="E629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<sst xmlns="http://schemas.openxmlformats.org/spreadsheetml/2006/main" count="46" uniqueCount="46">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</sst>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40"/>
  <sheetViews>
    <sheetView rightToLeft="1" tabSelected="1" topLeftCell="AM1116" workbookViewId="0">
      <selection activeCell="AT1140" sqref="AT1140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14814468</v>
      </c>
      <c r="G2" s="1">
        <v>18603502</v>
      </c>
      <c r="H2" s="1">
        <v>0</v>
      </c>
      <c r="I2" s="1">
        <v>14863130</v>
      </c>
      <c r="J2" s="1">
        <v>0</v>
      </c>
      <c r="K2" s="1">
        <v>4620000</v>
      </c>
      <c r="L2" s="1">
        <v>0</v>
      </c>
      <c r="M2" s="1">
        <v>400000</v>
      </c>
      <c r="N2" s="1">
        <v>2823357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18201069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2016683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6614721</v>
      </c>
      <c r="AM2" s="1">
        <v>0</v>
      </c>
      <c r="AN2" s="1">
        <v>87549468</v>
      </c>
      <c r="AO2" s="1">
        <v>17380364</v>
      </c>
      <c r="AP2" s="1">
        <v>70169104</v>
      </c>
      <c r="AQ2" s="1">
        <v>15557766</v>
      </c>
      <c r="AR2" s="1">
        <v>2333665</v>
      </c>
      <c r="AS2" s="1">
        <v>0</v>
      </c>
      <c r="AT2" s="1">
        <f>AS2+AR2+AQ2+AN2</f>
        <v>105440899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8286453</v>
      </c>
      <c r="G3" s="1">
        <v>0</v>
      </c>
      <c r="H3" s="1">
        <v>0</v>
      </c>
      <c r="I3" s="1">
        <v>7789266</v>
      </c>
      <c r="J3" s="1">
        <v>0</v>
      </c>
      <c r="K3" s="1">
        <v>0</v>
      </c>
      <c r="L3" s="1">
        <v>3460800</v>
      </c>
      <c r="M3" s="1">
        <v>400000</v>
      </c>
      <c r="N3" s="1">
        <v>4419442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8336827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3593394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4520990</v>
      </c>
      <c r="AK3" s="1">
        <v>0</v>
      </c>
      <c r="AL3" s="1">
        <v>0</v>
      </c>
      <c r="AM3" s="1">
        <v>0</v>
      </c>
      <c r="AN3" s="1">
        <v>41907172</v>
      </c>
      <c r="AO3" s="1">
        <v>8158235</v>
      </c>
      <c r="AP3" s="1">
        <v>33748937</v>
      </c>
      <c r="AQ3" s="1">
        <v>8381434</v>
      </c>
      <c r="AR3" s="1">
        <v>1257215</v>
      </c>
      <c r="AS3" s="1">
        <v>300000</v>
      </c>
      <c r="AT3" s="1">
        <f t="shared" ref="AT3:AT66" si="2">AS3+AR3+AQ3+AN3</f>
        <v>51845821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6259494</v>
      </c>
      <c r="G4" s="1">
        <v>7585562</v>
      </c>
      <c r="H4" s="1">
        <v>0</v>
      </c>
      <c r="I4" s="1">
        <v>6071709</v>
      </c>
      <c r="J4" s="1">
        <v>0</v>
      </c>
      <c r="K4" s="1">
        <v>0</v>
      </c>
      <c r="L4" s="1">
        <v>3720700</v>
      </c>
      <c r="M4" s="1">
        <v>400000</v>
      </c>
      <c r="N4" s="1">
        <v>3294470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4846782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2901956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3387042</v>
      </c>
      <c r="AK4" s="1">
        <v>0</v>
      </c>
      <c r="AL4" s="1">
        <v>0</v>
      </c>
      <c r="AM4" s="1">
        <v>0</v>
      </c>
      <c r="AN4" s="1">
        <v>40678984</v>
      </c>
      <c r="AO4" s="1">
        <v>8909538</v>
      </c>
      <c r="AP4" s="1">
        <v>31769446</v>
      </c>
      <c r="AQ4" s="1">
        <v>7913543</v>
      </c>
      <c r="AR4" s="1">
        <v>1187031</v>
      </c>
      <c r="AS4" s="1">
        <v>795000</v>
      </c>
      <c r="AT4" s="1">
        <f t="shared" si="2"/>
        <v>50574558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6516474</v>
      </c>
      <c r="G5" s="1">
        <v>1634510</v>
      </c>
      <c r="H5" s="1">
        <v>0</v>
      </c>
      <c r="I5" s="1">
        <v>5473838</v>
      </c>
      <c r="J5" s="1">
        <v>0</v>
      </c>
      <c r="K5" s="1">
        <v>0</v>
      </c>
      <c r="L5" s="1">
        <v>3645357</v>
      </c>
      <c r="M5" s="1">
        <v>400000</v>
      </c>
      <c r="N5" s="1">
        <v>3258237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9126273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2834086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1">
        <v>40134138</v>
      </c>
      <c r="AO5" s="1">
        <v>5652402</v>
      </c>
      <c r="AP5" s="1">
        <v>34481736</v>
      </c>
      <c r="AQ5" s="1">
        <v>7582320</v>
      </c>
      <c r="AR5" s="1">
        <v>1137348</v>
      </c>
      <c r="AS5" s="1">
        <v>795000</v>
      </c>
      <c r="AT5" s="1">
        <f t="shared" si="2"/>
        <v>49648806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6773175</v>
      </c>
      <c r="G6" s="1">
        <v>1974813</v>
      </c>
      <c r="H6" s="1">
        <v>0</v>
      </c>
      <c r="I6" s="1">
        <v>6366784</v>
      </c>
      <c r="J6" s="1">
        <v>0</v>
      </c>
      <c r="K6" s="1">
        <v>0</v>
      </c>
      <c r="L6" s="1">
        <v>3620700</v>
      </c>
      <c r="M6" s="1">
        <v>400000</v>
      </c>
      <c r="N6" s="1">
        <v>3564829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9766906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3048823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2808623</v>
      </c>
      <c r="AK6" s="1">
        <v>0</v>
      </c>
      <c r="AL6" s="1">
        <v>0</v>
      </c>
      <c r="AM6" s="1">
        <v>0</v>
      </c>
      <c r="AN6" s="1">
        <v>42758460</v>
      </c>
      <c r="AO6" s="1">
        <v>8638388</v>
      </c>
      <c r="AP6" s="1">
        <v>34120072</v>
      </c>
      <c r="AQ6" s="1">
        <v>7884931</v>
      </c>
      <c r="AR6" s="1">
        <v>1182740</v>
      </c>
      <c r="AS6" s="1">
        <v>1325000</v>
      </c>
      <c r="AT6" s="1">
        <f t="shared" si="2"/>
        <v>53151131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6365268</v>
      </c>
      <c r="G7" s="1">
        <v>8917445</v>
      </c>
      <c r="H7" s="1">
        <v>0</v>
      </c>
      <c r="I7" s="1">
        <v>5792394</v>
      </c>
      <c r="J7" s="1">
        <v>0</v>
      </c>
      <c r="K7" s="1">
        <v>0</v>
      </c>
      <c r="L7" s="1">
        <v>3620700</v>
      </c>
      <c r="M7" s="1">
        <v>400000</v>
      </c>
      <c r="N7" s="1">
        <v>3394810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4806512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2875976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2238104</v>
      </c>
      <c r="AK7" s="1">
        <v>0</v>
      </c>
      <c r="AL7" s="1">
        <v>0</v>
      </c>
      <c r="AM7" s="1">
        <v>0</v>
      </c>
      <c r="AN7" s="1">
        <v>41733747</v>
      </c>
      <c r="AO7" s="1">
        <v>6870782</v>
      </c>
      <c r="AP7" s="1">
        <v>34862965</v>
      </c>
      <c r="AQ7" s="1">
        <v>7902242</v>
      </c>
      <c r="AR7" s="1">
        <v>1185336</v>
      </c>
      <c r="AS7" s="1">
        <v>530000</v>
      </c>
      <c r="AT7" s="1">
        <f t="shared" si="2"/>
        <v>51351325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9191140</v>
      </c>
      <c r="G8" s="1">
        <v>8273051</v>
      </c>
      <c r="H8" s="1">
        <v>0</v>
      </c>
      <c r="I8" s="1">
        <v>7720558</v>
      </c>
      <c r="J8" s="1">
        <v>0</v>
      </c>
      <c r="K8" s="1">
        <v>0</v>
      </c>
      <c r="L8" s="1">
        <v>3620700</v>
      </c>
      <c r="M8" s="1">
        <v>400000</v>
      </c>
      <c r="N8" s="1">
        <v>4743814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9929859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1393600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49706529</v>
      </c>
      <c r="AO8" s="1">
        <v>7801999</v>
      </c>
      <c r="AP8" s="1">
        <v>41904530</v>
      </c>
      <c r="AQ8" s="1">
        <v>9274544</v>
      </c>
      <c r="AR8" s="1">
        <v>1391182</v>
      </c>
      <c r="AS8" s="1">
        <v>1060000</v>
      </c>
      <c r="AT8" s="1">
        <f t="shared" si="2"/>
        <v>61432255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6549746</v>
      </c>
      <c r="G9" s="1">
        <v>12181848</v>
      </c>
      <c r="H9" s="1">
        <v>0</v>
      </c>
      <c r="I9" s="1">
        <v>6287756</v>
      </c>
      <c r="J9" s="1">
        <v>0</v>
      </c>
      <c r="K9" s="1">
        <v>0</v>
      </c>
      <c r="L9" s="1">
        <v>3620700</v>
      </c>
      <c r="M9" s="1">
        <v>400000</v>
      </c>
      <c r="N9" s="1">
        <v>3470064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7017757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41739140</v>
      </c>
      <c r="AO9" s="1">
        <v>10044039</v>
      </c>
      <c r="AP9" s="1">
        <v>31695101</v>
      </c>
      <c r="AQ9" s="1">
        <v>8125574</v>
      </c>
      <c r="AR9" s="1">
        <v>1218836</v>
      </c>
      <c r="AS9" s="1">
        <v>795000</v>
      </c>
      <c r="AT9" s="1">
        <f t="shared" si="2"/>
        <v>51878550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6939048</v>
      </c>
      <c r="G10" s="1">
        <v>6684035</v>
      </c>
      <c r="H10" s="1">
        <v>0</v>
      </c>
      <c r="I10" s="1">
        <v>6730877</v>
      </c>
      <c r="J10" s="1">
        <v>0</v>
      </c>
      <c r="K10" s="1">
        <v>0</v>
      </c>
      <c r="L10" s="1">
        <v>3620700</v>
      </c>
      <c r="M10" s="1">
        <v>400000</v>
      </c>
      <c r="N10" s="1">
        <v>3676317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5223564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3145041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45631329</v>
      </c>
      <c r="AO10" s="1">
        <v>7423984</v>
      </c>
      <c r="AP10" s="1">
        <v>38207345</v>
      </c>
      <c r="AQ10" s="1">
        <v>8237251</v>
      </c>
      <c r="AR10" s="1">
        <v>1235588</v>
      </c>
      <c r="AS10" s="1">
        <v>530000</v>
      </c>
      <c r="AT10" s="1">
        <f t="shared" si="2"/>
        <v>55634168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6201241</v>
      </c>
      <c r="G11" s="1">
        <v>1876989</v>
      </c>
      <c r="H11" s="1">
        <v>0</v>
      </c>
      <c r="I11" s="1">
        <v>5767154</v>
      </c>
      <c r="J11" s="1">
        <v>0</v>
      </c>
      <c r="K11" s="1">
        <v>0</v>
      </c>
      <c r="L11" s="1">
        <v>3788741</v>
      </c>
      <c r="M11" s="1">
        <v>400000</v>
      </c>
      <c r="N11" s="1">
        <v>3263811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6720610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31341084</v>
      </c>
      <c r="AO11" s="1">
        <v>6318835</v>
      </c>
      <c r="AP11" s="1">
        <v>25022249</v>
      </c>
      <c r="AQ11" s="1">
        <v>5823709</v>
      </c>
      <c r="AR11" s="1">
        <v>873556</v>
      </c>
      <c r="AS11" s="1">
        <v>1060000</v>
      </c>
      <c r="AT11" s="1">
        <f t="shared" si="2"/>
        <v>39098349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6492086</v>
      </c>
      <c r="G12" s="1">
        <v>0</v>
      </c>
      <c r="H12" s="1">
        <v>0</v>
      </c>
      <c r="I12" s="1">
        <v>5972719</v>
      </c>
      <c r="J12" s="1">
        <v>0</v>
      </c>
      <c r="K12" s="1">
        <v>0</v>
      </c>
      <c r="L12" s="1">
        <v>3620700</v>
      </c>
      <c r="M12" s="1">
        <v>400000</v>
      </c>
      <c r="N12" s="1">
        <v>3372512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6968540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2918703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34544978</v>
      </c>
      <c r="AO12" s="1">
        <v>7753253</v>
      </c>
      <c r="AP12" s="1">
        <v>26791725</v>
      </c>
      <c r="AQ12" s="1">
        <v>6908996</v>
      </c>
      <c r="AR12" s="1">
        <v>1036349</v>
      </c>
      <c r="AS12" s="1">
        <v>600000</v>
      </c>
      <c r="AT12" s="1">
        <f t="shared" si="2"/>
        <v>43090323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7976142</v>
      </c>
      <c r="G13" s="1">
        <v>5637677</v>
      </c>
      <c r="H13" s="1">
        <v>0</v>
      </c>
      <c r="I13" s="1">
        <v>7098766</v>
      </c>
      <c r="J13" s="1">
        <v>0</v>
      </c>
      <c r="K13" s="1">
        <v>0</v>
      </c>
      <c r="L13" s="1">
        <v>3460800</v>
      </c>
      <c r="M13" s="1">
        <v>400000</v>
      </c>
      <c r="N13" s="1">
        <v>4253942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8137033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40286898</v>
      </c>
      <c r="AO13" s="1">
        <v>6155066</v>
      </c>
      <c r="AP13" s="1">
        <v>34131832</v>
      </c>
      <c r="AQ13" s="1">
        <v>7612872</v>
      </c>
      <c r="AR13" s="1">
        <v>1141931</v>
      </c>
      <c r="AS13" s="1">
        <v>1060000</v>
      </c>
      <c r="AT13" s="1">
        <f t="shared" si="2"/>
        <v>50101701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8085325</v>
      </c>
      <c r="G14" s="1">
        <v>3167068</v>
      </c>
      <c r="H14" s="1">
        <v>0</v>
      </c>
      <c r="I14" s="1">
        <v>5498021</v>
      </c>
      <c r="J14" s="1">
        <v>0</v>
      </c>
      <c r="K14" s="1">
        <v>0</v>
      </c>
      <c r="L14" s="1">
        <v>3460800</v>
      </c>
      <c r="M14" s="1">
        <v>400000</v>
      </c>
      <c r="N14" s="1">
        <v>4312174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7599727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3203448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1351282</v>
      </c>
      <c r="AK14" s="1">
        <v>0</v>
      </c>
      <c r="AL14" s="1">
        <v>0</v>
      </c>
      <c r="AM14" s="1">
        <v>0</v>
      </c>
      <c r="AN14" s="1">
        <v>38177845</v>
      </c>
      <c r="AO14" s="1">
        <v>6365131</v>
      </c>
      <c r="AP14" s="1">
        <v>31812714</v>
      </c>
      <c r="AQ14" s="1">
        <v>7635569</v>
      </c>
      <c r="AR14" s="1">
        <v>1145335</v>
      </c>
      <c r="AS14" s="1">
        <v>265000</v>
      </c>
      <c r="AT14" s="1">
        <f t="shared" si="2"/>
        <v>47223749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6349242</v>
      </c>
      <c r="G15" s="1">
        <v>13262212</v>
      </c>
      <c r="H15" s="1">
        <v>0</v>
      </c>
      <c r="I15" s="1">
        <v>6031780</v>
      </c>
      <c r="J15" s="1">
        <v>0</v>
      </c>
      <c r="K15" s="1">
        <v>0</v>
      </c>
      <c r="L15" s="1">
        <v>3894748</v>
      </c>
      <c r="M15" s="1">
        <v>400000</v>
      </c>
      <c r="N15" s="1">
        <v>3174621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5139118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1393600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41856590</v>
      </c>
      <c r="AO15" s="1">
        <v>9388105</v>
      </c>
      <c r="AP15" s="1">
        <v>32468485</v>
      </c>
      <c r="AQ15" s="1">
        <v>8149064</v>
      </c>
      <c r="AR15" s="1">
        <v>1222360</v>
      </c>
      <c r="AS15" s="1">
        <v>795000</v>
      </c>
      <c r="AT15" s="1">
        <f t="shared" si="2"/>
        <v>52023014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5245510</v>
      </c>
      <c r="G16" s="1">
        <v>14341739</v>
      </c>
      <c r="H16" s="1">
        <v>0</v>
      </c>
      <c r="I16" s="1">
        <v>4511139</v>
      </c>
      <c r="J16" s="1">
        <v>0</v>
      </c>
      <c r="K16" s="1">
        <v>0</v>
      </c>
      <c r="L16" s="1">
        <v>5571645</v>
      </c>
      <c r="M16" s="1">
        <v>400000</v>
      </c>
      <c r="N16" s="1">
        <v>2458832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6798712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42650115</v>
      </c>
      <c r="AO16" s="1">
        <v>7454298</v>
      </c>
      <c r="AP16" s="1">
        <v>35195817</v>
      </c>
      <c r="AQ16" s="1">
        <v>8085515</v>
      </c>
      <c r="AR16" s="1">
        <v>1212827</v>
      </c>
      <c r="AS16" s="1">
        <v>1060000</v>
      </c>
      <c r="AT16" s="1">
        <f t="shared" si="2"/>
        <v>53008457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6810244</v>
      </c>
      <c r="G17" s="1">
        <v>10441638</v>
      </c>
      <c r="H17" s="1">
        <v>0</v>
      </c>
      <c r="I17" s="1">
        <v>6129220</v>
      </c>
      <c r="J17" s="1">
        <v>0</v>
      </c>
      <c r="K17" s="1">
        <v>0</v>
      </c>
      <c r="L17" s="1">
        <v>3620700</v>
      </c>
      <c r="M17" s="1">
        <v>400000</v>
      </c>
      <c r="N17" s="1">
        <v>3584339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4978236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39286915</v>
      </c>
      <c r="AO17" s="1">
        <v>4079068</v>
      </c>
      <c r="AP17" s="1">
        <v>35207847</v>
      </c>
      <c r="AQ17" s="1">
        <v>7412875</v>
      </c>
      <c r="AR17" s="1">
        <v>1111931</v>
      </c>
      <c r="AS17" s="1">
        <v>0</v>
      </c>
      <c r="AT17" s="1">
        <f t="shared" si="2"/>
        <v>47811721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8764562</v>
      </c>
      <c r="G18" s="1">
        <v>12590222</v>
      </c>
      <c r="H18" s="1">
        <v>0</v>
      </c>
      <c r="I18" s="1">
        <v>7362232</v>
      </c>
      <c r="J18" s="1">
        <v>0</v>
      </c>
      <c r="K18" s="1">
        <v>0</v>
      </c>
      <c r="L18" s="1">
        <v>3460800</v>
      </c>
      <c r="M18" s="1">
        <v>400000</v>
      </c>
      <c r="N18" s="1">
        <v>4523645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8889542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1532400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49734672</v>
      </c>
      <c r="AO18" s="1">
        <v>9839183</v>
      </c>
      <c r="AP18" s="1">
        <v>39895489</v>
      </c>
      <c r="AQ18" s="1">
        <v>9724681</v>
      </c>
      <c r="AR18" s="1">
        <v>1458702</v>
      </c>
      <c r="AS18" s="1">
        <v>900000</v>
      </c>
      <c r="AT18" s="1">
        <f t="shared" si="2"/>
        <v>61818055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7363434</v>
      </c>
      <c r="G19" s="1">
        <v>7621914</v>
      </c>
      <c r="H19" s="1">
        <v>0</v>
      </c>
      <c r="I19" s="1">
        <v>7216165</v>
      </c>
      <c r="J19" s="1">
        <v>0</v>
      </c>
      <c r="K19" s="1">
        <v>0</v>
      </c>
      <c r="L19" s="1">
        <v>3620700</v>
      </c>
      <c r="M19" s="1">
        <v>400000</v>
      </c>
      <c r="N19" s="1">
        <v>3927165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7737994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41209910</v>
      </c>
      <c r="AO19" s="1">
        <v>8410258</v>
      </c>
      <c r="AP19" s="1">
        <v>32799652</v>
      </c>
      <c r="AQ19" s="1">
        <v>7797474</v>
      </c>
      <c r="AR19" s="1">
        <v>1169621</v>
      </c>
      <c r="AS19" s="1">
        <v>1855000</v>
      </c>
      <c r="AT19" s="1">
        <f t="shared" si="2"/>
        <v>52032005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7701870</v>
      </c>
      <c r="G20" s="1">
        <v>12235729</v>
      </c>
      <c r="H20" s="1">
        <v>0</v>
      </c>
      <c r="I20" s="1">
        <v>7393795</v>
      </c>
      <c r="J20" s="1">
        <v>0</v>
      </c>
      <c r="K20" s="1">
        <v>0</v>
      </c>
      <c r="L20" s="1">
        <v>3620700</v>
      </c>
      <c r="M20" s="1">
        <v>400000</v>
      </c>
      <c r="N20" s="1">
        <v>4080461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6134948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43778772</v>
      </c>
      <c r="AO20" s="1">
        <v>11469162</v>
      </c>
      <c r="AP20" s="1">
        <v>32309610</v>
      </c>
      <c r="AQ20" s="1">
        <v>8533501</v>
      </c>
      <c r="AR20" s="1">
        <v>1280025</v>
      </c>
      <c r="AS20" s="1">
        <v>900000</v>
      </c>
      <c r="AT20" s="1">
        <f t="shared" si="2"/>
        <v>54492298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13410367</v>
      </c>
      <c r="G21" s="1">
        <v>6506453</v>
      </c>
      <c r="H21" s="1">
        <v>0</v>
      </c>
      <c r="I21" s="1">
        <v>10756796</v>
      </c>
      <c r="J21" s="1">
        <v>0</v>
      </c>
      <c r="K21" s="1">
        <v>4620000</v>
      </c>
      <c r="L21" s="1">
        <v>0</v>
      </c>
      <c r="M21" s="1">
        <v>400000</v>
      </c>
      <c r="N21" s="1">
        <v>2577412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7850266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1841008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4123858</v>
      </c>
      <c r="AM21" s="1">
        <v>0</v>
      </c>
      <c r="AN21" s="1">
        <v>53186160</v>
      </c>
      <c r="AO21" s="1">
        <v>10490307</v>
      </c>
      <c r="AP21" s="1">
        <v>42695853</v>
      </c>
      <c r="AQ21" s="1">
        <v>10637232</v>
      </c>
      <c r="AR21" s="1">
        <v>1595585</v>
      </c>
      <c r="AS21" s="1">
        <v>0</v>
      </c>
      <c r="AT21" s="1">
        <f t="shared" si="2"/>
        <v>65418977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7493436</v>
      </c>
      <c r="G22" s="1">
        <v>1820395</v>
      </c>
      <c r="H22" s="1">
        <v>0</v>
      </c>
      <c r="I22" s="1">
        <v>6144618</v>
      </c>
      <c r="J22" s="1">
        <v>0</v>
      </c>
      <c r="K22" s="1">
        <v>0</v>
      </c>
      <c r="L22" s="1">
        <v>3460800</v>
      </c>
      <c r="M22" s="1">
        <v>400000</v>
      </c>
      <c r="N22" s="1">
        <v>3996499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10111420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3164303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2912632</v>
      </c>
      <c r="AK22" s="1">
        <v>0</v>
      </c>
      <c r="AL22" s="1">
        <v>0</v>
      </c>
      <c r="AM22" s="1">
        <v>0</v>
      </c>
      <c r="AN22" s="1">
        <v>42826641</v>
      </c>
      <c r="AO22" s="1">
        <v>8291743</v>
      </c>
      <c r="AP22" s="1">
        <v>34534898</v>
      </c>
      <c r="AQ22" s="1">
        <v>8120821</v>
      </c>
      <c r="AR22" s="1">
        <v>1218123</v>
      </c>
      <c r="AS22" s="1">
        <v>1060000</v>
      </c>
      <c r="AT22" s="1">
        <f t="shared" si="2"/>
        <v>53225585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7118509</v>
      </c>
      <c r="G23" s="1">
        <v>5315034</v>
      </c>
      <c r="H23" s="1">
        <v>0</v>
      </c>
      <c r="I23" s="1">
        <v>6904954</v>
      </c>
      <c r="J23" s="1">
        <v>0</v>
      </c>
      <c r="K23" s="1">
        <v>0</v>
      </c>
      <c r="L23" s="1">
        <v>4010885</v>
      </c>
      <c r="M23" s="1">
        <v>400000</v>
      </c>
      <c r="N23" s="1">
        <v>3559254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7563155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3239040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41433369</v>
      </c>
      <c r="AO23" s="1">
        <v>7081757</v>
      </c>
      <c r="AP23" s="1">
        <v>34351612</v>
      </c>
      <c r="AQ23" s="1">
        <v>7842166</v>
      </c>
      <c r="AR23" s="1">
        <v>1176325</v>
      </c>
      <c r="AS23" s="1">
        <v>1060000</v>
      </c>
      <c r="AT23" s="1">
        <f t="shared" si="2"/>
        <v>51511860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12507616</v>
      </c>
      <c r="G24" s="1">
        <v>7085799</v>
      </c>
      <c r="H24" s="1">
        <v>0</v>
      </c>
      <c r="I24" s="1">
        <v>11053294</v>
      </c>
      <c r="J24" s="1">
        <v>0</v>
      </c>
      <c r="K24" s="1">
        <v>4620000</v>
      </c>
      <c r="L24" s="1">
        <v>0</v>
      </c>
      <c r="M24" s="1">
        <v>400000</v>
      </c>
      <c r="N24" s="1">
        <v>2301178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13122398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1643699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7960153</v>
      </c>
      <c r="AM24" s="1">
        <v>0</v>
      </c>
      <c r="AN24" s="1">
        <v>65892817</v>
      </c>
      <c r="AO24" s="1">
        <v>12854528</v>
      </c>
      <c r="AP24" s="1">
        <v>53038289</v>
      </c>
      <c r="AQ24" s="1">
        <v>12734056</v>
      </c>
      <c r="AR24" s="1">
        <v>1910108</v>
      </c>
      <c r="AS24" s="1">
        <v>0</v>
      </c>
      <c r="AT24" s="1">
        <f t="shared" si="2"/>
        <v>80536981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12688244</v>
      </c>
      <c r="G25" s="1">
        <v>14755553</v>
      </c>
      <c r="H25" s="1">
        <v>0</v>
      </c>
      <c r="I25" s="1">
        <v>11103532</v>
      </c>
      <c r="J25" s="1">
        <v>0</v>
      </c>
      <c r="K25" s="1">
        <v>4620000</v>
      </c>
      <c r="L25" s="1">
        <v>0</v>
      </c>
      <c r="M25" s="1">
        <v>400000</v>
      </c>
      <c r="N25" s="1">
        <v>2346188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11658709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1675848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5496784</v>
      </c>
      <c r="AM25" s="1">
        <v>0</v>
      </c>
      <c r="AN25" s="1">
        <v>68226127</v>
      </c>
      <c r="AO25" s="1">
        <v>17973187</v>
      </c>
      <c r="AP25" s="1">
        <v>50252940</v>
      </c>
      <c r="AQ25" s="1">
        <v>13168972</v>
      </c>
      <c r="AR25" s="1">
        <v>1975346</v>
      </c>
      <c r="AS25" s="1">
        <v>0</v>
      </c>
      <c r="AT25" s="1">
        <f t="shared" si="2"/>
        <v>83370445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6725514</v>
      </c>
      <c r="G26" s="1">
        <v>2959260</v>
      </c>
      <c r="H26" s="1">
        <v>0</v>
      </c>
      <c r="I26" s="1">
        <v>5582176</v>
      </c>
      <c r="J26" s="1">
        <v>0</v>
      </c>
      <c r="K26" s="1">
        <v>0</v>
      </c>
      <c r="L26" s="1">
        <v>3715549</v>
      </c>
      <c r="M26" s="1">
        <v>400000</v>
      </c>
      <c r="N26" s="1">
        <v>3539744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9425685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2934447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44885865</v>
      </c>
      <c r="AO26" s="1">
        <v>7359560</v>
      </c>
      <c r="AP26" s="1">
        <v>37526305</v>
      </c>
      <c r="AQ26" s="1">
        <v>8088158</v>
      </c>
      <c r="AR26" s="1">
        <v>1213224</v>
      </c>
      <c r="AS26" s="1">
        <v>795000</v>
      </c>
      <c r="AT26" s="1">
        <f t="shared" si="2"/>
        <v>54982247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5490784</v>
      </c>
      <c r="G27" s="1">
        <v>1015193</v>
      </c>
      <c r="H27" s="1">
        <v>0</v>
      </c>
      <c r="I27" s="1">
        <v>5106429</v>
      </c>
      <c r="J27" s="1">
        <v>0</v>
      </c>
      <c r="K27" s="1">
        <v>0</v>
      </c>
      <c r="L27" s="1">
        <v>3767125</v>
      </c>
      <c r="M27" s="1">
        <v>400000</v>
      </c>
      <c r="N27" s="1">
        <v>2745392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6094687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2500000</v>
      </c>
      <c r="AJ27" s="1">
        <v>0</v>
      </c>
      <c r="AK27" s="1">
        <v>0</v>
      </c>
      <c r="AL27" s="1">
        <v>0</v>
      </c>
      <c r="AM27" s="1">
        <v>0</v>
      </c>
      <c r="AN27" s="1">
        <v>28219610</v>
      </c>
      <c r="AO27" s="1">
        <v>7420987</v>
      </c>
      <c r="AP27" s="1">
        <v>20798623</v>
      </c>
      <c r="AQ27" s="1">
        <v>5143922</v>
      </c>
      <c r="AR27" s="1">
        <v>771588</v>
      </c>
      <c r="AS27" s="1">
        <v>600000</v>
      </c>
      <c r="AT27" s="1">
        <f t="shared" si="2"/>
        <v>34735120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6483027</v>
      </c>
      <c r="G28" s="1">
        <v>6617332</v>
      </c>
      <c r="H28" s="1">
        <v>0</v>
      </c>
      <c r="I28" s="1">
        <v>6223706</v>
      </c>
      <c r="J28" s="1">
        <v>0</v>
      </c>
      <c r="K28" s="1">
        <v>0</v>
      </c>
      <c r="L28" s="1">
        <v>3812433</v>
      </c>
      <c r="M28" s="1">
        <v>400000</v>
      </c>
      <c r="N28" s="1">
        <v>3241514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9514154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38503435</v>
      </c>
      <c r="AO28" s="1">
        <v>10090632</v>
      </c>
      <c r="AP28" s="1">
        <v>28412803</v>
      </c>
      <c r="AQ28" s="1">
        <v>7478433</v>
      </c>
      <c r="AR28" s="1">
        <v>1121765</v>
      </c>
      <c r="AS28" s="1">
        <v>795000</v>
      </c>
      <c r="AT28" s="1">
        <f t="shared" si="2"/>
        <v>47898633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5998472</v>
      </c>
      <c r="G29" s="1">
        <v>12043722</v>
      </c>
      <c r="H29" s="1">
        <v>0</v>
      </c>
      <c r="I29" s="1">
        <v>5698549</v>
      </c>
      <c r="J29" s="1">
        <v>0</v>
      </c>
      <c r="K29" s="1">
        <v>0</v>
      </c>
      <c r="L29" s="1">
        <v>3958775</v>
      </c>
      <c r="M29" s="1">
        <v>400000</v>
      </c>
      <c r="N29" s="1">
        <v>3116090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6639043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41177189</v>
      </c>
      <c r="AO29" s="1">
        <v>7017301</v>
      </c>
      <c r="AP29" s="1">
        <v>34159888</v>
      </c>
      <c r="AQ29" s="1">
        <v>7790930</v>
      </c>
      <c r="AR29" s="1">
        <v>1168640</v>
      </c>
      <c r="AS29" s="1">
        <v>530000</v>
      </c>
      <c r="AT29" s="1">
        <f t="shared" si="2"/>
        <v>50666759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12174900</v>
      </c>
      <c r="G30" s="1">
        <v>7031122</v>
      </c>
      <c r="H30" s="1">
        <v>0</v>
      </c>
      <c r="I30" s="1">
        <v>10421687</v>
      </c>
      <c r="J30" s="1">
        <v>0</v>
      </c>
      <c r="K30" s="1">
        <v>3465000</v>
      </c>
      <c r="L30" s="1">
        <v>0</v>
      </c>
      <c r="M30" s="1">
        <v>400000</v>
      </c>
      <c r="N30" s="1">
        <v>2362022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8268204</v>
      </c>
      <c r="W30" s="1">
        <v>1100000</v>
      </c>
      <c r="X30" s="1">
        <v>1826235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1687158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8916403</v>
      </c>
      <c r="AM30" s="1">
        <v>0</v>
      </c>
      <c r="AN30" s="1">
        <v>57652731</v>
      </c>
      <c r="AO30" s="1">
        <v>9291813</v>
      </c>
      <c r="AP30" s="1">
        <v>48360918</v>
      </c>
      <c r="AQ30" s="1">
        <v>11530546</v>
      </c>
      <c r="AR30" s="1">
        <v>1729582</v>
      </c>
      <c r="AS30" s="1">
        <v>0</v>
      </c>
      <c r="AT30" s="1">
        <f t="shared" si="2"/>
        <v>70912859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13211377</v>
      </c>
      <c r="G31" s="1">
        <v>7389814</v>
      </c>
      <c r="H31" s="1">
        <v>0</v>
      </c>
      <c r="I31" s="1">
        <v>11916483</v>
      </c>
      <c r="J31" s="1">
        <v>0</v>
      </c>
      <c r="K31" s="1">
        <v>4620000</v>
      </c>
      <c r="L31" s="1">
        <v>0</v>
      </c>
      <c r="M31" s="1">
        <v>400000</v>
      </c>
      <c r="N31" s="1">
        <v>2534871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11233578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1810623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5359443</v>
      </c>
      <c r="AM31" s="1">
        <v>0</v>
      </c>
      <c r="AN31" s="1">
        <v>60687458</v>
      </c>
      <c r="AO31" s="1">
        <v>12179174</v>
      </c>
      <c r="AP31" s="1">
        <v>48508284</v>
      </c>
      <c r="AQ31" s="1">
        <v>11915238</v>
      </c>
      <c r="AR31" s="1">
        <v>1787286</v>
      </c>
      <c r="AS31" s="1">
        <v>0</v>
      </c>
      <c r="AT31" s="1">
        <f t="shared" si="2"/>
        <v>74389982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6981135</v>
      </c>
      <c r="G32" s="1">
        <v>6397222</v>
      </c>
      <c r="H32" s="1">
        <v>0</v>
      </c>
      <c r="I32" s="1">
        <v>6352833</v>
      </c>
      <c r="J32" s="1">
        <v>0</v>
      </c>
      <c r="K32" s="1">
        <v>0</v>
      </c>
      <c r="L32" s="1">
        <v>3620700</v>
      </c>
      <c r="M32" s="1">
        <v>400000</v>
      </c>
      <c r="N32" s="1">
        <v>3698614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5150638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3097992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3612549</v>
      </c>
      <c r="AK32" s="1">
        <v>0</v>
      </c>
      <c r="AL32" s="1">
        <v>0</v>
      </c>
      <c r="AM32" s="1">
        <v>0</v>
      </c>
      <c r="AN32" s="1">
        <v>41522952</v>
      </c>
      <c r="AO32" s="1">
        <v>4530290</v>
      </c>
      <c r="AP32" s="1">
        <v>36992662</v>
      </c>
      <c r="AQ32" s="1">
        <v>8082337</v>
      </c>
      <c r="AR32" s="1">
        <v>1212350</v>
      </c>
      <c r="AS32" s="1">
        <v>0</v>
      </c>
      <c r="AT32" s="1">
        <f t="shared" si="2"/>
        <v>50817639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6667261</v>
      </c>
      <c r="G33" s="1">
        <v>6759762</v>
      </c>
      <c r="H33" s="1">
        <v>0</v>
      </c>
      <c r="I33" s="1">
        <v>5667172</v>
      </c>
      <c r="J33" s="1">
        <v>0</v>
      </c>
      <c r="K33" s="1">
        <v>0</v>
      </c>
      <c r="L33" s="1">
        <v>3620700</v>
      </c>
      <c r="M33" s="1">
        <v>400000</v>
      </c>
      <c r="N33" s="1">
        <v>3509085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7023013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34746993</v>
      </c>
      <c r="AO33" s="1">
        <v>5689009</v>
      </c>
      <c r="AP33" s="1">
        <v>29057984</v>
      </c>
      <c r="AQ33" s="1">
        <v>6949399</v>
      </c>
      <c r="AR33" s="1">
        <v>1042410</v>
      </c>
      <c r="AS33" s="1">
        <v>265000</v>
      </c>
      <c r="AT33" s="1">
        <f t="shared" si="2"/>
        <v>43003802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6964452</v>
      </c>
      <c r="G34" s="1">
        <v>757048</v>
      </c>
      <c r="H34" s="1">
        <v>0</v>
      </c>
      <c r="I34" s="1">
        <v>6685873</v>
      </c>
      <c r="J34" s="1">
        <v>0</v>
      </c>
      <c r="K34" s="1">
        <v>0</v>
      </c>
      <c r="L34" s="1">
        <v>3460800</v>
      </c>
      <c r="M34" s="1">
        <v>400000</v>
      </c>
      <c r="N34" s="1">
        <v>3665501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5179315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3116494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2422554</v>
      </c>
      <c r="AK34" s="1">
        <v>0</v>
      </c>
      <c r="AL34" s="1">
        <v>0</v>
      </c>
      <c r="AM34" s="1">
        <v>0</v>
      </c>
      <c r="AN34" s="1">
        <v>35974575</v>
      </c>
      <c r="AO34" s="1">
        <v>5189262</v>
      </c>
      <c r="AP34" s="1">
        <v>30785313</v>
      </c>
      <c r="AQ34" s="1">
        <v>6750407</v>
      </c>
      <c r="AR34" s="1">
        <v>1012561</v>
      </c>
      <c r="AS34" s="1">
        <v>0</v>
      </c>
      <c r="AT34" s="1">
        <f t="shared" si="2"/>
        <v>43737543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6572218</v>
      </c>
      <c r="G35" s="1">
        <v>4011641</v>
      </c>
      <c r="H35" s="1">
        <v>0</v>
      </c>
      <c r="I35" s="1">
        <v>6112162</v>
      </c>
      <c r="J35" s="1">
        <v>0</v>
      </c>
      <c r="K35" s="1">
        <v>0</v>
      </c>
      <c r="L35" s="1">
        <v>3977494</v>
      </c>
      <c r="M35" s="1">
        <v>400000</v>
      </c>
      <c r="N35" s="1">
        <v>3286109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7560414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35242576</v>
      </c>
      <c r="AO35" s="1">
        <v>9982918</v>
      </c>
      <c r="AP35" s="1">
        <v>25259658</v>
      </c>
      <c r="AQ35" s="1">
        <v>6604008</v>
      </c>
      <c r="AR35" s="1">
        <v>990601</v>
      </c>
      <c r="AS35" s="1">
        <v>1200000</v>
      </c>
      <c r="AT35" s="1">
        <f t="shared" si="2"/>
        <v>44037185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7465132</v>
      </c>
      <c r="G36" s="1">
        <v>2223324</v>
      </c>
      <c r="H36" s="1">
        <v>0</v>
      </c>
      <c r="I36" s="1">
        <v>7166527</v>
      </c>
      <c r="J36" s="1">
        <v>0</v>
      </c>
      <c r="K36" s="1">
        <v>0</v>
      </c>
      <c r="L36" s="1">
        <v>3620700</v>
      </c>
      <c r="M36" s="1">
        <v>400000</v>
      </c>
      <c r="N36" s="1">
        <v>3955037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5511969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3331109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2587141</v>
      </c>
      <c r="AK36" s="1">
        <v>0</v>
      </c>
      <c r="AL36" s="1">
        <v>0</v>
      </c>
      <c r="AM36" s="1">
        <v>0</v>
      </c>
      <c r="AN36" s="1">
        <v>38472208</v>
      </c>
      <c r="AO36" s="1">
        <v>7764286</v>
      </c>
      <c r="AP36" s="1">
        <v>30707922</v>
      </c>
      <c r="AQ36" s="1">
        <v>7472188</v>
      </c>
      <c r="AR36" s="1">
        <v>1120828</v>
      </c>
      <c r="AS36" s="1">
        <v>795000</v>
      </c>
      <c r="AT36" s="1">
        <f t="shared" si="2"/>
        <v>47860224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6243607</v>
      </c>
      <c r="G37" s="1">
        <v>5422713</v>
      </c>
      <c r="H37" s="1">
        <v>0</v>
      </c>
      <c r="I37" s="1">
        <v>6368479</v>
      </c>
      <c r="J37" s="1">
        <v>0</v>
      </c>
      <c r="K37" s="1">
        <v>0</v>
      </c>
      <c r="L37" s="1">
        <v>3620700</v>
      </c>
      <c r="M37" s="1">
        <v>400000</v>
      </c>
      <c r="N37" s="1">
        <v>3286109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7041330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2927834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42351741</v>
      </c>
      <c r="AO37" s="1">
        <v>7166207</v>
      </c>
      <c r="AP37" s="1">
        <v>35185534</v>
      </c>
      <c r="AQ37" s="1">
        <v>8025841</v>
      </c>
      <c r="AR37" s="1">
        <v>1203876</v>
      </c>
      <c r="AS37" s="1">
        <v>1060000</v>
      </c>
      <c r="AT37" s="1">
        <f t="shared" si="2"/>
        <v>52641458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7355520</v>
      </c>
      <c r="G38" s="1">
        <v>6478078</v>
      </c>
      <c r="H38" s="1">
        <v>0</v>
      </c>
      <c r="I38" s="1">
        <v>6178637</v>
      </c>
      <c r="J38" s="1">
        <v>0</v>
      </c>
      <c r="K38" s="1">
        <v>0</v>
      </c>
      <c r="L38" s="1">
        <v>3460800</v>
      </c>
      <c r="M38" s="1">
        <v>400000</v>
      </c>
      <c r="N38" s="1">
        <v>3922944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5212162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3137685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2438806</v>
      </c>
      <c r="AK38" s="1">
        <v>0</v>
      </c>
      <c r="AL38" s="1">
        <v>0</v>
      </c>
      <c r="AM38" s="1">
        <v>0</v>
      </c>
      <c r="AN38" s="1">
        <v>43018439</v>
      </c>
      <c r="AO38" s="1">
        <v>9773512</v>
      </c>
      <c r="AP38" s="1">
        <v>33244927</v>
      </c>
      <c r="AQ38" s="1">
        <v>7936926</v>
      </c>
      <c r="AR38" s="1">
        <v>1190539</v>
      </c>
      <c r="AS38" s="1">
        <v>600000</v>
      </c>
      <c r="AT38" s="1">
        <f t="shared" si="2"/>
        <v>52745904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8990897</v>
      </c>
      <c r="G39" s="1">
        <v>1258613</v>
      </c>
      <c r="H39" s="1">
        <v>0</v>
      </c>
      <c r="I39" s="1">
        <v>8451443</v>
      </c>
      <c r="J39" s="1">
        <v>0</v>
      </c>
      <c r="K39" s="1">
        <v>0</v>
      </c>
      <c r="L39" s="1">
        <v>3460800</v>
      </c>
      <c r="M39" s="1">
        <v>400000</v>
      </c>
      <c r="N39" s="1">
        <v>4732051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8886775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39503117</v>
      </c>
      <c r="AO39" s="1">
        <v>7045392</v>
      </c>
      <c r="AP39" s="1">
        <v>32457725</v>
      </c>
      <c r="AQ39" s="1">
        <v>7456116</v>
      </c>
      <c r="AR39" s="1">
        <v>1118417</v>
      </c>
      <c r="AS39" s="1">
        <v>300000</v>
      </c>
      <c r="AT39" s="1">
        <f t="shared" si="2"/>
        <v>48377650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7196829</v>
      </c>
      <c r="G40" s="1">
        <v>8029049</v>
      </c>
      <c r="H40" s="1">
        <v>0</v>
      </c>
      <c r="I40" s="1">
        <v>5613527</v>
      </c>
      <c r="J40" s="1">
        <v>0</v>
      </c>
      <c r="K40" s="1">
        <v>0</v>
      </c>
      <c r="L40" s="1">
        <v>3620700</v>
      </c>
      <c r="M40" s="1">
        <v>400000</v>
      </c>
      <c r="N40" s="1">
        <v>3812890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7284222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41502293</v>
      </c>
      <c r="AO40" s="1">
        <v>6486786</v>
      </c>
      <c r="AP40" s="1">
        <v>35015507</v>
      </c>
      <c r="AQ40" s="1">
        <v>7411443</v>
      </c>
      <c r="AR40" s="1">
        <v>1111717</v>
      </c>
      <c r="AS40" s="1">
        <v>0</v>
      </c>
      <c r="AT40" s="1">
        <f t="shared" si="2"/>
        <v>50025453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6018157</v>
      </c>
      <c r="G41" s="1">
        <v>1261986</v>
      </c>
      <c r="H41" s="1">
        <v>0</v>
      </c>
      <c r="I41" s="1">
        <v>5657068</v>
      </c>
      <c r="J41" s="1">
        <v>0</v>
      </c>
      <c r="K41" s="1">
        <v>0</v>
      </c>
      <c r="L41" s="1">
        <v>3620700</v>
      </c>
      <c r="M41" s="1">
        <v>400000</v>
      </c>
      <c r="N41" s="1">
        <v>3146749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6281942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30820409</v>
      </c>
      <c r="AO41" s="1">
        <v>4966130</v>
      </c>
      <c r="AP41" s="1">
        <v>25854279</v>
      </c>
      <c r="AQ41" s="1">
        <v>5497320</v>
      </c>
      <c r="AR41" s="1">
        <v>824598</v>
      </c>
      <c r="AS41" s="1">
        <v>1325000</v>
      </c>
      <c r="AT41" s="1">
        <f t="shared" si="2"/>
        <v>38467327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6476617</v>
      </c>
      <c r="G42" s="1">
        <v>8667887</v>
      </c>
      <c r="H42" s="1">
        <v>0</v>
      </c>
      <c r="I42" s="1">
        <v>6023253</v>
      </c>
      <c r="J42" s="1">
        <v>0</v>
      </c>
      <c r="K42" s="1">
        <v>0</v>
      </c>
      <c r="L42" s="1">
        <v>3620700</v>
      </c>
      <c r="M42" s="1">
        <v>400000</v>
      </c>
      <c r="N42" s="1">
        <v>3408746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6887101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37695573</v>
      </c>
      <c r="AO42" s="1">
        <v>5318289</v>
      </c>
      <c r="AP42" s="1">
        <v>32377284</v>
      </c>
      <c r="AQ42" s="1">
        <v>7316861</v>
      </c>
      <c r="AR42" s="1">
        <v>1097529</v>
      </c>
      <c r="AS42" s="1">
        <v>795000</v>
      </c>
      <c r="AT42" s="1">
        <f t="shared" si="2"/>
        <v>46904963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6704958</v>
      </c>
      <c r="G43" s="1">
        <v>0</v>
      </c>
      <c r="H43" s="1">
        <v>0</v>
      </c>
      <c r="I43" s="1">
        <v>4961669</v>
      </c>
      <c r="J43" s="1">
        <v>0</v>
      </c>
      <c r="K43" s="1">
        <v>0</v>
      </c>
      <c r="L43" s="1">
        <v>3620700</v>
      </c>
      <c r="M43" s="1">
        <v>400000</v>
      </c>
      <c r="N43" s="1">
        <v>3575978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4734468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2829496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2202459</v>
      </c>
      <c r="AK43" s="1">
        <v>0</v>
      </c>
      <c r="AL43" s="1">
        <v>0</v>
      </c>
      <c r="AM43" s="1">
        <v>0</v>
      </c>
      <c r="AN43" s="1">
        <v>31240997</v>
      </c>
      <c r="AO43" s="1">
        <v>5900588</v>
      </c>
      <c r="AP43" s="1">
        <v>25340409</v>
      </c>
      <c r="AQ43" s="1">
        <v>6025946</v>
      </c>
      <c r="AR43" s="1">
        <v>903892</v>
      </c>
      <c r="AS43" s="1">
        <v>795000</v>
      </c>
      <c r="AT43" s="1">
        <f t="shared" si="2"/>
        <v>38965835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5819674</v>
      </c>
      <c r="G44" s="1">
        <v>2726937</v>
      </c>
      <c r="H44" s="1">
        <v>0</v>
      </c>
      <c r="I44" s="1">
        <v>5528690</v>
      </c>
      <c r="J44" s="1">
        <v>0</v>
      </c>
      <c r="K44" s="1">
        <v>0</v>
      </c>
      <c r="L44" s="1">
        <v>4041049</v>
      </c>
      <c r="M44" s="1">
        <v>400000</v>
      </c>
      <c r="N44" s="1">
        <v>2909837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6632749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2744888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37616842</v>
      </c>
      <c r="AO44" s="1">
        <v>8495783</v>
      </c>
      <c r="AP44" s="1">
        <v>29121059</v>
      </c>
      <c r="AQ44" s="1">
        <v>7078861</v>
      </c>
      <c r="AR44" s="1">
        <v>1061829</v>
      </c>
      <c r="AS44" s="1">
        <v>1060000</v>
      </c>
      <c r="AT44" s="1">
        <f t="shared" si="2"/>
        <v>46817532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9290643</v>
      </c>
      <c r="G45" s="1">
        <v>8842612</v>
      </c>
      <c r="H45" s="1">
        <v>0</v>
      </c>
      <c r="I45" s="1">
        <v>7897047</v>
      </c>
      <c r="J45" s="1">
        <v>0</v>
      </c>
      <c r="K45" s="1">
        <v>0</v>
      </c>
      <c r="L45" s="1">
        <v>3620700</v>
      </c>
      <c r="M45" s="1">
        <v>400000</v>
      </c>
      <c r="N45" s="1">
        <v>4922195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8918017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3859588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51073340</v>
      </c>
      <c r="AO45" s="1">
        <v>10179705</v>
      </c>
      <c r="AP45" s="1">
        <v>40893635</v>
      </c>
      <c r="AQ45" s="1">
        <v>9770160</v>
      </c>
      <c r="AR45" s="1">
        <v>1465524</v>
      </c>
      <c r="AS45" s="1">
        <v>1060000</v>
      </c>
      <c r="AT45" s="1">
        <f t="shared" si="2"/>
        <v>63369024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7133490</v>
      </c>
      <c r="G46" s="1">
        <v>3394797</v>
      </c>
      <c r="H46" s="1">
        <v>0</v>
      </c>
      <c r="I46" s="1">
        <v>6420141</v>
      </c>
      <c r="J46" s="1">
        <v>0</v>
      </c>
      <c r="K46" s="1">
        <v>0</v>
      </c>
      <c r="L46" s="1">
        <v>3620700</v>
      </c>
      <c r="M46" s="1">
        <v>400000</v>
      </c>
      <c r="N46" s="1">
        <v>3804528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10059289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3146829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2896894</v>
      </c>
      <c r="AK46" s="1">
        <v>0</v>
      </c>
      <c r="AL46" s="1">
        <v>0</v>
      </c>
      <c r="AM46" s="1">
        <v>0</v>
      </c>
      <c r="AN46" s="1">
        <v>44199206</v>
      </c>
      <c r="AO46" s="1">
        <v>7671972</v>
      </c>
      <c r="AP46" s="1">
        <v>36527234</v>
      </c>
      <c r="AQ46" s="1">
        <v>8395334</v>
      </c>
      <c r="AR46" s="1">
        <v>1259300</v>
      </c>
      <c r="AS46" s="1">
        <v>1060000</v>
      </c>
      <c r="AT46" s="1">
        <f t="shared" si="2"/>
        <v>54913840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6594515</v>
      </c>
      <c r="G47" s="1">
        <v>7854522</v>
      </c>
      <c r="H47" s="1">
        <v>0</v>
      </c>
      <c r="I47" s="1">
        <v>5935064</v>
      </c>
      <c r="J47" s="1">
        <v>0</v>
      </c>
      <c r="K47" s="1">
        <v>0</v>
      </c>
      <c r="L47" s="1">
        <v>3968885</v>
      </c>
      <c r="M47" s="1">
        <v>400000</v>
      </c>
      <c r="N47" s="1">
        <v>3297258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7134067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38506849</v>
      </c>
      <c r="AO47" s="1">
        <v>19084685</v>
      </c>
      <c r="AP47" s="1">
        <v>19422164</v>
      </c>
      <c r="AQ47" s="1">
        <v>7256862</v>
      </c>
      <c r="AR47" s="1">
        <v>1088529</v>
      </c>
      <c r="AS47" s="1">
        <v>1200000</v>
      </c>
      <c r="AT47" s="1">
        <f t="shared" si="2"/>
        <v>48052240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13387650</v>
      </c>
      <c r="G48" s="1">
        <v>7016610</v>
      </c>
      <c r="H48" s="1">
        <v>0</v>
      </c>
      <c r="I48" s="1">
        <v>12348226</v>
      </c>
      <c r="J48" s="1">
        <v>0</v>
      </c>
      <c r="K48" s="1">
        <v>4620000</v>
      </c>
      <c r="L48" s="1">
        <v>0</v>
      </c>
      <c r="M48" s="1">
        <v>400000</v>
      </c>
      <c r="N48" s="1">
        <v>2616432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14438072</v>
      </c>
      <c r="W48" s="1">
        <v>1100000</v>
      </c>
      <c r="X48" s="1">
        <v>2008148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1868880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8800628</v>
      </c>
      <c r="AM48" s="1">
        <v>0</v>
      </c>
      <c r="AN48" s="1">
        <v>69715915</v>
      </c>
      <c r="AO48" s="1">
        <v>17790824</v>
      </c>
      <c r="AP48" s="1">
        <v>51925091</v>
      </c>
      <c r="AQ48" s="1">
        <v>13720929</v>
      </c>
      <c r="AR48" s="1">
        <v>2058139</v>
      </c>
      <c r="AS48" s="1">
        <v>0</v>
      </c>
      <c r="AT48" s="1">
        <f t="shared" si="2"/>
        <v>85494983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10556321</v>
      </c>
      <c r="G49" s="1">
        <v>0</v>
      </c>
      <c r="H49" s="1">
        <v>0</v>
      </c>
      <c r="I49" s="1">
        <v>8867309</v>
      </c>
      <c r="J49" s="1">
        <v>0</v>
      </c>
      <c r="K49" s="1">
        <v>0</v>
      </c>
      <c r="L49" s="1">
        <v>3460800</v>
      </c>
      <c r="M49" s="1">
        <v>400000</v>
      </c>
      <c r="N49" s="1">
        <v>5630038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9829738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40955475</v>
      </c>
      <c r="AO49" s="1">
        <v>8592619</v>
      </c>
      <c r="AP49" s="1">
        <v>32362856</v>
      </c>
      <c r="AQ49" s="1">
        <v>7968841</v>
      </c>
      <c r="AR49" s="1">
        <v>1195326</v>
      </c>
      <c r="AS49" s="1">
        <v>795000</v>
      </c>
      <c r="AT49" s="1">
        <f t="shared" si="2"/>
        <v>50914642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6309663</v>
      </c>
      <c r="G50" s="1">
        <v>8282238</v>
      </c>
      <c r="H50" s="1">
        <v>0</v>
      </c>
      <c r="I50" s="1">
        <v>5867987</v>
      </c>
      <c r="J50" s="1">
        <v>0</v>
      </c>
      <c r="K50" s="1">
        <v>0</v>
      </c>
      <c r="L50" s="1">
        <v>3620700</v>
      </c>
      <c r="M50" s="1">
        <v>400000</v>
      </c>
      <c r="N50" s="1">
        <v>3277747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6738672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37819545</v>
      </c>
      <c r="AO50" s="1">
        <v>8059633</v>
      </c>
      <c r="AP50" s="1">
        <v>29759912</v>
      </c>
      <c r="AQ50" s="1">
        <v>7119401</v>
      </c>
      <c r="AR50" s="1">
        <v>1067910</v>
      </c>
      <c r="AS50" s="1">
        <v>1060000</v>
      </c>
      <c r="AT50" s="1">
        <f t="shared" si="2"/>
        <v>47066856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6581833</v>
      </c>
      <c r="G51" s="1">
        <v>10487796</v>
      </c>
      <c r="H51" s="1">
        <v>0</v>
      </c>
      <c r="I51" s="1">
        <v>5726195</v>
      </c>
      <c r="J51" s="1">
        <v>0</v>
      </c>
      <c r="K51" s="1">
        <v>0</v>
      </c>
      <c r="L51" s="1">
        <v>3646344</v>
      </c>
      <c r="M51" s="1">
        <v>400000</v>
      </c>
      <c r="N51" s="1">
        <v>3375299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6821717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2500000</v>
      </c>
      <c r="AJ51" s="1">
        <v>0</v>
      </c>
      <c r="AK51" s="1">
        <v>0</v>
      </c>
      <c r="AL51" s="1">
        <v>0</v>
      </c>
      <c r="AM51" s="1">
        <v>0</v>
      </c>
      <c r="AN51" s="1">
        <v>40639184</v>
      </c>
      <c r="AO51" s="1">
        <v>10154049</v>
      </c>
      <c r="AP51" s="1">
        <v>30485135</v>
      </c>
      <c r="AQ51" s="1">
        <v>7627837</v>
      </c>
      <c r="AR51" s="1">
        <v>1144176</v>
      </c>
      <c r="AS51" s="1">
        <v>600000</v>
      </c>
      <c r="AT51" s="1">
        <f t="shared" si="2"/>
        <v>50011197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55272161</v>
      </c>
      <c r="G52" s="1">
        <v>21763413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1260000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79555574</v>
      </c>
      <c r="AO52" s="1">
        <v>8056336</v>
      </c>
      <c r="AP52" s="1">
        <v>71499238</v>
      </c>
      <c r="AQ52" s="1">
        <v>0</v>
      </c>
      <c r="AR52" s="1">
        <v>0</v>
      </c>
      <c r="AS52" s="1">
        <v>0</v>
      </c>
      <c r="AT52" s="1">
        <f t="shared" si="2"/>
        <v>79555574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7917042</v>
      </c>
      <c r="G53" s="1">
        <v>16562448</v>
      </c>
      <c r="H53" s="1">
        <v>0</v>
      </c>
      <c r="I53" s="1">
        <v>5858611</v>
      </c>
      <c r="J53" s="1">
        <v>0</v>
      </c>
      <c r="K53" s="1">
        <v>0</v>
      </c>
      <c r="L53" s="1">
        <v>3620700</v>
      </c>
      <c r="M53" s="1">
        <v>400000</v>
      </c>
      <c r="N53" s="1">
        <v>4166864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5477514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47325717</v>
      </c>
      <c r="AO53" s="1">
        <v>9004254</v>
      </c>
      <c r="AP53" s="1">
        <v>38321463</v>
      </c>
      <c r="AQ53" s="1">
        <v>9020636</v>
      </c>
      <c r="AR53" s="1">
        <v>1353095</v>
      </c>
      <c r="AS53" s="1">
        <v>1060000</v>
      </c>
      <c r="AT53" s="1">
        <f t="shared" si="2"/>
        <v>58759448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16568068</v>
      </c>
      <c r="G54" s="1">
        <v>21545139</v>
      </c>
      <c r="H54" s="1">
        <v>0</v>
      </c>
      <c r="I54" s="1">
        <v>14870859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0</v>
      </c>
      <c r="T54" s="1">
        <v>1380000</v>
      </c>
      <c r="U54" s="1">
        <v>0</v>
      </c>
      <c r="V54" s="1">
        <v>3629929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2484658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2375702</v>
      </c>
      <c r="AM54" s="1">
        <v>0</v>
      </c>
      <c r="AN54" s="1">
        <v>66725624</v>
      </c>
      <c r="AO54" s="1">
        <v>13805832</v>
      </c>
      <c r="AP54" s="1">
        <v>52919792</v>
      </c>
      <c r="AQ54" s="1">
        <v>12846871</v>
      </c>
      <c r="AR54" s="1">
        <v>1927031</v>
      </c>
      <c r="AS54" s="1">
        <v>0</v>
      </c>
      <c r="AT54" s="1">
        <f t="shared" si="2"/>
        <v>81499526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7496501</v>
      </c>
      <c r="G55" s="1">
        <v>6089144</v>
      </c>
      <c r="H55" s="1">
        <v>0</v>
      </c>
      <c r="I55" s="1">
        <v>6821816</v>
      </c>
      <c r="J55" s="1">
        <v>0</v>
      </c>
      <c r="K55" s="1">
        <v>0</v>
      </c>
      <c r="L55" s="1">
        <v>3620700</v>
      </c>
      <c r="M55" s="1">
        <v>400000</v>
      </c>
      <c r="N55" s="1">
        <v>0</v>
      </c>
      <c r="O55" s="1">
        <v>0</v>
      </c>
      <c r="P55" s="1">
        <v>1260000</v>
      </c>
      <c r="Q55" s="1">
        <v>0</v>
      </c>
      <c r="R55" s="1">
        <v>0</v>
      </c>
      <c r="S55" s="1">
        <v>0</v>
      </c>
      <c r="T55" s="1">
        <v>1200000</v>
      </c>
      <c r="U55" s="1">
        <v>0</v>
      </c>
      <c r="V55" s="1">
        <v>1943902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29932063</v>
      </c>
      <c r="AO55" s="1">
        <v>8737910</v>
      </c>
      <c r="AP55" s="1">
        <v>21194153</v>
      </c>
      <c r="AQ55" s="1">
        <v>5746413</v>
      </c>
      <c r="AR55" s="1">
        <v>861962</v>
      </c>
      <c r="AS55" s="1">
        <v>530000</v>
      </c>
      <c r="AT55" s="1">
        <f t="shared" si="2"/>
        <v>37070438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5862318</v>
      </c>
      <c r="G56" s="1">
        <v>3302848</v>
      </c>
      <c r="H56" s="1">
        <v>0</v>
      </c>
      <c r="I56" s="1">
        <v>4279492</v>
      </c>
      <c r="J56" s="1">
        <v>0</v>
      </c>
      <c r="K56" s="1">
        <v>0</v>
      </c>
      <c r="L56" s="1">
        <v>3725741</v>
      </c>
      <c r="M56" s="1">
        <v>400000</v>
      </c>
      <c r="N56" s="1">
        <v>3085430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8211577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2542947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3523038</v>
      </c>
      <c r="AK56" s="1">
        <v>0</v>
      </c>
      <c r="AL56" s="1">
        <v>0</v>
      </c>
      <c r="AM56" s="1">
        <v>0</v>
      </c>
      <c r="AN56" s="1">
        <v>37144660</v>
      </c>
      <c r="AO56" s="1">
        <v>6892402</v>
      </c>
      <c r="AP56" s="1">
        <v>30252258</v>
      </c>
      <c r="AQ56" s="1">
        <v>7206678</v>
      </c>
      <c r="AR56" s="1">
        <v>1081002</v>
      </c>
      <c r="AS56" s="1">
        <v>795000</v>
      </c>
      <c r="AT56" s="1">
        <f t="shared" si="2"/>
        <v>46227340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15304244</v>
      </c>
      <c r="G57" s="1">
        <v>16675782</v>
      </c>
      <c r="H57" s="1">
        <v>0</v>
      </c>
      <c r="I57" s="1">
        <v>14642156</v>
      </c>
      <c r="J57" s="1">
        <v>0</v>
      </c>
      <c r="K57" s="1">
        <v>5500000</v>
      </c>
      <c r="L57" s="1">
        <v>0</v>
      </c>
      <c r="M57" s="1">
        <v>400000</v>
      </c>
      <c r="N57" s="1">
        <v>2705044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3998190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2461369</v>
      </c>
      <c r="AD57" s="1">
        <v>0</v>
      </c>
      <c r="AE57" s="1">
        <v>1932175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2936906</v>
      </c>
      <c r="AM57" s="1">
        <v>0</v>
      </c>
      <c r="AN57" s="1">
        <v>67655866</v>
      </c>
      <c r="AO57" s="1">
        <v>11992376</v>
      </c>
      <c r="AP57" s="1">
        <v>55663490</v>
      </c>
      <c r="AQ57" s="1">
        <v>13531173</v>
      </c>
      <c r="AR57" s="1">
        <v>2029676</v>
      </c>
      <c r="AS57" s="1">
        <v>0</v>
      </c>
      <c r="AT57" s="1">
        <f t="shared" si="2"/>
        <v>83216715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12397503</v>
      </c>
      <c r="G58" s="1">
        <v>12457221</v>
      </c>
      <c r="H58" s="1">
        <v>0</v>
      </c>
      <c r="I58" s="1">
        <v>12363425</v>
      </c>
      <c r="J58" s="1">
        <v>0</v>
      </c>
      <c r="K58" s="1">
        <v>4620000</v>
      </c>
      <c r="L58" s="1">
        <v>0</v>
      </c>
      <c r="M58" s="1">
        <v>400000</v>
      </c>
      <c r="N58" s="1">
        <v>2468000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1270000</v>
      </c>
      <c r="U58" s="1">
        <v>0</v>
      </c>
      <c r="V58" s="1">
        <v>17537402</v>
      </c>
      <c r="W58" s="1">
        <v>1100000</v>
      </c>
      <c r="X58" s="1">
        <v>1859625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1762857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10418108</v>
      </c>
      <c r="AM58" s="1">
        <v>0</v>
      </c>
      <c r="AN58" s="1">
        <v>78654141</v>
      </c>
      <c r="AO58" s="1">
        <v>19463502</v>
      </c>
      <c r="AP58" s="1">
        <v>59190639</v>
      </c>
      <c r="AQ58" s="1">
        <v>15476828</v>
      </c>
      <c r="AR58" s="1">
        <v>2321524</v>
      </c>
      <c r="AS58" s="1">
        <v>0</v>
      </c>
      <c r="AT58" s="1">
        <f t="shared" si="2"/>
        <v>96452493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17493795</v>
      </c>
      <c r="G59" s="1">
        <v>13061113</v>
      </c>
      <c r="H59" s="1">
        <v>0</v>
      </c>
      <c r="I59" s="1">
        <v>14363295</v>
      </c>
      <c r="J59" s="1">
        <v>0</v>
      </c>
      <c r="K59" s="1">
        <v>5500000</v>
      </c>
      <c r="L59" s="1">
        <v>0</v>
      </c>
      <c r="M59" s="1">
        <v>400000</v>
      </c>
      <c r="N59" s="1">
        <v>3056697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14512348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2183355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4366710</v>
      </c>
      <c r="AM59" s="1">
        <v>0</v>
      </c>
      <c r="AN59" s="1">
        <v>76037313</v>
      </c>
      <c r="AO59" s="1">
        <v>13794268</v>
      </c>
      <c r="AP59" s="1">
        <v>62243045</v>
      </c>
      <c r="AQ59" s="1">
        <v>15207463</v>
      </c>
      <c r="AR59" s="1">
        <v>2281119</v>
      </c>
      <c r="AS59" s="1">
        <v>0</v>
      </c>
      <c r="AT59" s="1">
        <f t="shared" si="2"/>
        <v>93525895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12077637</v>
      </c>
      <c r="G60" s="1">
        <v>6016208</v>
      </c>
      <c r="H60" s="1">
        <v>0</v>
      </c>
      <c r="I60" s="1">
        <v>11931126</v>
      </c>
      <c r="J60" s="1">
        <v>0</v>
      </c>
      <c r="K60" s="1">
        <v>4620000</v>
      </c>
      <c r="L60" s="1">
        <v>0</v>
      </c>
      <c r="M60" s="1">
        <v>400000</v>
      </c>
      <c r="N60" s="1">
        <v>2356047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16939359</v>
      </c>
      <c r="W60" s="1">
        <v>1100000</v>
      </c>
      <c r="X60" s="1">
        <v>1811646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1682890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10018275</v>
      </c>
      <c r="AM60" s="1">
        <v>0</v>
      </c>
      <c r="AN60" s="1">
        <v>72445726</v>
      </c>
      <c r="AO60" s="1">
        <v>19219350</v>
      </c>
      <c r="AP60" s="1">
        <v>53226376</v>
      </c>
      <c r="AQ60" s="1">
        <v>13790638</v>
      </c>
      <c r="AR60" s="1">
        <v>2068596</v>
      </c>
      <c r="AS60" s="1">
        <v>0</v>
      </c>
      <c r="AT60" s="1">
        <f t="shared" si="2"/>
        <v>88304960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24007920</v>
      </c>
      <c r="G61" s="1">
        <v>14261397</v>
      </c>
      <c r="H61" s="1">
        <v>0</v>
      </c>
      <c r="I61" s="1">
        <v>28577245</v>
      </c>
      <c r="J61" s="1">
        <v>0</v>
      </c>
      <c r="K61" s="1">
        <v>0</v>
      </c>
      <c r="L61" s="1">
        <v>0</v>
      </c>
      <c r="M61" s="1">
        <v>400000</v>
      </c>
      <c r="N61" s="1">
        <v>4216481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6585349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2425950</v>
      </c>
      <c r="AD61" s="1">
        <v>0</v>
      </c>
      <c r="AE61" s="1">
        <v>3011772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3614126</v>
      </c>
      <c r="AM61" s="1">
        <v>0</v>
      </c>
      <c r="AN61" s="1">
        <v>88200240</v>
      </c>
      <c r="AO61" s="1">
        <v>24139374</v>
      </c>
      <c r="AP61" s="1">
        <v>64060866</v>
      </c>
      <c r="AQ61" s="1">
        <v>15557766</v>
      </c>
      <c r="AR61" s="1">
        <v>2333665</v>
      </c>
      <c r="AS61" s="1">
        <v>0</v>
      </c>
      <c r="AT61" s="1">
        <f t="shared" si="2"/>
        <v>106091671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20022174</v>
      </c>
      <c r="G62" s="1">
        <v>11063898</v>
      </c>
      <c r="H62" s="1">
        <v>0</v>
      </c>
      <c r="I62" s="1">
        <v>18151532</v>
      </c>
      <c r="J62" s="1">
        <v>0</v>
      </c>
      <c r="K62" s="1">
        <v>5500000</v>
      </c>
      <c r="L62" s="1">
        <v>0</v>
      </c>
      <c r="M62" s="1">
        <v>400000</v>
      </c>
      <c r="N62" s="1">
        <v>3175569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17817004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2268263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4536526</v>
      </c>
      <c r="AM62" s="1">
        <v>0</v>
      </c>
      <c r="AN62" s="1">
        <v>85146235</v>
      </c>
      <c r="AO62" s="1">
        <v>14446264</v>
      </c>
      <c r="AP62" s="1">
        <v>70699971</v>
      </c>
      <c r="AQ62" s="1">
        <v>15557766</v>
      </c>
      <c r="AR62" s="1">
        <v>2333665</v>
      </c>
      <c r="AS62" s="1">
        <v>0</v>
      </c>
      <c r="AT62" s="1">
        <f t="shared" si="2"/>
        <v>103037666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13734471</v>
      </c>
      <c r="G63" s="1">
        <v>26782895</v>
      </c>
      <c r="H63" s="1">
        <v>0</v>
      </c>
      <c r="I63" s="1">
        <v>13290738</v>
      </c>
      <c r="J63" s="1">
        <v>0</v>
      </c>
      <c r="K63" s="1">
        <v>4620000</v>
      </c>
      <c r="L63" s="1">
        <v>0</v>
      </c>
      <c r="M63" s="1">
        <v>400000</v>
      </c>
      <c r="N63" s="1">
        <v>2737819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9984667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1955585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10769331</v>
      </c>
      <c r="AM63" s="1">
        <v>0</v>
      </c>
      <c r="AN63" s="1">
        <v>90928215</v>
      </c>
      <c r="AO63" s="1">
        <v>16947418</v>
      </c>
      <c r="AP63" s="1">
        <v>73980797</v>
      </c>
      <c r="AQ63" s="1">
        <v>15557766</v>
      </c>
      <c r="AR63" s="1">
        <v>2333665</v>
      </c>
      <c r="AS63" s="1">
        <v>0</v>
      </c>
      <c r="AT63" s="1">
        <f t="shared" si="2"/>
        <v>108819646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17844210</v>
      </c>
      <c r="G64" s="1">
        <v>14021843</v>
      </c>
      <c r="H64" s="1">
        <v>0</v>
      </c>
      <c r="I64" s="1">
        <v>16413789</v>
      </c>
      <c r="J64" s="1">
        <v>0</v>
      </c>
      <c r="K64" s="1">
        <v>5500000</v>
      </c>
      <c r="L64" s="1">
        <v>0</v>
      </c>
      <c r="M64" s="1">
        <v>400000</v>
      </c>
      <c r="N64" s="1">
        <v>3179342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9629138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2425950</v>
      </c>
      <c r="AD64" s="1">
        <v>0</v>
      </c>
      <c r="AE64" s="1">
        <v>2270959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3179342</v>
      </c>
      <c r="AM64" s="1">
        <v>0</v>
      </c>
      <c r="AN64" s="1">
        <v>78345842</v>
      </c>
      <c r="AO64" s="1">
        <v>10793175</v>
      </c>
      <c r="AP64" s="1">
        <v>67552667</v>
      </c>
      <c r="AQ64" s="1">
        <v>15192915</v>
      </c>
      <c r="AR64" s="1">
        <v>2278937</v>
      </c>
      <c r="AS64" s="1">
        <v>0</v>
      </c>
      <c r="AT64" s="1">
        <f t="shared" si="2"/>
        <v>95817694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15704660</v>
      </c>
      <c r="G65" s="1">
        <v>5319538</v>
      </c>
      <c r="H65" s="1">
        <v>0</v>
      </c>
      <c r="I65" s="1">
        <v>12713423</v>
      </c>
      <c r="J65" s="1">
        <v>0</v>
      </c>
      <c r="K65" s="1">
        <v>5500000</v>
      </c>
      <c r="L65" s="1">
        <v>0</v>
      </c>
      <c r="M65" s="1">
        <v>400000</v>
      </c>
      <c r="N65" s="1">
        <v>2712078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9119207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1937198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3409470</v>
      </c>
      <c r="AM65" s="1">
        <v>0</v>
      </c>
      <c r="AN65" s="1">
        <v>59026843</v>
      </c>
      <c r="AO65" s="1">
        <v>10091610</v>
      </c>
      <c r="AP65" s="1">
        <v>48935233</v>
      </c>
      <c r="AQ65" s="1">
        <v>11583115</v>
      </c>
      <c r="AR65" s="1">
        <v>1737467</v>
      </c>
      <c r="AS65" s="1">
        <v>0</v>
      </c>
      <c r="AT65" s="1">
        <f t="shared" si="2"/>
        <v>72347425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11567452</v>
      </c>
      <c r="G66" s="1">
        <v>18765675</v>
      </c>
      <c r="H66" s="1">
        <v>0</v>
      </c>
      <c r="I66" s="1">
        <v>10368970</v>
      </c>
      <c r="J66" s="1">
        <v>0</v>
      </c>
      <c r="K66" s="1">
        <v>3465000</v>
      </c>
      <c r="L66" s="1">
        <v>0</v>
      </c>
      <c r="M66" s="1">
        <v>400000</v>
      </c>
      <c r="N66" s="1">
        <v>2170746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14778546</v>
      </c>
      <c r="W66" s="1">
        <v>1100000</v>
      </c>
      <c r="X66" s="1">
        <v>1735118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1550533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8121833</v>
      </c>
      <c r="AM66" s="1">
        <v>0</v>
      </c>
      <c r="AN66" s="1">
        <v>75293873</v>
      </c>
      <c r="AO66" s="1">
        <v>13066011</v>
      </c>
      <c r="AP66" s="1">
        <v>62227862</v>
      </c>
      <c r="AQ66" s="1">
        <v>14804775</v>
      </c>
      <c r="AR66" s="1">
        <v>2220716</v>
      </c>
      <c r="AS66" s="1">
        <v>0</v>
      </c>
      <c r="AT66" s="1">
        <f t="shared" si="2"/>
        <v>92319364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19547766</v>
      </c>
      <c r="G67" s="1">
        <v>13934342</v>
      </c>
      <c r="H67" s="1">
        <v>0</v>
      </c>
      <c r="I67" s="1">
        <v>17023700</v>
      </c>
      <c r="J67" s="1">
        <v>0</v>
      </c>
      <c r="K67" s="1">
        <v>5500000</v>
      </c>
      <c r="L67" s="1">
        <v>0</v>
      </c>
      <c r="M67" s="1">
        <v>400000</v>
      </c>
      <c r="N67" s="1">
        <v>3009526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11019112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2149661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5159187</v>
      </c>
      <c r="AM67" s="1">
        <v>0</v>
      </c>
      <c r="AN67" s="1">
        <v>82335832</v>
      </c>
      <c r="AO67" s="1">
        <v>18232651</v>
      </c>
      <c r="AP67" s="1">
        <v>64103181</v>
      </c>
      <c r="AQ67" s="1">
        <v>15557766</v>
      </c>
      <c r="AR67" s="1">
        <v>2333665</v>
      </c>
      <c r="AS67" s="1">
        <v>0</v>
      </c>
      <c r="AT67" s="1">
        <f t="shared" ref="AT67:AT130" si="7">AS67+AR67+AQ67+AN67</f>
        <v>100227263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13628236</v>
      </c>
      <c r="G68" s="1">
        <v>8007394</v>
      </c>
      <c r="H68" s="1">
        <v>0</v>
      </c>
      <c r="I68" s="1">
        <v>11344595</v>
      </c>
      <c r="J68" s="1">
        <v>950000</v>
      </c>
      <c r="K68" s="1">
        <v>4125000</v>
      </c>
      <c r="L68" s="1">
        <v>0</v>
      </c>
      <c r="M68" s="1">
        <v>400000</v>
      </c>
      <c r="N68" s="1">
        <v>2053109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3025226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1466507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1759808</v>
      </c>
      <c r="AM68" s="1">
        <v>0</v>
      </c>
      <c r="AN68" s="1">
        <v>50082413</v>
      </c>
      <c r="AO68" s="1">
        <v>7267785</v>
      </c>
      <c r="AP68" s="1">
        <v>42814628</v>
      </c>
      <c r="AQ68" s="1">
        <v>9381975</v>
      </c>
      <c r="AR68" s="1">
        <v>1407296</v>
      </c>
      <c r="AS68" s="1">
        <v>0</v>
      </c>
      <c r="AT68" s="1">
        <f t="shared" si="7"/>
        <v>60871684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19704105</v>
      </c>
      <c r="G69" s="1">
        <v>14822935</v>
      </c>
      <c r="H69" s="1">
        <v>0</v>
      </c>
      <c r="I69" s="1">
        <v>18000909</v>
      </c>
      <c r="J69" s="1">
        <v>0</v>
      </c>
      <c r="K69" s="1">
        <v>4125000</v>
      </c>
      <c r="L69" s="1">
        <v>0</v>
      </c>
      <c r="M69" s="1">
        <v>400000</v>
      </c>
      <c r="N69" s="1">
        <v>3064244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10571108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2188746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4552592</v>
      </c>
      <c r="AM69" s="1">
        <v>0</v>
      </c>
      <c r="AN69" s="1">
        <v>80910908</v>
      </c>
      <c r="AO69" s="1">
        <v>14871731</v>
      </c>
      <c r="AP69" s="1">
        <v>66039177</v>
      </c>
      <c r="AQ69" s="1">
        <v>15557766</v>
      </c>
      <c r="AR69" s="1">
        <v>2333665</v>
      </c>
      <c r="AS69" s="1">
        <v>0</v>
      </c>
      <c r="AT69" s="1">
        <f t="shared" si="7"/>
        <v>98802339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13125349</v>
      </c>
      <c r="G70" s="1">
        <v>0</v>
      </c>
      <c r="H70" s="1">
        <v>0</v>
      </c>
      <c r="I70" s="1">
        <v>12254141</v>
      </c>
      <c r="J70" s="1">
        <v>0</v>
      </c>
      <c r="K70" s="1">
        <v>4620000</v>
      </c>
      <c r="L70" s="1">
        <v>0</v>
      </c>
      <c r="M70" s="1">
        <v>400000</v>
      </c>
      <c r="N70" s="1">
        <v>2520074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9342989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1800053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10057785</v>
      </c>
      <c r="AM70" s="1">
        <v>0</v>
      </c>
      <c r="AN70" s="1">
        <v>59570462</v>
      </c>
      <c r="AO70" s="1">
        <v>11294329</v>
      </c>
      <c r="AP70" s="1">
        <v>48276133</v>
      </c>
      <c r="AQ70" s="1">
        <v>11437839</v>
      </c>
      <c r="AR70" s="1">
        <v>1715676</v>
      </c>
      <c r="AS70" s="1">
        <v>0</v>
      </c>
      <c r="AT70" s="1">
        <f t="shared" si="7"/>
        <v>72723977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20354619</v>
      </c>
      <c r="G71" s="1">
        <v>10775035</v>
      </c>
      <c r="H71" s="1">
        <v>0</v>
      </c>
      <c r="I71" s="1">
        <v>18533266</v>
      </c>
      <c r="J71" s="1">
        <v>0</v>
      </c>
      <c r="K71" s="1">
        <v>5500000</v>
      </c>
      <c r="L71" s="1">
        <v>0</v>
      </c>
      <c r="M71" s="1">
        <v>400000</v>
      </c>
      <c r="N71" s="1">
        <v>3291924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14826613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2351374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4890859</v>
      </c>
      <c r="AM71" s="1">
        <v>0</v>
      </c>
      <c r="AN71" s="1">
        <v>84404959</v>
      </c>
      <c r="AO71" s="1">
        <v>19944337</v>
      </c>
      <c r="AP71" s="1">
        <v>64460622</v>
      </c>
      <c r="AQ71" s="1">
        <v>15557766</v>
      </c>
      <c r="AR71" s="1">
        <v>2333665</v>
      </c>
      <c r="AS71" s="1">
        <v>0</v>
      </c>
      <c r="AT71" s="1">
        <f t="shared" si="7"/>
        <v>102296390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13204009</v>
      </c>
      <c r="G72" s="1">
        <v>12634701</v>
      </c>
      <c r="H72" s="1">
        <v>0</v>
      </c>
      <c r="I72" s="1">
        <v>12358812</v>
      </c>
      <c r="J72" s="1">
        <v>0</v>
      </c>
      <c r="K72" s="1">
        <v>4620000</v>
      </c>
      <c r="L72" s="1">
        <v>0</v>
      </c>
      <c r="M72" s="1">
        <v>400000</v>
      </c>
      <c r="N72" s="1">
        <v>2549675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9420436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1821196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10153270</v>
      </c>
      <c r="AM72" s="1">
        <v>0</v>
      </c>
      <c r="AN72" s="1">
        <v>71512700</v>
      </c>
      <c r="AO72" s="1">
        <v>12980105</v>
      </c>
      <c r="AP72" s="1">
        <v>58532595</v>
      </c>
      <c r="AQ72" s="1">
        <v>14048540</v>
      </c>
      <c r="AR72" s="1">
        <v>2107281</v>
      </c>
      <c r="AS72" s="1">
        <v>0</v>
      </c>
      <c r="AT72" s="1">
        <f t="shared" si="7"/>
        <v>87668521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16219722</v>
      </c>
      <c r="G73" s="1">
        <v>15206681</v>
      </c>
      <c r="H73" s="1">
        <v>0</v>
      </c>
      <c r="I73" s="1">
        <v>15315094</v>
      </c>
      <c r="J73" s="1">
        <v>0</v>
      </c>
      <c r="K73" s="1">
        <v>5500000</v>
      </c>
      <c r="L73" s="1">
        <v>0</v>
      </c>
      <c r="M73" s="1">
        <v>400000</v>
      </c>
      <c r="N73" s="1">
        <v>2922102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22146331</v>
      </c>
      <c r="W73" s="1">
        <v>1100000</v>
      </c>
      <c r="X73" s="1">
        <v>2432958</v>
      </c>
      <c r="Y73" s="1">
        <v>0</v>
      </c>
      <c r="Z73" s="1">
        <v>0</v>
      </c>
      <c r="AA73" s="1">
        <v>0</v>
      </c>
      <c r="AB73" s="1">
        <v>0</v>
      </c>
      <c r="AC73" s="1">
        <v>3180690</v>
      </c>
      <c r="AD73" s="1">
        <v>0</v>
      </c>
      <c r="AE73" s="1">
        <v>2087216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10042211</v>
      </c>
      <c r="AM73" s="1">
        <v>0</v>
      </c>
      <c r="AN73" s="1">
        <v>98934274</v>
      </c>
      <c r="AO73" s="1">
        <v>17566068</v>
      </c>
      <c r="AP73" s="1">
        <v>81368206</v>
      </c>
      <c r="AQ73" s="1">
        <v>15557766</v>
      </c>
      <c r="AR73" s="1">
        <v>2333665</v>
      </c>
      <c r="AS73" s="1">
        <v>0</v>
      </c>
      <c r="AT73" s="1">
        <f t="shared" si="7"/>
        <v>116825705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16079266</v>
      </c>
      <c r="G74" s="1">
        <v>1592749</v>
      </c>
      <c r="H74" s="1">
        <v>0</v>
      </c>
      <c r="I74" s="1">
        <v>13412823</v>
      </c>
      <c r="J74" s="1">
        <v>0</v>
      </c>
      <c r="K74" s="1">
        <v>4125000</v>
      </c>
      <c r="L74" s="1">
        <v>0</v>
      </c>
      <c r="M74" s="1">
        <v>400000</v>
      </c>
      <c r="N74" s="1">
        <v>2830793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6106761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2021995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3235193</v>
      </c>
      <c r="AM74" s="1">
        <v>0</v>
      </c>
      <c r="AN74" s="1">
        <v>52174580</v>
      </c>
      <c r="AO74" s="1">
        <v>13089970</v>
      </c>
      <c r="AP74" s="1">
        <v>39084610</v>
      </c>
      <c r="AQ74" s="1">
        <v>10180916</v>
      </c>
      <c r="AR74" s="1">
        <v>1527137</v>
      </c>
      <c r="AS74" s="1">
        <v>0</v>
      </c>
      <c r="AT74" s="1">
        <f t="shared" si="7"/>
        <v>63882633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15975305</v>
      </c>
      <c r="G75" s="1">
        <v>10968614</v>
      </c>
      <c r="H75" s="1">
        <v>0</v>
      </c>
      <c r="I75" s="1">
        <v>13800670</v>
      </c>
      <c r="J75" s="1">
        <v>0</v>
      </c>
      <c r="K75" s="1">
        <v>5500000</v>
      </c>
      <c r="L75" s="1">
        <v>0</v>
      </c>
      <c r="M75" s="1">
        <v>400000</v>
      </c>
      <c r="N75" s="1">
        <v>2806804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7988922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2004860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3007290</v>
      </c>
      <c r="AM75" s="1">
        <v>0</v>
      </c>
      <c r="AN75" s="1">
        <v>64663734</v>
      </c>
      <c r="AO75" s="1">
        <v>13476607</v>
      </c>
      <c r="AP75" s="1">
        <v>51187127</v>
      </c>
      <c r="AQ75" s="1">
        <v>12710493</v>
      </c>
      <c r="AR75" s="1">
        <v>1906574</v>
      </c>
      <c r="AS75" s="1">
        <v>0</v>
      </c>
      <c r="AT75" s="1">
        <f t="shared" si="7"/>
        <v>79280801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12663554</v>
      </c>
      <c r="G76" s="1">
        <v>8277073</v>
      </c>
      <c r="H76" s="1">
        <v>0</v>
      </c>
      <c r="I76" s="1">
        <v>11278064</v>
      </c>
      <c r="J76" s="1">
        <v>0</v>
      </c>
      <c r="K76" s="1">
        <v>3465000</v>
      </c>
      <c r="L76" s="1">
        <v>0</v>
      </c>
      <c r="M76" s="1">
        <v>400000</v>
      </c>
      <c r="N76" s="1">
        <v>2339823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8639944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1671302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8812972</v>
      </c>
      <c r="AM76" s="1">
        <v>0</v>
      </c>
      <c r="AN76" s="1">
        <v>61817265</v>
      </c>
      <c r="AO76" s="1">
        <v>12825226</v>
      </c>
      <c r="AP76" s="1">
        <v>48992039</v>
      </c>
      <c r="AQ76" s="1">
        <v>12109453</v>
      </c>
      <c r="AR76" s="1">
        <v>1816418</v>
      </c>
      <c r="AS76" s="1">
        <v>0</v>
      </c>
      <c r="AT76" s="1">
        <f t="shared" si="7"/>
        <v>75743136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12224348</v>
      </c>
      <c r="G77" s="1">
        <v>5593741</v>
      </c>
      <c r="H77" s="1">
        <v>0</v>
      </c>
      <c r="I77" s="1">
        <v>10489912</v>
      </c>
      <c r="J77" s="1">
        <v>0</v>
      </c>
      <c r="K77" s="1">
        <v>4620000</v>
      </c>
      <c r="L77" s="1">
        <v>0</v>
      </c>
      <c r="M77" s="1">
        <v>400000</v>
      </c>
      <c r="N77" s="1">
        <v>2355191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7298716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1682280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4306635</v>
      </c>
      <c r="AM77" s="1">
        <v>0</v>
      </c>
      <c r="AN77" s="1">
        <v>51182092</v>
      </c>
      <c r="AO77" s="1">
        <v>9037179</v>
      </c>
      <c r="AP77" s="1">
        <v>42144913</v>
      </c>
      <c r="AQ77" s="1">
        <v>10014165</v>
      </c>
      <c r="AR77" s="1">
        <v>1502125</v>
      </c>
      <c r="AS77" s="1">
        <v>0</v>
      </c>
      <c r="AT77" s="1">
        <f t="shared" si="7"/>
        <v>62698382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12959730</v>
      </c>
      <c r="G78" s="1">
        <v>9910387</v>
      </c>
      <c r="H78" s="1">
        <v>0</v>
      </c>
      <c r="I78" s="1">
        <v>12268381</v>
      </c>
      <c r="J78" s="1">
        <v>0</v>
      </c>
      <c r="K78" s="1">
        <v>4620000</v>
      </c>
      <c r="L78" s="1">
        <v>0</v>
      </c>
      <c r="M78" s="1">
        <v>400000</v>
      </c>
      <c r="N78" s="1">
        <v>2459210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9236484</v>
      </c>
      <c r="W78" s="1">
        <v>1100000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1756579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9860287</v>
      </c>
      <c r="AM78" s="1">
        <v>0</v>
      </c>
      <c r="AN78" s="1">
        <v>66952327</v>
      </c>
      <c r="AO78" s="1">
        <v>13086959</v>
      </c>
      <c r="AP78" s="1">
        <v>53865368</v>
      </c>
      <c r="AQ78" s="1">
        <v>12914212</v>
      </c>
      <c r="AR78" s="1">
        <v>1937132</v>
      </c>
      <c r="AS78" s="1">
        <v>0</v>
      </c>
      <c r="AT78" s="1">
        <f t="shared" si="7"/>
        <v>81803671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11142552</v>
      </c>
      <c r="G79" s="1">
        <v>5247336</v>
      </c>
      <c r="H79" s="1">
        <v>0</v>
      </c>
      <c r="I79" s="1">
        <v>8650431</v>
      </c>
      <c r="J79" s="1">
        <v>0</v>
      </c>
      <c r="K79" s="1">
        <v>4620000</v>
      </c>
      <c r="L79" s="1">
        <v>0</v>
      </c>
      <c r="M79" s="1">
        <v>400000</v>
      </c>
      <c r="N79" s="1">
        <v>1952238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6224297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1394456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3346693</v>
      </c>
      <c r="AM79" s="1">
        <v>0</v>
      </c>
      <c r="AN79" s="1">
        <v>45189272</v>
      </c>
      <c r="AO79" s="1">
        <v>7104230</v>
      </c>
      <c r="AP79" s="1">
        <v>38085042</v>
      </c>
      <c r="AQ79" s="1">
        <v>8815601</v>
      </c>
      <c r="AR79" s="1">
        <v>1322340</v>
      </c>
      <c r="AS79" s="1">
        <v>0</v>
      </c>
      <c r="AT79" s="1">
        <f t="shared" si="7"/>
        <v>55327213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10935158</v>
      </c>
      <c r="G80" s="1">
        <v>8087863</v>
      </c>
      <c r="H80" s="1">
        <v>0</v>
      </c>
      <c r="I80" s="1">
        <v>10063568</v>
      </c>
      <c r="J80" s="1">
        <v>0</v>
      </c>
      <c r="K80" s="1">
        <v>4620000</v>
      </c>
      <c r="L80" s="1">
        <v>0</v>
      </c>
      <c r="M80" s="1">
        <v>400000</v>
      </c>
      <c r="N80" s="1">
        <v>2098634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5208764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1499024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2818165</v>
      </c>
      <c r="AM80" s="1">
        <v>0</v>
      </c>
      <c r="AN80" s="1">
        <v>48101176</v>
      </c>
      <c r="AO80" s="1">
        <v>10217638</v>
      </c>
      <c r="AP80" s="1">
        <v>37883538</v>
      </c>
      <c r="AQ80" s="1">
        <v>9366235</v>
      </c>
      <c r="AR80" s="1">
        <v>1404935</v>
      </c>
      <c r="AS80" s="1">
        <v>0</v>
      </c>
      <c r="AT80" s="1">
        <f t="shared" si="7"/>
        <v>58872346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17558931</v>
      </c>
      <c r="G81" s="1">
        <v>956188</v>
      </c>
      <c r="H81" s="1">
        <v>0</v>
      </c>
      <c r="I81" s="1">
        <v>15507383</v>
      </c>
      <c r="J81" s="1">
        <v>0</v>
      </c>
      <c r="K81" s="1">
        <v>5500000</v>
      </c>
      <c r="L81" s="1">
        <v>0</v>
      </c>
      <c r="M81" s="1">
        <v>400000</v>
      </c>
      <c r="N81" s="1">
        <v>2457868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3973766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1755619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2457868</v>
      </c>
      <c r="AM81" s="1">
        <v>0</v>
      </c>
      <c r="AN81" s="1">
        <v>56271430</v>
      </c>
      <c r="AO81" s="1">
        <v>11950259</v>
      </c>
      <c r="AP81" s="1">
        <v>44321171</v>
      </c>
      <c r="AQ81" s="1">
        <v>10333525</v>
      </c>
      <c r="AR81" s="1">
        <v>1550029</v>
      </c>
      <c r="AS81" s="1">
        <v>0</v>
      </c>
      <c r="AT81" s="1">
        <f t="shared" si="7"/>
        <v>68154984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17036918</v>
      </c>
      <c r="G82" s="1">
        <v>19325662</v>
      </c>
      <c r="H82" s="1">
        <v>0</v>
      </c>
      <c r="I82" s="1">
        <v>14441670</v>
      </c>
      <c r="J82" s="1">
        <v>0</v>
      </c>
      <c r="K82" s="1">
        <v>5500000</v>
      </c>
      <c r="L82" s="1">
        <v>0</v>
      </c>
      <c r="M82" s="1">
        <v>400000</v>
      </c>
      <c r="N82" s="1">
        <v>2889738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8850681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2064099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3797941</v>
      </c>
      <c r="AM82" s="1">
        <v>0</v>
      </c>
      <c r="AN82" s="1">
        <v>75406709</v>
      </c>
      <c r="AO82" s="1">
        <v>16262707</v>
      </c>
      <c r="AP82" s="1">
        <v>59144002</v>
      </c>
      <c r="AQ82" s="1">
        <v>15081342</v>
      </c>
      <c r="AR82" s="1">
        <v>2262201</v>
      </c>
      <c r="AS82" s="1">
        <v>0</v>
      </c>
      <c r="AT82" s="1">
        <f t="shared" si="7"/>
        <v>92750252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11989989</v>
      </c>
      <c r="G83" s="1">
        <v>5838535</v>
      </c>
      <c r="H83" s="1">
        <v>0</v>
      </c>
      <c r="I83" s="1">
        <v>11231324</v>
      </c>
      <c r="J83" s="1">
        <v>0</v>
      </c>
      <c r="K83" s="1">
        <v>4620000</v>
      </c>
      <c r="L83" s="1">
        <v>0</v>
      </c>
      <c r="M83" s="1">
        <v>400000</v>
      </c>
      <c r="N83" s="1">
        <v>2300297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8464582</v>
      </c>
      <c r="W83" s="1">
        <v>1100000</v>
      </c>
      <c r="X83" s="1">
        <v>1798498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1643069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8854817</v>
      </c>
      <c r="AM83" s="1">
        <v>0</v>
      </c>
      <c r="AN83" s="1">
        <v>59511111</v>
      </c>
      <c r="AO83" s="1">
        <v>15728068</v>
      </c>
      <c r="AP83" s="1">
        <v>43783043</v>
      </c>
      <c r="AQ83" s="1">
        <v>11648222</v>
      </c>
      <c r="AR83" s="1">
        <v>1747233</v>
      </c>
      <c r="AS83" s="1">
        <v>0</v>
      </c>
      <c r="AT83" s="1">
        <f t="shared" si="7"/>
        <v>72906566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21912618</v>
      </c>
      <c r="G84" s="1">
        <v>17091615</v>
      </c>
      <c r="H84" s="1">
        <v>0</v>
      </c>
      <c r="I84" s="1">
        <v>23769303</v>
      </c>
      <c r="J84" s="1">
        <v>0</v>
      </c>
      <c r="K84" s="1">
        <v>0</v>
      </c>
      <c r="L84" s="1">
        <v>0</v>
      </c>
      <c r="M84" s="1">
        <v>400000</v>
      </c>
      <c r="N84" s="1">
        <v>3483125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5463853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2487946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2985536</v>
      </c>
      <c r="AM84" s="1">
        <v>0</v>
      </c>
      <c r="AN84" s="1">
        <v>79805265</v>
      </c>
      <c r="AO84" s="1">
        <v>15882166</v>
      </c>
      <c r="AP84" s="1">
        <v>63923099</v>
      </c>
      <c r="AQ84" s="1">
        <v>15557766</v>
      </c>
      <c r="AR84" s="1">
        <v>2333665</v>
      </c>
      <c r="AS84" s="1">
        <v>0</v>
      </c>
      <c r="AT84" s="1">
        <f t="shared" si="7"/>
        <v>97696696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12137925</v>
      </c>
      <c r="G85" s="1">
        <v>2471936</v>
      </c>
      <c r="H85" s="1">
        <v>0</v>
      </c>
      <c r="I85" s="1">
        <v>10401177</v>
      </c>
      <c r="J85" s="1">
        <v>950000</v>
      </c>
      <c r="K85" s="1">
        <v>3465000</v>
      </c>
      <c r="L85" s="1">
        <v>0</v>
      </c>
      <c r="M85" s="1">
        <v>400000</v>
      </c>
      <c r="N85" s="1">
        <v>2321950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7167517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1658535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3980485</v>
      </c>
      <c r="AM85" s="1">
        <v>0</v>
      </c>
      <c r="AN85" s="1">
        <v>48435794</v>
      </c>
      <c r="AO85" s="1">
        <v>8864626</v>
      </c>
      <c r="AP85" s="1">
        <v>39571168</v>
      </c>
      <c r="AQ85" s="1">
        <v>9020905</v>
      </c>
      <c r="AR85" s="1">
        <v>1353136</v>
      </c>
      <c r="AS85" s="1">
        <v>0</v>
      </c>
      <c r="AT85" s="1">
        <f t="shared" si="7"/>
        <v>58809835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19393224</v>
      </c>
      <c r="G86" s="1">
        <v>2808020</v>
      </c>
      <c r="H86" s="1">
        <v>0</v>
      </c>
      <c r="I86" s="1">
        <v>17322991</v>
      </c>
      <c r="J86" s="1">
        <v>0</v>
      </c>
      <c r="K86" s="1">
        <v>5500000</v>
      </c>
      <c r="L86" s="1">
        <v>0</v>
      </c>
      <c r="M86" s="1">
        <v>400000</v>
      </c>
      <c r="N86" s="1">
        <v>2955436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17334181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2111026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5066462</v>
      </c>
      <c r="AM86" s="1">
        <v>0</v>
      </c>
      <c r="AN86" s="1">
        <v>75261340</v>
      </c>
      <c r="AO86" s="1">
        <v>11880546</v>
      </c>
      <c r="AP86" s="1">
        <v>63380794</v>
      </c>
      <c r="AQ86" s="1">
        <v>14798268</v>
      </c>
      <c r="AR86" s="1">
        <v>2219740</v>
      </c>
      <c r="AS86" s="1">
        <v>0</v>
      </c>
      <c r="AT86" s="1">
        <f t="shared" si="7"/>
        <v>92279348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16289226</v>
      </c>
      <c r="G87" s="1">
        <v>0</v>
      </c>
      <c r="H87" s="1">
        <v>0</v>
      </c>
      <c r="I87" s="1">
        <v>13657236</v>
      </c>
      <c r="J87" s="1">
        <v>0</v>
      </c>
      <c r="K87" s="1">
        <v>4125000</v>
      </c>
      <c r="L87" s="1">
        <v>0</v>
      </c>
      <c r="M87" s="1">
        <v>400000</v>
      </c>
      <c r="N87" s="1">
        <v>2911442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6505028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2079602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3327363</v>
      </c>
      <c r="AM87" s="1">
        <v>0</v>
      </c>
      <c r="AN87" s="1">
        <v>50394897</v>
      </c>
      <c r="AO87" s="1">
        <v>9675411</v>
      </c>
      <c r="AP87" s="1">
        <v>40719486</v>
      </c>
      <c r="AQ87" s="1">
        <v>10078979</v>
      </c>
      <c r="AR87" s="1">
        <v>1511847</v>
      </c>
      <c r="AS87" s="1">
        <v>0</v>
      </c>
      <c r="AT87" s="1">
        <f t="shared" si="7"/>
        <v>61985723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12259559</v>
      </c>
      <c r="G88" s="1">
        <v>0</v>
      </c>
      <c r="H88" s="1">
        <v>0</v>
      </c>
      <c r="I88" s="1">
        <v>10800699</v>
      </c>
      <c r="J88" s="1">
        <v>0</v>
      </c>
      <c r="K88" s="1">
        <v>3465000</v>
      </c>
      <c r="L88" s="1">
        <v>0</v>
      </c>
      <c r="M88" s="1">
        <v>400000</v>
      </c>
      <c r="N88" s="1">
        <v>2368076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7327154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1691483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4059559</v>
      </c>
      <c r="AM88" s="1">
        <v>0</v>
      </c>
      <c r="AN88" s="1">
        <v>43471530</v>
      </c>
      <c r="AO88" s="1">
        <v>9849357</v>
      </c>
      <c r="AP88" s="1">
        <v>33622173</v>
      </c>
      <c r="AQ88" s="1">
        <v>8694306</v>
      </c>
      <c r="AR88" s="1">
        <v>1304146</v>
      </c>
      <c r="AS88" s="1">
        <v>0</v>
      </c>
      <c r="AT88" s="1">
        <f t="shared" si="7"/>
        <v>53469982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13125484</v>
      </c>
      <c r="G89" s="1">
        <v>23196880</v>
      </c>
      <c r="H89" s="1">
        <v>0</v>
      </c>
      <c r="I89" s="1">
        <v>12732578</v>
      </c>
      <c r="J89" s="1">
        <v>0</v>
      </c>
      <c r="K89" s="1">
        <v>4620000</v>
      </c>
      <c r="L89" s="1">
        <v>0</v>
      </c>
      <c r="M89" s="1">
        <v>400000</v>
      </c>
      <c r="N89" s="1">
        <v>2523226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9458531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1802304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10065478</v>
      </c>
      <c r="AM89" s="1">
        <v>0</v>
      </c>
      <c r="AN89" s="1">
        <v>82263304</v>
      </c>
      <c r="AO89" s="1">
        <v>16136171</v>
      </c>
      <c r="AP89" s="1">
        <v>66127133</v>
      </c>
      <c r="AQ89" s="1">
        <v>15557766</v>
      </c>
      <c r="AR89" s="1">
        <v>2333665</v>
      </c>
      <c r="AS89" s="1">
        <v>0</v>
      </c>
      <c r="AT89" s="1">
        <f t="shared" si="7"/>
        <v>100154735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11851333</v>
      </c>
      <c r="G90" s="1">
        <v>10278815</v>
      </c>
      <c r="H90" s="1">
        <v>0</v>
      </c>
      <c r="I90" s="1">
        <v>10687147</v>
      </c>
      <c r="J90" s="1">
        <v>0</v>
      </c>
      <c r="K90" s="1">
        <v>4620000</v>
      </c>
      <c r="L90" s="1">
        <v>0</v>
      </c>
      <c r="M90" s="1">
        <v>400000</v>
      </c>
      <c r="N90" s="1">
        <v>2243909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11074818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1602791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5257157</v>
      </c>
      <c r="AM90" s="1">
        <v>0</v>
      </c>
      <c r="AN90" s="1">
        <v>59115970</v>
      </c>
      <c r="AO90" s="1">
        <v>10539483</v>
      </c>
      <c r="AP90" s="1">
        <v>48576487</v>
      </c>
      <c r="AQ90" s="1">
        <v>11823194</v>
      </c>
      <c r="AR90" s="1">
        <v>1773479</v>
      </c>
      <c r="AS90" s="1">
        <v>0</v>
      </c>
      <c r="AT90" s="1">
        <f t="shared" si="7"/>
        <v>72712643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15100191</v>
      </c>
      <c r="G91" s="1">
        <v>14110414</v>
      </c>
      <c r="H91" s="1">
        <v>0</v>
      </c>
      <c r="I91" s="1">
        <v>14086918</v>
      </c>
      <c r="J91" s="1">
        <v>0</v>
      </c>
      <c r="K91" s="1">
        <v>5500000</v>
      </c>
      <c r="L91" s="1">
        <v>0</v>
      </c>
      <c r="M91" s="1">
        <v>400000</v>
      </c>
      <c r="N91" s="1">
        <v>2530266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13062496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1807333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4337599</v>
      </c>
      <c r="AM91" s="1">
        <v>0</v>
      </c>
      <c r="AN91" s="1">
        <v>74416486</v>
      </c>
      <c r="AO91" s="1">
        <v>14529710</v>
      </c>
      <c r="AP91" s="1">
        <v>59886776</v>
      </c>
      <c r="AQ91" s="1">
        <v>14407043</v>
      </c>
      <c r="AR91" s="1">
        <v>2161057</v>
      </c>
      <c r="AS91" s="1">
        <v>0</v>
      </c>
      <c r="AT91" s="1">
        <f t="shared" si="7"/>
        <v>90984586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18347370</v>
      </c>
      <c r="G92" s="1">
        <v>18872918</v>
      </c>
      <c r="H92" s="1">
        <v>0</v>
      </c>
      <c r="I92" s="1">
        <v>21891773</v>
      </c>
      <c r="J92" s="1">
        <v>0</v>
      </c>
      <c r="K92" s="1">
        <v>4620000</v>
      </c>
      <c r="L92" s="1">
        <v>0</v>
      </c>
      <c r="M92" s="1">
        <v>400000</v>
      </c>
      <c r="N92" s="1">
        <v>2893170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9906027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2066550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3719790</v>
      </c>
      <c r="AM92" s="1">
        <v>0</v>
      </c>
      <c r="AN92" s="1">
        <v>86198867</v>
      </c>
      <c r="AO92" s="1">
        <v>19634009</v>
      </c>
      <c r="AP92" s="1">
        <v>66564858</v>
      </c>
      <c r="AQ92" s="1">
        <v>15557766</v>
      </c>
      <c r="AR92" s="1">
        <v>2333665</v>
      </c>
      <c r="AS92" s="1">
        <v>0</v>
      </c>
      <c r="AT92" s="1">
        <f t="shared" si="7"/>
        <v>104090298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17524344</v>
      </c>
      <c r="G93" s="1">
        <v>8958990</v>
      </c>
      <c r="H93" s="1">
        <v>0</v>
      </c>
      <c r="I93" s="1">
        <v>15619708</v>
      </c>
      <c r="J93" s="1">
        <v>0</v>
      </c>
      <c r="K93" s="1">
        <v>5500000</v>
      </c>
      <c r="L93" s="1">
        <v>0</v>
      </c>
      <c r="M93" s="1">
        <v>400000</v>
      </c>
      <c r="N93" s="1">
        <v>3067389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15723273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2190992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4381984</v>
      </c>
      <c r="AM93" s="1">
        <v>0</v>
      </c>
      <c r="AN93" s="1">
        <v>76847949</v>
      </c>
      <c r="AO93" s="1">
        <v>16516195</v>
      </c>
      <c r="AP93" s="1">
        <v>60331754</v>
      </c>
      <c r="AQ93" s="1">
        <v>14893336</v>
      </c>
      <c r="AR93" s="1">
        <v>2234000</v>
      </c>
      <c r="AS93" s="1">
        <v>0</v>
      </c>
      <c r="AT93" s="1">
        <f t="shared" si="7"/>
        <v>93975285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19630428</v>
      </c>
      <c r="G94" s="1">
        <v>26806871</v>
      </c>
      <c r="H94" s="1">
        <v>0</v>
      </c>
      <c r="I94" s="1">
        <v>18121083</v>
      </c>
      <c r="J94" s="1">
        <v>0</v>
      </c>
      <c r="K94" s="1">
        <v>4125000</v>
      </c>
      <c r="L94" s="1">
        <v>0</v>
      </c>
      <c r="M94" s="1">
        <v>400000</v>
      </c>
      <c r="N94" s="1">
        <v>3038457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8451146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2776365</v>
      </c>
      <c r="AD94" s="1">
        <v>0</v>
      </c>
      <c r="AE94" s="1">
        <v>2170327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3255490</v>
      </c>
      <c r="AM94" s="1">
        <v>0</v>
      </c>
      <c r="AN94" s="1">
        <v>89875167</v>
      </c>
      <c r="AO94" s="1">
        <v>16837157</v>
      </c>
      <c r="AP94" s="1">
        <v>73038010</v>
      </c>
      <c r="AQ94" s="1">
        <v>15557766</v>
      </c>
      <c r="AR94" s="1">
        <v>2333665</v>
      </c>
      <c r="AS94" s="1">
        <v>0</v>
      </c>
      <c r="AT94" s="1">
        <f t="shared" si="7"/>
        <v>107766598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11551286</v>
      </c>
      <c r="G95" s="1">
        <v>13497703</v>
      </c>
      <c r="H95" s="1">
        <v>0</v>
      </c>
      <c r="I95" s="1">
        <v>10200003</v>
      </c>
      <c r="J95" s="1">
        <v>0</v>
      </c>
      <c r="K95" s="1">
        <v>4620000</v>
      </c>
      <c r="L95" s="1">
        <v>0</v>
      </c>
      <c r="M95" s="1">
        <v>400000</v>
      </c>
      <c r="N95" s="1">
        <v>2135898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8005368</v>
      </c>
      <c r="W95" s="1">
        <v>1100000</v>
      </c>
      <c r="X95" s="1">
        <v>1732693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1525641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8652567</v>
      </c>
      <c r="AM95" s="1">
        <v>0</v>
      </c>
      <c r="AN95" s="1">
        <v>65802428</v>
      </c>
      <c r="AO95" s="1">
        <v>13415881</v>
      </c>
      <c r="AP95" s="1">
        <v>52386547</v>
      </c>
      <c r="AQ95" s="1">
        <v>12684232</v>
      </c>
      <c r="AR95" s="1">
        <v>1902635</v>
      </c>
      <c r="AS95" s="1">
        <v>0</v>
      </c>
      <c r="AT95" s="1">
        <f t="shared" si="7"/>
        <v>80389295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11972678</v>
      </c>
      <c r="G96" s="1">
        <v>11995176</v>
      </c>
      <c r="H96" s="1">
        <v>0</v>
      </c>
      <c r="I96" s="1">
        <v>10966477</v>
      </c>
      <c r="J96" s="1">
        <v>0</v>
      </c>
      <c r="K96" s="1">
        <v>4620000</v>
      </c>
      <c r="L96" s="1">
        <v>0</v>
      </c>
      <c r="M96" s="1">
        <v>400000</v>
      </c>
      <c r="N96" s="1">
        <v>2279269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9851552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1628049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4428294</v>
      </c>
      <c r="AM96" s="1">
        <v>0</v>
      </c>
      <c r="AN96" s="1">
        <v>59241495</v>
      </c>
      <c r="AO96" s="1">
        <v>11448570</v>
      </c>
      <c r="AP96" s="1">
        <v>47792925</v>
      </c>
      <c r="AQ96" s="1">
        <v>11848299</v>
      </c>
      <c r="AR96" s="1">
        <v>1777245</v>
      </c>
      <c r="AS96" s="1">
        <v>0</v>
      </c>
      <c r="AT96" s="1">
        <f t="shared" si="7"/>
        <v>72867039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7646962</v>
      </c>
      <c r="G97" s="1">
        <v>1524408</v>
      </c>
      <c r="H97" s="1">
        <v>0</v>
      </c>
      <c r="I97" s="1">
        <v>5582282</v>
      </c>
      <c r="J97" s="1">
        <v>0</v>
      </c>
      <c r="K97" s="1">
        <v>0</v>
      </c>
      <c r="L97" s="1">
        <v>3620700</v>
      </c>
      <c r="M97" s="1">
        <v>400000</v>
      </c>
      <c r="N97" s="1">
        <v>4024717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5258045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3131199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2439053</v>
      </c>
      <c r="AK97" s="1">
        <v>0</v>
      </c>
      <c r="AL97" s="1">
        <v>0</v>
      </c>
      <c r="AM97" s="1">
        <v>0</v>
      </c>
      <c r="AN97" s="1">
        <v>35838635</v>
      </c>
      <c r="AO97" s="1">
        <v>4529325</v>
      </c>
      <c r="AP97" s="1">
        <v>31309310</v>
      </c>
      <c r="AQ97" s="1">
        <v>6945473</v>
      </c>
      <c r="AR97" s="1">
        <v>1041821</v>
      </c>
      <c r="AS97" s="1">
        <v>530000</v>
      </c>
      <c r="AT97" s="1">
        <f t="shared" si="7"/>
        <v>44355929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13300508</v>
      </c>
      <c r="G98" s="1">
        <v>8337091</v>
      </c>
      <c r="H98" s="1">
        <v>0</v>
      </c>
      <c r="I98" s="1">
        <v>12335446</v>
      </c>
      <c r="J98" s="1">
        <v>0</v>
      </c>
      <c r="K98" s="1">
        <v>4620000</v>
      </c>
      <c r="L98" s="1">
        <v>0</v>
      </c>
      <c r="M98" s="1">
        <v>400000</v>
      </c>
      <c r="N98" s="1">
        <v>2555722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9212336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1825515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4746339</v>
      </c>
      <c r="AM98" s="1">
        <v>0</v>
      </c>
      <c r="AN98" s="1">
        <v>58432957</v>
      </c>
      <c r="AO98" s="1">
        <v>13303045</v>
      </c>
      <c r="AP98" s="1">
        <v>45129912</v>
      </c>
      <c r="AQ98" s="1">
        <v>11686591</v>
      </c>
      <c r="AR98" s="1">
        <v>1752989</v>
      </c>
      <c r="AS98" s="1">
        <v>0</v>
      </c>
      <c r="AT98" s="1">
        <f t="shared" si="7"/>
        <v>71872537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12343765</v>
      </c>
      <c r="G99" s="1">
        <v>279350</v>
      </c>
      <c r="H99" s="1">
        <v>0</v>
      </c>
      <c r="I99" s="1">
        <v>10459567</v>
      </c>
      <c r="J99" s="1">
        <v>950000</v>
      </c>
      <c r="K99" s="1">
        <v>3465000</v>
      </c>
      <c r="L99" s="1">
        <v>0</v>
      </c>
      <c r="M99" s="1">
        <v>400000</v>
      </c>
      <c r="N99" s="1">
        <v>2396801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1270000</v>
      </c>
      <c r="U99" s="1">
        <v>0</v>
      </c>
      <c r="V99" s="1">
        <v>7289919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1712000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4108800</v>
      </c>
      <c r="AM99" s="1">
        <v>0</v>
      </c>
      <c r="AN99" s="1">
        <v>46886471</v>
      </c>
      <c r="AO99" s="1">
        <v>5717214</v>
      </c>
      <c r="AP99" s="1">
        <v>41169257</v>
      </c>
      <c r="AQ99" s="1">
        <v>8711040</v>
      </c>
      <c r="AR99" s="1">
        <v>1306656</v>
      </c>
      <c r="AS99" s="1">
        <v>0</v>
      </c>
      <c r="AT99" s="1">
        <f t="shared" si="7"/>
        <v>56904167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14341803</v>
      </c>
      <c r="G100" s="1">
        <v>0</v>
      </c>
      <c r="H100" s="1">
        <v>0</v>
      </c>
      <c r="I100" s="1">
        <v>12697002</v>
      </c>
      <c r="J100" s="1">
        <v>0</v>
      </c>
      <c r="K100" s="1">
        <v>4125000</v>
      </c>
      <c r="L100" s="1">
        <v>0</v>
      </c>
      <c r="M100" s="1">
        <v>400000</v>
      </c>
      <c r="N100" s="1">
        <v>2322196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3317604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1658711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2156325</v>
      </c>
      <c r="AM100" s="1">
        <v>0</v>
      </c>
      <c r="AN100" s="1">
        <v>42118641</v>
      </c>
      <c r="AO100" s="1">
        <v>5954608</v>
      </c>
      <c r="AP100" s="1">
        <v>36164033</v>
      </c>
      <c r="AQ100" s="1">
        <v>8423728</v>
      </c>
      <c r="AR100" s="1">
        <v>1263559</v>
      </c>
      <c r="AS100" s="1">
        <v>0</v>
      </c>
      <c r="AT100" s="1">
        <f t="shared" si="7"/>
        <v>51805928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12720023</v>
      </c>
      <c r="G101" s="1">
        <v>5944527</v>
      </c>
      <c r="H101" s="1">
        <v>0</v>
      </c>
      <c r="I101" s="1">
        <v>11240682</v>
      </c>
      <c r="J101" s="1">
        <v>0</v>
      </c>
      <c r="K101" s="1">
        <v>3465000</v>
      </c>
      <c r="L101" s="1">
        <v>0</v>
      </c>
      <c r="M101" s="1">
        <v>400000</v>
      </c>
      <c r="N101" s="1">
        <v>2358967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8618246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1684976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8668738</v>
      </c>
      <c r="AM101" s="1">
        <v>0</v>
      </c>
      <c r="AN101" s="1">
        <v>58109162</v>
      </c>
      <c r="AO101" s="1">
        <v>10765335</v>
      </c>
      <c r="AP101" s="1">
        <v>47343827</v>
      </c>
      <c r="AQ101" s="1">
        <v>11621832</v>
      </c>
      <c r="AR101" s="1">
        <v>1743275</v>
      </c>
      <c r="AS101" s="1">
        <v>0</v>
      </c>
      <c r="AT101" s="1">
        <f t="shared" si="7"/>
        <v>71474269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16282617</v>
      </c>
      <c r="G102" s="1">
        <v>11468550</v>
      </c>
      <c r="H102" s="1">
        <v>0</v>
      </c>
      <c r="I102" s="1">
        <v>14865178</v>
      </c>
      <c r="J102" s="1">
        <v>0</v>
      </c>
      <c r="K102" s="1">
        <v>5500000</v>
      </c>
      <c r="L102" s="1">
        <v>0</v>
      </c>
      <c r="M102" s="1">
        <v>400000</v>
      </c>
      <c r="N102" s="1">
        <v>2944115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22016648</v>
      </c>
      <c r="W102" s="1">
        <v>1100000</v>
      </c>
      <c r="X102" s="1">
        <v>2442393</v>
      </c>
      <c r="Y102" s="1">
        <v>0</v>
      </c>
      <c r="Z102" s="1">
        <v>0</v>
      </c>
      <c r="AA102" s="1">
        <v>0</v>
      </c>
      <c r="AB102" s="1">
        <v>0</v>
      </c>
      <c r="AC102" s="1">
        <v>3180690</v>
      </c>
      <c r="AD102" s="1">
        <v>0</v>
      </c>
      <c r="AE102" s="1">
        <v>2102939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10100074</v>
      </c>
      <c r="AM102" s="1">
        <v>0</v>
      </c>
      <c r="AN102" s="1">
        <v>92403204</v>
      </c>
      <c r="AO102" s="1">
        <v>14567960</v>
      </c>
      <c r="AP102" s="1">
        <v>77835244</v>
      </c>
      <c r="AQ102" s="1">
        <v>15557766</v>
      </c>
      <c r="AR102" s="1">
        <v>2333665</v>
      </c>
      <c r="AS102" s="1">
        <v>0</v>
      </c>
      <c r="AT102" s="1">
        <f t="shared" si="7"/>
        <v>110294635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7000889</v>
      </c>
      <c r="G103" s="1">
        <v>3227670</v>
      </c>
      <c r="H103" s="1">
        <v>0</v>
      </c>
      <c r="I103" s="1">
        <v>5320676</v>
      </c>
      <c r="J103" s="1">
        <v>0</v>
      </c>
      <c r="K103" s="1">
        <v>0</v>
      </c>
      <c r="L103" s="1">
        <v>3620700</v>
      </c>
      <c r="M103" s="1">
        <v>400000</v>
      </c>
      <c r="N103" s="1">
        <v>3684678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4964832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2944041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2295232</v>
      </c>
      <c r="AK103" s="1">
        <v>0</v>
      </c>
      <c r="AL103" s="1">
        <v>0</v>
      </c>
      <c r="AM103" s="1">
        <v>0</v>
      </c>
      <c r="AN103" s="1">
        <v>36781256</v>
      </c>
      <c r="AO103" s="1">
        <v>7232784</v>
      </c>
      <c r="AP103" s="1">
        <v>29548472</v>
      </c>
      <c r="AQ103" s="1">
        <v>6911744</v>
      </c>
      <c r="AR103" s="1">
        <v>1036762</v>
      </c>
      <c r="AS103" s="1">
        <v>1060000</v>
      </c>
      <c r="AT103" s="1">
        <f t="shared" si="7"/>
        <v>45789762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0</v>
      </c>
      <c r="G104" s="1">
        <v>726849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1111269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1838118</v>
      </c>
      <c r="AO104" s="1">
        <v>1838118</v>
      </c>
      <c r="AP104" s="1">
        <v>0</v>
      </c>
      <c r="AQ104" s="1">
        <v>0</v>
      </c>
      <c r="AR104" s="1">
        <v>0</v>
      </c>
      <c r="AS104" s="1">
        <v>0</v>
      </c>
      <c r="AT104" s="1">
        <f t="shared" si="7"/>
        <v>1838118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12992310</v>
      </c>
      <c r="G105" s="1">
        <v>30774817</v>
      </c>
      <c r="H105" s="1">
        <v>0</v>
      </c>
      <c r="I105" s="1">
        <v>12702292</v>
      </c>
      <c r="J105" s="1">
        <v>0</v>
      </c>
      <c r="K105" s="1">
        <v>4620000</v>
      </c>
      <c r="L105" s="1">
        <v>0</v>
      </c>
      <c r="M105" s="1">
        <v>400000</v>
      </c>
      <c r="N105" s="1">
        <v>2478063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18052125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1770045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10623864</v>
      </c>
      <c r="AM105" s="1">
        <v>0</v>
      </c>
      <c r="AN105" s="1">
        <v>100954901</v>
      </c>
      <c r="AO105" s="1">
        <v>20106630</v>
      </c>
      <c r="AP105" s="1">
        <v>80848271</v>
      </c>
      <c r="AQ105" s="1">
        <v>15557766</v>
      </c>
      <c r="AR105" s="1">
        <v>2333665</v>
      </c>
      <c r="AS105" s="1">
        <v>0</v>
      </c>
      <c r="AT105" s="1">
        <f t="shared" si="7"/>
        <v>118846332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17048139</v>
      </c>
      <c r="G106" s="1">
        <v>7668618</v>
      </c>
      <c r="H106" s="1">
        <v>0</v>
      </c>
      <c r="I106" s="1">
        <v>15192672</v>
      </c>
      <c r="J106" s="1">
        <v>0</v>
      </c>
      <c r="K106" s="1">
        <v>4125000</v>
      </c>
      <c r="L106" s="1">
        <v>0</v>
      </c>
      <c r="M106" s="1">
        <v>400000</v>
      </c>
      <c r="N106" s="1">
        <v>2900717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9215894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2425950</v>
      </c>
      <c r="AD106" s="1">
        <v>0</v>
      </c>
      <c r="AE106" s="1">
        <v>2071941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3729494</v>
      </c>
      <c r="AM106" s="1">
        <v>0</v>
      </c>
      <c r="AN106" s="1">
        <v>68259694</v>
      </c>
      <c r="AO106" s="1">
        <v>11842703</v>
      </c>
      <c r="AP106" s="1">
        <v>56416991</v>
      </c>
      <c r="AQ106" s="1">
        <v>13175685</v>
      </c>
      <c r="AR106" s="1">
        <v>1976353</v>
      </c>
      <c r="AS106" s="1">
        <v>0</v>
      </c>
      <c r="AT106" s="1">
        <f t="shared" si="7"/>
        <v>83411732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12264525</v>
      </c>
      <c r="G107" s="1">
        <v>2962937</v>
      </c>
      <c r="H107" s="1">
        <v>0</v>
      </c>
      <c r="I107" s="1">
        <v>10766618</v>
      </c>
      <c r="J107" s="1">
        <v>0</v>
      </c>
      <c r="K107" s="1">
        <v>4620000</v>
      </c>
      <c r="L107" s="1">
        <v>0</v>
      </c>
      <c r="M107" s="1">
        <v>400000</v>
      </c>
      <c r="N107" s="1">
        <v>2421458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15642199</v>
      </c>
      <c r="W107" s="1">
        <v>1100000</v>
      </c>
      <c r="X107" s="1">
        <v>1839679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1729612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7968797</v>
      </c>
      <c r="AM107" s="1">
        <v>0</v>
      </c>
      <c r="AN107" s="1">
        <v>63938363</v>
      </c>
      <c r="AO107" s="1">
        <v>18191959</v>
      </c>
      <c r="AP107" s="1">
        <v>45746404</v>
      </c>
      <c r="AQ107" s="1">
        <v>12343165</v>
      </c>
      <c r="AR107" s="1">
        <v>1851475</v>
      </c>
      <c r="AS107" s="1">
        <v>0</v>
      </c>
      <c r="AT107" s="1">
        <f t="shared" si="7"/>
        <v>78133003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7191568</v>
      </c>
      <c r="G108" s="1">
        <v>1639542</v>
      </c>
      <c r="H108" s="1">
        <v>0</v>
      </c>
      <c r="I108" s="1">
        <v>5321761</v>
      </c>
      <c r="J108" s="1">
        <v>0</v>
      </c>
      <c r="K108" s="1">
        <v>0</v>
      </c>
      <c r="L108" s="1">
        <v>3620700</v>
      </c>
      <c r="M108" s="1">
        <v>400000</v>
      </c>
      <c r="N108" s="1">
        <v>3810102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5039371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2991620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37946161</v>
      </c>
      <c r="AO108" s="1">
        <v>4480256</v>
      </c>
      <c r="AP108" s="1">
        <v>33465905</v>
      </c>
      <c r="AQ108" s="1">
        <v>6922471</v>
      </c>
      <c r="AR108" s="1">
        <v>1038371</v>
      </c>
      <c r="AS108" s="1">
        <v>390000</v>
      </c>
      <c r="AT108" s="1">
        <f t="shared" si="7"/>
        <v>46297003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11841481</v>
      </c>
      <c r="G109" s="1">
        <v>7235732</v>
      </c>
      <c r="H109" s="1">
        <v>0</v>
      </c>
      <c r="I109" s="1">
        <v>10531437</v>
      </c>
      <c r="J109" s="1">
        <v>0</v>
      </c>
      <c r="K109" s="1">
        <v>4620000</v>
      </c>
      <c r="L109" s="1">
        <v>0</v>
      </c>
      <c r="M109" s="1">
        <v>400000</v>
      </c>
      <c r="N109" s="1">
        <v>2073203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15279807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1480859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8409663</v>
      </c>
      <c r="AM109" s="1">
        <v>0</v>
      </c>
      <c r="AN109" s="1">
        <v>66018404</v>
      </c>
      <c r="AO109" s="1">
        <v>14629906</v>
      </c>
      <c r="AP109" s="1">
        <v>51388498</v>
      </c>
      <c r="AQ109" s="1">
        <v>12949681</v>
      </c>
      <c r="AR109" s="1">
        <v>1942452</v>
      </c>
      <c r="AS109" s="1">
        <v>0</v>
      </c>
      <c r="AT109" s="1">
        <f t="shared" si="7"/>
        <v>80910537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16537791</v>
      </c>
      <c r="G110" s="1">
        <v>12631365</v>
      </c>
      <c r="H110" s="1">
        <v>0</v>
      </c>
      <c r="I110" s="1">
        <v>14228880</v>
      </c>
      <c r="J110" s="1">
        <v>0</v>
      </c>
      <c r="K110" s="1">
        <v>5500000</v>
      </c>
      <c r="L110" s="1">
        <v>0</v>
      </c>
      <c r="M110" s="1">
        <v>400000</v>
      </c>
      <c r="N110" s="1">
        <v>2722096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14034850</v>
      </c>
      <c r="W110" s="1">
        <v>1100000</v>
      </c>
      <c r="X110" s="1">
        <v>0</v>
      </c>
      <c r="Y110" s="1">
        <v>7105143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1944354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4666450</v>
      </c>
      <c r="AM110" s="1">
        <v>0</v>
      </c>
      <c r="AN110" s="1">
        <v>80870929</v>
      </c>
      <c r="AO110" s="1">
        <v>14066733</v>
      </c>
      <c r="AP110" s="1">
        <v>66804196</v>
      </c>
      <c r="AQ110" s="1">
        <v>15557766</v>
      </c>
      <c r="AR110" s="1">
        <v>2333665</v>
      </c>
      <c r="AS110" s="1">
        <v>0</v>
      </c>
      <c r="AT110" s="1">
        <f t="shared" si="7"/>
        <v>98762360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12010296</v>
      </c>
      <c r="G111" s="1">
        <v>6423042</v>
      </c>
      <c r="H111" s="1">
        <v>0</v>
      </c>
      <c r="I111" s="1">
        <v>10828157</v>
      </c>
      <c r="J111" s="1">
        <v>0</v>
      </c>
      <c r="K111" s="1">
        <v>3465000</v>
      </c>
      <c r="L111" s="1">
        <v>0</v>
      </c>
      <c r="M111" s="1">
        <v>400000</v>
      </c>
      <c r="N111" s="1">
        <v>2305346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8380788</v>
      </c>
      <c r="W111" s="1">
        <v>1100000</v>
      </c>
      <c r="X111" s="1">
        <v>1801544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1646676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8872452</v>
      </c>
      <c r="AM111" s="1">
        <v>0</v>
      </c>
      <c r="AN111" s="1">
        <v>58503301</v>
      </c>
      <c r="AO111" s="1">
        <v>13507498</v>
      </c>
      <c r="AP111" s="1">
        <v>44995803</v>
      </c>
      <c r="AQ111" s="1">
        <v>11446660</v>
      </c>
      <c r="AR111" s="1">
        <v>1716999</v>
      </c>
      <c r="AS111" s="1">
        <v>0</v>
      </c>
      <c r="AT111" s="1">
        <f t="shared" si="7"/>
        <v>71666960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16133466</v>
      </c>
      <c r="G112" s="1">
        <v>20352019</v>
      </c>
      <c r="H112" s="1">
        <v>0</v>
      </c>
      <c r="I112" s="1">
        <v>13455420</v>
      </c>
      <c r="J112" s="1">
        <v>0</v>
      </c>
      <c r="K112" s="1">
        <v>5500000</v>
      </c>
      <c r="L112" s="1">
        <v>0</v>
      </c>
      <c r="M112" s="1">
        <v>400000</v>
      </c>
      <c r="N112" s="1">
        <v>2891912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16714966</v>
      </c>
      <c r="W112" s="1">
        <v>1100000</v>
      </c>
      <c r="X112" s="1">
        <v>2420020</v>
      </c>
      <c r="Y112" s="1">
        <v>0</v>
      </c>
      <c r="Z112" s="1">
        <v>0</v>
      </c>
      <c r="AA112" s="1">
        <v>0</v>
      </c>
      <c r="AB112" s="1">
        <v>0</v>
      </c>
      <c r="AC112" s="1">
        <v>3180690</v>
      </c>
      <c r="AD112" s="1">
        <v>0</v>
      </c>
      <c r="AE112" s="1">
        <v>2065652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15336245</v>
      </c>
      <c r="AM112" s="1">
        <v>0</v>
      </c>
      <c r="AN112" s="1">
        <v>99550390</v>
      </c>
      <c r="AO112" s="1">
        <v>14888680</v>
      </c>
      <c r="AP112" s="1">
        <v>84661710</v>
      </c>
      <c r="AQ112" s="1">
        <v>15557766</v>
      </c>
      <c r="AR112" s="1">
        <v>2333665</v>
      </c>
      <c r="AS112" s="1">
        <v>0</v>
      </c>
      <c r="AT112" s="1">
        <f t="shared" si="7"/>
        <v>117441821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16090338</v>
      </c>
      <c r="G113" s="1">
        <v>9775909</v>
      </c>
      <c r="H113" s="1">
        <v>0</v>
      </c>
      <c r="I113" s="1">
        <v>15177692</v>
      </c>
      <c r="J113" s="1">
        <v>0</v>
      </c>
      <c r="K113" s="1">
        <v>5500000</v>
      </c>
      <c r="L113" s="1">
        <v>0</v>
      </c>
      <c r="M113" s="1">
        <v>400000</v>
      </c>
      <c r="N113" s="1">
        <v>2876817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13154000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2054870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4274129</v>
      </c>
      <c r="AM113" s="1">
        <v>0</v>
      </c>
      <c r="AN113" s="1">
        <v>72626293</v>
      </c>
      <c r="AO113" s="1">
        <v>13496085</v>
      </c>
      <c r="AP113" s="1">
        <v>59130208</v>
      </c>
      <c r="AQ113" s="1">
        <v>14080751</v>
      </c>
      <c r="AR113" s="1">
        <v>2112113</v>
      </c>
      <c r="AS113" s="1">
        <v>0</v>
      </c>
      <c r="AT113" s="1">
        <f t="shared" si="7"/>
        <v>88819157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16341270</v>
      </c>
      <c r="G114" s="1">
        <v>20011308</v>
      </c>
      <c r="H114" s="1">
        <v>0</v>
      </c>
      <c r="I114" s="1">
        <v>14090391</v>
      </c>
      <c r="J114" s="1">
        <v>0</v>
      </c>
      <c r="K114" s="1">
        <v>4125000</v>
      </c>
      <c r="L114" s="1">
        <v>0</v>
      </c>
      <c r="M114" s="1">
        <v>400000</v>
      </c>
      <c r="N114" s="1">
        <v>2951971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1270000</v>
      </c>
      <c r="U114" s="1">
        <v>0</v>
      </c>
      <c r="V114" s="1">
        <v>8438223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2108551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4217102</v>
      </c>
      <c r="AM114" s="1">
        <v>0</v>
      </c>
      <c r="AN114" s="1">
        <v>75053816</v>
      </c>
      <c r="AO114" s="1">
        <v>10939681</v>
      </c>
      <c r="AP114" s="1">
        <v>64114135</v>
      </c>
      <c r="AQ114" s="1">
        <v>14756763</v>
      </c>
      <c r="AR114" s="1">
        <v>2213514</v>
      </c>
      <c r="AS114" s="1">
        <v>0</v>
      </c>
      <c r="AT114" s="1">
        <f t="shared" si="7"/>
        <v>92024093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14730361</v>
      </c>
      <c r="G115" s="1">
        <v>4886535</v>
      </c>
      <c r="H115" s="1">
        <v>0</v>
      </c>
      <c r="I115" s="1">
        <v>13650501</v>
      </c>
      <c r="J115" s="1">
        <v>0</v>
      </c>
      <c r="K115" s="1">
        <v>4125000</v>
      </c>
      <c r="L115" s="1">
        <v>0</v>
      </c>
      <c r="M115" s="1">
        <v>400000</v>
      </c>
      <c r="N115" s="1">
        <v>2508366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6815120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2457487</v>
      </c>
      <c r="AD115" s="1">
        <v>0</v>
      </c>
      <c r="AE115" s="1">
        <v>1791690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2723369</v>
      </c>
      <c r="AM115" s="1">
        <v>0</v>
      </c>
      <c r="AN115" s="1">
        <v>57569698</v>
      </c>
      <c r="AO115" s="1">
        <v>15085181</v>
      </c>
      <c r="AP115" s="1">
        <v>42484517</v>
      </c>
      <c r="AQ115" s="1">
        <v>11037686</v>
      </c>
      <c r="AR115" s="1">
        <v>1655653</v>
      </c>
      <c r="AS115" s="1">
        <v>0</v>
      </c>
      <c r="AT115" s="1">
        <f t="shared" si="7"/>
        <v>70263037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11984481</v>
      </c>
      <c r="G116" s="1">
        <v>5928568</v>
      </c>
      <c r="H116" s="1">
        <v>0</v>
      </c>
      <c r="I116" s="1">
        <v>9759118</v>
      </c>
      <c r="J116" s="1">
        <v>0</v>
      </c>
      <c r="K116" s="1">
        <v>4620000</v>
      </c>
      <c r="L116" s="1">
        <v>0</v>
      </c>
      <c r="M116" s="1">
        <v>400000</v>
      </c>
      <c r="N116" s="1">
        <v>2313525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14556075</v>
      </c>
      <c r="W116" s="1">
        <v>1100000</v>
      </c>
      <c r="X116" s="1">
        <v>1797672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1652518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7561387</v>
      </c>
      <c r="AM116" s="1">
        <v>0</v>
      </c>
      <c r="AN116" s="1">
        <v>61673344</v>
      </c>
      <c r="AO116" s="1">
        <v>15592815</v>
      </c>
      <c r="AP116" s="1">
        <v>46080529</v>
      </c>
      <c r="AQ116" s="1">
        <v>12334669</v>
      </c>
      <c r="AR116" s="1">
        <v>1850200</v>
      </c>
      <c r="AS116" s="1">
        <v>0</v>
      </c>
      <c r="AT116" s="1">
        <f t="shared" si="7"/>
        <v>75858213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6155183</v>
      </c>
      <c r="G117" s="1">
        <v>3219752</v>
      </c>
      <c r="H117" s="1">
        <v>0</v>
      </c>
      <c r="I117" s="1">
        <v>4554835</v>
      </c>
      <c r="J117" s="1">
        <v>0</v>
      </c>
      <c r="K117" s="1">
        <v>0</v>
      </c>
      <c r="L117" s="1">
        <v>3620700</v>
      </c>
      <c r="M117" s="1">
        <v>400000</v>
      </c>
      <c r="N117" s="1">
        <v>3261024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4486559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29020591</v>
      </c>
      <c r="AO117" s="1">
        <v>3758327</v>
      </c>
      <c r="AP117" s="1">
        <v>25262264</v>
      </c>
      <c r="AQ117" s="1">
        <v>5359611</v>
      </c>
      <c r="AR117" s="1">
        <v>803942</v>
      </c>
      <c r="AS117" s="1">
        <v>780000</v>
      </c>
      <c r="AT117" s="1">
        <f t="shared" si="7"/>
        <v>35964144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13355304</v>
      </c>
      <c r="G118" s="1">
        <v>13428942</v>
      </c>
      <c r="H118" s="1">
        <v>0</v>
      </c>
      <c r="I118" s="1">
        <v>12438074</v>
      </c>
      <c r="J118" s="1">
        <v>0</v>
      </c>
      <c r="K118" s="1">
        <v>4620000</v>
      </c>
      <c r="L118" s="1">
        <v>0</v>
      </c>
      <c r="M118" s="1">
        <v>400000</v>
      </c>
      <c r="N118" s="1">
        <v>2605111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13053566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1860794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10854311</v>
      </c>
      <c r="AM118" s="1">
        <v>0</v>
      </c>
      <c r="AN118" s="1">
        <v>78100667</v>
      </c>
      <c r="AO118" s="1">
        <v>13851986</v>
      </c>
      <c r="AP118" s="1">
        <v>64248681</v>
      </c>
      <c r="AQ118" s="1">
        <v>15143880</v>
      </c>
      <c r="AR118" s="1">
        <v>2271582</v>
      </c>
      <c r="AS118" s="1">
        <v>0</v>
      </c>
      <c r="AT118" s="1">
        <f t="shared" si="7"/>
        <v>95516129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12279943</v>
      </c>
      <c r="G119" s="1">
        <v>12580633</v>
      </c>
      <c r="H119" s="1">
        <v>0</v>
      </c>
      <c r="I119" s="1">
        <v>11803357</v>
      </c>
      <c r="J119" s="1">
        <v>0</v>
      </c>
      <c r="K119" s="1">
        <v>4620000</v>
      </c>
      <c r="L119" s="1">
        <v>0</v>
      </c>
      <c r="M119" s="1">
        <v>400000</v>
      </c>
      <c r="N119" s="1">
        <v>2411511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8873090</v>
      </c>
      <c r="W119" s="1">
        <v>1100000</v>
      </c>
      <c r="X119" s="1">
        <v>1700086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1722508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9540508</v>
      </c>
      <c r="AM119" s="1">
        <v>0</v>
      </c>
      <c r="AN119" s="1">
        <v>68142905</v>
      </c>
      <c r="AO119" s="1">
        <v>14032094</v>
      </c>
      <c r="AP119" s="1">
        <v>54110811</v>
      </c>
      <c r="AQ119" s="1">
        <v>13406327</v>
      </c>
      <c r="AR119" s="1">
        <v>2010949</v>
      </c>
      <c r="AS119" s="1">
        <v>0</v>
      </c>
      <c r="AT119" s="1">
        <f t="shared" si="7"/>
        <v>83560181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6699035</v>
      </c>
      <c r="G120" s="1">
        <v>2406512</v>
      </c>
      <c r="H120" s="1">
        <v>0</v>
      </c>
      <c r="I120" s="1">
        <v>4957286</v>
      </c>
      <c r="J120" s="1">
        <v>0</v>
      </c>
      <c r="K120" s="1">
        <v>0</v>
      </c>
      <c r="L120" s="1">
        <v>3620700</v>
      </c>
      <c r="M120" s="1">
        <v>400000</v>
      </c>
      <c r="N120" s="1">
        <v>3525808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4771165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2820424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2200239</v>
      </c>
      <c r="AK120" s="1">
        <v>0</v>
      </c>
      <c r="AL120" s="1">
        <v>0</v>
      </c>
      <c r="AM120" s="1">
        <v>0</v>
      </c>
      <c r="AN120" s="1">
        <v>32501169</v>
      </c>
      <c r="AO120" s="1">
        <v>7370865</v>
      </c>
      <c r="AP120" s="1">
        <v>25130304</v>
      </c>
      <c r="AQ120" s="1">
        <v>6500234</v>
      </c>
      <c r="AR120" s="1">
        <v>975035</v>
      </c>
      <c r="AS120" s="1">
        <v>265000</v>
      </c>
      <c r="AT120" s="1">
        <f t="shared" si="7"/>
        <v>40241438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12041827</v>
      </c>
      <c r="G121" s="1">
        <v>4021029</v>
      </c>
      <c r="H121" s="1">
        <v>0</v>
      </c>
      <c r="I121" s="1">
        <v>10380810</v>
      </c>
      <c r="J121" s="1">
        <v>0</v>
      </c>
      <c r="K121" s="1">
        <v>4620000</v>
      </c>
      <c r="L121" s="1">
        <v>0</v>
      </c>
      <c r="M121" s="1">
        <v>400000</v>
      </c>
      <c r="N121" s="1">
        <v>2309085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1270000</v>
      </c>
      <c r="U121" s="1">
        <v>0</v>
      </c>
      <c r="V121" s="1">
        <v>8071754</v>
      </c>
      <c r="W121" s="1">
        <v>1100000</v>
      </c>
      <c r="X121" s="1">
        <v>1806274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1649346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7966821</v>
      </c>
      <c r="AM121" s="1">
        <v>0</v>
      </c>
      <c r="AN121" s="1">
        <v>57859484</v>
      </c>
      <c r="AO121" s="1">
        <v>11726245</v>
      </c>
      <c r="AP121" s="1">
        <v>46133239</v>
      </c>
      <c r="AQ121" s="1">
        <v>10873389</v>
      </c>
      <c r="AR121" s="1">
        <v>1631008</v>
      </c>
      <c r="AS121" s="1">
        <v>0</v>
      </c>
      <c r="AT121" s="1">
        <f t="shared" si="7"/>
        <v>70363881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12737136</v>
      </c>
      <c r="G122" s="1">
        <v>7060816</v>
      </c>
      <c r="H122" s="1">
        <v>0</v>
      </c>
      <c r="I122" s="1">
        <v>11784010</v>
      </c>
      <c r="J122" s="1">
        <v>0</v>
      </c>
      <c r="K122" s="1">
        <v>3465000</v>
      </c>
      <c r="L122" s="1">
        <v>0</v>
      </c>
      <c r="M122" s="1">
        <v>400000</v>
      </c>
      <c r="N122" s="1">
        <v>2388752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12931491</v>
      </c>
      <c r="W122" s="1">
        <v>1100000</v>
      </c>
      <c r="X122" s="1">
        <v>1858109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1706252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9417646</v>
      </c>
      <c r="AM122" s="1">
        <v>0</v>
      </c>
      <c r="AN122" s="1">
        <v>64849212</v>
      </c>
      <c r="AO122" s="1">
        <v>11338098</v>
      </c>
      <c r="AP122" s="1">
        <v>53511114</v>
      </c>
      <c r="AQ122" s="1">
        <v>12969842</v>
      </c>
      <c r="AR122" s="1">
        <v>1945476</v>
      </c>
      <c r="AS122" s="1">
        <v>0</v>
      </c>
      <c r="AT122" s="1">
        <f t="shared" si="7"/>
        <v>79764530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12228944</v>
      </c>
      <c r="G123" s="1">
        <v>5634874</v>
      </c>
      <c r="H123" s="1">
        <v>0</v>
      </c>
      <c r="I123" s="1">
        <v>10703362</v>
      </c>
      <c r="J123" s="1">
        <v>0</v>
      </c>
      <c r="K123" s="1">
        <v>3465000</v>
      </c>
      <c r="L123" s="1">
        <v>0</v>
      </c>
      <c r="M123" s="1">
        <v>400000</v>
      </c>
      <c r="N123" s="1">
        <v>2358110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7352386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1684364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4311972</v>
      </c>
      <c r="AM123" s="1">
        <v>0</v>
      </c>
      <c r="AN123" s="1">
        <v>49239012</v>
      </c>
      <c r="AO123" s="1">
        <v>9753360</v>
      </c>
      <c r="AP123" s="1">
        <v>39485652</v>
      </c>
      <c r="AQ123" s="1">
        <v>9847802</v>
      </c>
      <c r="AR123" s="1">
        <v>1477170</v>
      </c>
      <c r="AS123" s="1">
        <v>0</v>
      </c>
      <c r="AT123" s="1">
        <f t="shared" si="7"/>
        <v>60563984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15619524</v>
      </c>
      <c r="G124" s="1">
        <v>12803005</v>
      </c>
      <c r="H124" s="1">
        <v>5031600</v>
      </c>
      <c r="I124" s="1">
        <v>15641278</v>
      </c>
      <c r="J124" s="1">
        <v>0</v>
      </c>
      <c r="K124" s="1">
        <v>5500000</v>
      </c>
      <c r="L124" s="1">
        <v>0</v>
      </c>
      <c r="M124" s="1">
        <v>400000</v>
      </c>
      <c r="N124" s="1">
        <v>2712032</v>
      </c>
      <c r="O124" s="1">
        <v>0</v>
      </c>
      <c r="P124" s="1">
        <v>0</v>
      </c>
      <c r="Q124" s="1">
        <v>0</v>
      </c>
      <c r="R124" s="1">
        <v>0</v>
      </c>
      <c r="S124" s="1">
        <v>2034000</v>
      </c>
      <c r="T124" s="1">
        <v>0</v>
      </c>
      <c r="U124" s="1">
        <v>0</v>
      </c>
      <c r="V124" s="1">
        <v>9297730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1937166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4959145</v>
      </c>
      <c r="AM124" s="1">
        <v>0</v>
      </c>
      <c r="AN124" s="1">
        <v>78146749</v>
      </c>
      <c r="AO124" s="1">
        <v>14478067</v>
      </c>
      <c r="AP124" s="1">
        <v>63668682</v>
      </c>
      <c r="AQ124" s="1">
        <v>13993976</v>
      </c>
      <c r="AR124" s="1">
        <v>2099096</v>
      </c>
      <c r="AS124" s="1">
        <v>0</v>
      </c>
      <c r="AT124" s="1">
        <f t="shared" si="7"/>
        <v>94239821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17100252</v>
      </c>
      <c r="G125" s="1">
        <v>16601870</v>
      </c>
      <c r="H125" s="1">
        <v>0</v>
      </c>
      <c r="I125" s="1">
        <v>19157490</v>
      </c>
      <c r="J125" s="1">
        <v>0</v>
      </c>
      <c r="K125" s="1">
        <v>5500000</v>
      </c>
      <c r="L125" s="1">
        <v>0</v>
      </c>
      <c r="M125" s="1">
        <v>400000</v>
      </c>
      <c r="N125" s="1">
        <v>3079339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4704190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2425950</v>
      </c>
      <c r="AD125" s="1">
        <v>0</v>
      </c>
      <c r="AE125" s="1">
        <v>2199528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3079339</v>
      </c>
      <c r="AM125" s="1">
        <v>0</v>
      </c>
      <c r="AN125" s="1">
        <v>76459227</v>
      </c>
      <c r="AO125" s="1">
        <v>13261584</v>
      </c>
      <c r="AP125" s="1">
        <v>63197643</v>
      </c>
      <c r="AQ125" s="1">
        <v>15069592</v>
      </c>
      <c r="AR125" s="1">
        <v>2260439</v>
      </c>
      <c r="AS125" s="1">
        <v>0</v>
      </c>
      <c r="AT125" s="1">
        <f t="shared" si="7"/>
        <v>93789258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10008863</v>
      </c>
      <c r="G126" s="1">
        <v>5648749</v>
      </c>
      <c r="H126" s="1">
        <v>0</v>
      </c>
      <c r="I126" s="1">
        <v>5089689</v>
      </c>
      <c r="J126" s="1">
        <v>0</v>
      </c>
      <c r="K126" s="1">
        <v>4620000</v>
      </c>
      <c r="L126" s="1">
        <v>0</v>
      </c>
      <c r="M126" s="1">
        <v>400000</v>
      </c>
      <c r="N126" s="1">
        <v>1530469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1903404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1093192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1311830</v>
      </c>
      <c r="AM126" s="1">
        <v>0</v>
      </c>
      <c r="AN126" s="1">
        <v>32706196</v>
      </c>
      <c r="AO126" s="1">
        <v>3124642</v>
      </c>
      <c r="AP126" s="1">
        <v>29581554</v>
      </c>
      <c r="AQ126" s="1">
        <v>6541239</v>
      </c>
      <c r="AR126" s="1">
        <v>981186</v>
      </c>
      <c r="AS126" s="1">
        <v>0</v>
      </c>
      <c r="AT126" s="1">
        <f t="shared" si="7"/>
        <v>40228621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13697027</v>
      </c>
      <c r="G127" s="1">
        <v>9926968</v>
      </c>
      <c r="H127" s="1">
        <v>0</v>
      </c>
      <c r="I127" s="1">
        <v>12318154</v>
      </c>
      <c r="J127" s="1">
        <v>0</v>
      </c>
      <c r="K127" s="1">
        <v>4620000</v>
      </c>
      <c r="L127" s="1">
        <v>0</v>
      </c>
      <c r="M127" s="1">
        <v>400000</v>
      </c>
      <c r="N127" s="1">
        <v>2694089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1270000</v>
      </c>
      <c r="U127" s="1">
        <v>0</v>
      </c>
      <c r="V127" s="1">
        <v>8356589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1924349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4926334</v>
      </c>
      <c r="AM127" s="1">
        <v>0</v>
      </c>
      <c r="AN127" s="1">
        <v>63456048</v>
      </c>
      <c r="AO127" s="1">
        <v>13252888</v>
      </c>
      <c r="AP127" s="1">
        <v>50203160</v>
      </c>
      <c r="AQ127" s="1">
        <v>11992702</v>
      </c>
      <c r="AR127" s="1">
        <v>1798905</v>
      </c>
      <c r="AS127" s="1">
        <v>0</v>
      </c>
      <c r="AT127" s="1">
        <f t="shared" si="7"/>
        <v>77247655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12757101</v>
      </c>
      <c r="G128" s="1">
        <v>11778045</v>
      </c>
      <c r="H128" s="1">
        <v>0</v>
      </c>
      <c r="I128" s="1">
        <v>11619077</v>
      </c>
      <c r="J128" s="1">
        <v>0</v>
      </c>
      <c r="K128" s="1">
        <v>4620000</v>
      </c>
      <c r="L128" s="1">
        <v>0</v>
      </c>
      <c r="M128" s="1">
        <v>400000</v>
      </c>
      <c r="N128" s="1">
        <v>2376289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1270000</v>
      </c>
      <c r="U128" s="1">
        <v>0</v>
      </c>
      <c r="V128" s="1">
        <v>8781713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1697350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8919178</v>
      </c>
      <c r="AM128" s="1">
        <v>0</v>
      </c>
      <c r="AN128" s="1">
        <v>67232318</v>
      </c>
      <c r="AO128" s="1">
        <v>15528693</v>
      </c>
      <c r="AP128" s="1">
        <v>51703625</v>
      </c>
      <c r="AQ128" s="1">
        <v>13192464</v>
      </c>
      <c r="AR128" s="1">
        <v>1978870</v>
      </c>
      <c r="AS128" s="1">
        <v>0</v>
      </c>
      <c r="AT128" s="1">
        <f t="shared" si="7"/>
        <v>82403652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15692474</v>
      </c>
      <c r="G129" s="1">
        <v>11924669</v>
      </c>
      <c r="H129" s="1">
        <v>0</v>
      </c>
      <c r="I129" s="1">
        <v>13114832</v>
      </c>
      <c r="J129" s="1">
        <v>0</v>
      </c>
      <c r="K129" s="1">
        <v>5500000</v>
      </c>
      <c r="L129" s="1">
        <v>0</v>
      </c>
      <c r="M129" s="1">
        <v>400000</v>
      </c>
      <c r="N129" s="1">
        <v>2734535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12155506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1953239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3906478</v>
      </c>
      <c r="AM129" s="1">
        <v>0</v>
      </c>
      <c r="AN129" s="1">
        <v>70863002</v>
      </c>
      <c r="AO129" s="1">
        <v>13984724</v>
      </c>
      <c r="AP129" s="1">
        <v>56878278</v>
      </c>
      <c r="AQ129" s="1">
        <v>13696347</v>
      </c>
      <c r="AR129" s="1">
        <v>2054452</v>
      </c>
      <c r="AS129" s="1">
        <v>0</v>
      </c>
      <c r="AT129" s="1">
        <f t="shared" si="7"/>
        <v>86613801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14393970</v>
      </c>
      <c r="G130" s="1">
        <v>22086981</v>
      </c>
      <c r="H130" s="1">
        <v>0</v>
      </c>
      <c r="I130" s="1">
        <v>13866730</v>
      </c>
      <c r="J130" s="1">
        <v>0</v>
      </c>
      <c r="K130" s="1">
        <v>0</v>
      </c>
      <c r="L130" s="1">
        <v>0</v>
      </c>
      <c r="M130" s="1">
        <v>400000</v>
      </c>
      <c r="N130" s="1">
        <v>2905749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9188391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2075535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8054154</v>
      </c>
      <c r="AM130" s="1">
        <v>0</v>
      </c>
      <c r="AN130" s="1">
        <v>79723144</v>
      </c>
      <c r="AO130" s="1">
        <v>17370279</v>
      </c>
      <c r="AP130" s="1">
        <v>62352865</v>
      </c>
      <c r="AQ130" s="1">
        <v>15246121</v>
      </c>
      <c r="AR130" s="1">
        <v>2286918</v>
      </c>
      <c r="AS130" s="1">
        <v>0</v>
      </c>
      <c r="AT130" s="1">
        <f t="shared" si="7"/>
        <v>97256183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10861302</v>
      </c>
      <c r="G131" s="1">
        <v>8469591</v>
      </c>
      <c r="H131" s="1">
        <v>0</v>
      </c>
      <c r="I131" s="1">
        <v>9668906</v>
      </c>
      <c r="J131" s="1">
        <v>0</v>
      </c>
      <c r="K131" s="1">
        <v>4620000</v>
      </c>
      <c r="L131" s="1">
        <v>0</v>
      </c>
      <c r="M131" s="1">
        <v>400000</v>
      </c>
      <c r="N131" s="1">
        <v>1914051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14196649</v>
      </c>
      <c r="W131" s="1">
        <v>1100000</v>
      </c>
      <c r="X131" s="1">
        <v>1629195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1367179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8453671</v>
      </c>
      <c r="AM131" s="1">
        <v>0</v>
      </c>
      <c r="AN131" s="1">
        <v>65061813</v>
      </c>
      <c r="AO131" s="1">
        <v>8261458</v>
      </c>
      <c r="AP131" s="1">
        <v>56800355</v>
      </c>
      <c r="AQ131" s="1">
        <v>12536109</v>
      </c>
      <c r="AR131" s="1">
        <v>1880416</v>
      </c>
      <c r="AS131" s="1">
        <v>0</v>
      </c>
      <c r="AT131" s="1">
        <f t="shared" ref="AT131:AT194" si="12">AS131+AR131+AQ131+AN131</f>
        <v>79478338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15872901</v>
      </c>
      <c r="G132" s="1">
        <v>9012858</v>
      </c>
      <c r="H132" s="1">
        <v>0</v>
      </c>
      <c r="I132" s="1">
        <v>11894771</v>
      </c>
      <c r="J132" s="1">
        <v>0</v>
      </c>
      <c r="K132" s="1">
        <v>5500000</v>
      </c>
      <c r="L132" s="1">
        <v>0</v>
      </c>
      <c r="M132" s="1">
        <v>400000</v>
      </c>
      <c r="N132" s="1">
        <v>2800714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11759981</v>
      </c>
      <c r="W132" s="1">
        <v>1100000</v>
      </c>
      <c r="X132" s="1">
        <v>2380935</v>
      </c>
      <c r="Y132" s="1">
        <v>0</v>
      </c>
      <c r="Z132" s="1">
        <v>0</v>
      </c>
      <c r="AA132" s="1">
        <v>0</v>
      </c>
      <c r="AB132" s="1">
        <v>0</v>
      </c>
      <c r="AC132" s="1">
        <v>3180690</v>
      </c>
      <c r="AD132" s="1">
        <v>0</v>
      </c>
      <c r="AE132" s="1">
        <v>2000510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14292888</v>
      </c>
      <c r="AM132" s="1">
        <v>0</v>
      </c>
      <c r="AN132" s="1">
        <v>81307517</v>
      </c>
      <c r="AO132" s="1">
        <v>13156392</v>
      </c>
      <c r="AP132" s="1">
        <v>68151125</v>
      </c>
      <c r="AQ132" s="1">
        <v>15557766</v>
      </c>
      <c r="AR132" s="1">
        <v>2333665</v>
      </c>
      <c r="AS132" s="1">
        <v>0</v>
      </c>
      <c r="AT132" s="1">
        <f t="shared" si="12"/>
        <v>99198948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17215260</v>
      </c>
      <c r="G133" s="1">
        <v>23531991</v>
      </c>
      <c r="H133" s="1">
        <v>0</v>
      </c>
      <c r="I133" s="1">
        <v>15610941</v>
      </c>
      <c r="J133" s="1">
        <v>0</v>
      </c>
      <c r="K133" s="1">
        <v>0</v>
      </c>
      <c r="L133" s="1">
        <v>0</v>
      </c>
      <c r="M133" s="1">
        <v>400000</v>
      </c>
      <c r="N133" s="1">
        <v>2959210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20282802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2776365</v>
      </c>
      <c r="AD133" s="1">
        <v>0</v>
      </c>
      <c r="AE133" s="1">
        <v>2113721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4903833</v>
      </c>
      <c r="AM133" s="1">
        <v>0</v>
      </c>
      <c r="AN133" s="1">
        <v>92164123</v>
      </c>
      <c r="AO133" s="1">
        <v>23914995</v>
      </c>
      <c r="AP133" s="1">
        <v>68249128</v>
      </c>
      <c r="AQ133" s="1">
        <v>15557766</v>
      </c>
      <c r="AR133" s="1">
        <v>2333665</v>
      </c>
      <c r="AS133" s="1">
        <v>0</v>
      </c>
      <c r="AT133" s="1">
        <f t="shared" si="12"/>
        <v>110055554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11617698</v>
      </c>
      <c r="G134" s="1">
        <v>17453829</v>
      </c>
      <c r="H134" s="1">
        <v>0</v>
      </c>
      <c r="I134" s="1">
        <v>10433374</v>
      </c>
      <c r="J134" s="1">
        <v>0</v>
      </c>
      <c r="K134" s="1">
        <v>4620000</v>
      </c>
      <c r="L134" s="1">
        <v>0</v>
      </c>
      <c r="M134" s="1">
        <v>400000</v>
      </c>
      <c r="N134" s="1">
        <v>2189828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14867503</v>
      </c>
      <c r="W134" s="1">
        <v>1100000</v>
      </c>
      <c r="X134" s="1">
        <v>1742655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1564163</v>
      </c>
      <c r="AF134" s="1">
        <v>1111269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8177800</v>
      </c>
      <c r="AM134" s="1">
        <v>0</v>
      </c>
      <c r="AN134" s="1">
        <v>75278119</v>
      </c>
      <c r="AO134" s="1">
        <v>18031529</v>
      </c>
      <c r="AP134" s="1">
        <v>57246590</v>
      </c>
      <c r="AQ134" s="1">
        <v>14833370</v>
      </c>
      <c r="AR134" s="1">
        <v>2225006</v>
      </c>
      <c r="AS134" s="1">
        <v>0</v>
      </c>
      <c r="AT134" s="1">
        <f t="shared" si="12"/>
        <v>92336495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17682480</v>
      </c>
      <c r="G135" s="1">
        <v>14267632</v>
      </c>
      <c r="H135" s="1">
        <v>0</v>
      </c>
      <c r="I135" s="1">
        <v>15978310</v>
      </c>
      <c r="J135" s="1">
        <v>0</v>
      </c>
      <c r="K135" s="1">
        <v>5500000</v>
      </c>
      <c r="L135" s="1">
        <v>0</v>
      </c>
      <c r="M135" s="1">
        <v>400000</v>
      </c>
      <c r="N135" s="1">
        <v>3122737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10342452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2230526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4996379</v>
      </c>
      <c r="AM135" s="1">
        <v>0</v>
      </c>
      <c r="AN135" s="1">
        <v>78001785</v>
      </c>
      <c r="AO135" s="1">
        <v>15387374</v>
      </c>
      <c r="AP135" s="1">
        <v>62614411</v>
      </c>
      <c r="AQ135" s="1">
        <v>15124103</v>
      </c>
      <c r="AR135" s="1">
        <v>2268615</v>
      </c>
      <c r="AS135" s="1">
        <v>0</v>
      </c>
      <c r="AT135" s="1">
        <f t="shared" si="12"/>
        <v>95394503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16239489</v>
      </c>
      <c r="G136" s="1">
        <v>9151337</v>
      </c>
      <c r="H136" s="1">
        <v>0</v>
      </c>
      <c r="I136" s="1">
        <v>14565545</v>
      </c>
      <c r="J136" s="1">
        <v>0</v>
      </c>
      <c r="K136" s="1">
        <v>4125000</v>
      </c>
      <c r="L136" s="1">
        <v>0</v>
      </c>
      <c r="M136" s="1">
        <v>400000</v>
      </c>
      <c r="N136" s="1">
        <v>2929020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1270000</v>
      </c>
      <c r="U136" s="1">
        <v>0</v>
      </c>
      <c r="V136" s="1">
        <v>14221708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2092157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4519060</v>
      </c>
      <c r="AM136" s="1">
        <v>0</v>
      </c>
      <c r="AN136" s="1">
        <v>70613316</v>
      </c>
      <c r="AO136" s="1">
        <v>16726904</v>
      </c>
      <c r="AP136" s="1">
        <v>53886412</v>
      </c>
      <c r="AQ136" s="1">
        <v>13868663</v>
      </c>
      <c r="AR136" s="1">
        <v>2080299</v>
      </c>
      <c r="AS136" s="1">
        <v>0</v>
      </c>
      <c r="AT136" s="1">
        <f t="shared" si="12"/>
        <v>86562278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15926811</v>
      </c>
      <c r="G137" s="1">
        <v>24228918</v>
      </c>
      <c r="H137" s="1">
        <v>0</v>
      </c>
      <c r="I137" s="1">
        <v>13535091</v>
      </c>
      <c r="J137" s="1">
        <v>0</v>
      </c>
      <c r="K137" s="1">
        <v>5500000</v>
      </c>
      <c r="L137" s="1">
        <v>0</v>
      </c>
      <c r="M137" s="1">
        <v>400000</v>
      </c>
      <c r="N137" s="1">
        <v>2819583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16582530</v>
      </c>
      <c r="W137" s="1">
        <v>1100000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3180690</v>
      </c>
      <c r="AD137" s="1">
        <v>0</v>
      </c>
      <c r="AE137" s="1">
        <v>2013988</v>
      </c>
      <c r="AF137" s="1">
        <v>1111269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15166788</v>
      </c>
      <c r="AM137" s="1">
        <v>0</v>
      </c>
      <c r="AN137" s="1">
        <v>101565668</v>
      </c>
      <c r="AO137" s="1">
        <v>16438207</v>
      </c>
      <c r="AP137" s="1">
        <v>85127461</v>
      </c>
      <c r="AQ137" s="1">
        <v>15557766</v>
      </c>
      <c r="AR137" s="1">
        <v>2333665</v>
      </c>
      <c r="AS137" s="1">
        <v>0</v>
      </c>
      <c r="AT137" s="1">
        <f t="shared" si="12"/>
        <v>119457099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12302262</v>
      </c>
      <c r="G138" s="1">
        <v>11097661</v>
      </c>
      <c r="H138" s="1">
        <v>0</v>
      </c>
      <c r="I138" s="1">
        <v>12234707</v>
      </c>
      <c r="J138" s="1">
        <v>0</v>
      </c>
      <c r="K138" s="1">
        <v>4620000</v>
      </c>
      <c r="L138" s="1">
        <v>0</v>
      </c>
      <c r="M138" s="1">
        <v>400000</v>
      </c>
      <c r="N138" s="1">
        <v>2434665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17359333</v>
      </c>
      <c r="W138" s="1">
        <v>1100000</v>
      </c>
      <c r="X138" s="1">
        <v>1845339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1739047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10299057</v>
      </c>
      <c r="AM138" s="1">
        <v>0</v>
      </c>
      <c r="AN138" s="1">
        <v>77813340</v>
      </c>
      <c r="AO138" s="1">
        <v>19560905</v>
      </c>
      <c r="AP138" s="1">
        <v>58252435</v>
      </c>
      <c r="AQ138" s="1">
        <v>15086414</v>
      </c>
      <c r="AR138" s="1">
        <v>2262962</v>
      </c>
      <c r="AS138" s="1">
        <v>0</v>
      </c>
      <c r="AT138" s="1">
        <f t="shared" si="12"/>
        <v>95162716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11779362</v>
      </c>
      <c r="G139" s="1">
        <v>9479794</v>
      </c>
      <c r="H139" s="1">
        <v>0</v>
      </c>
      <c r="I139" s="1">
        <v>10190945</v>
      </c>
      <c r="J139" s="1">
        <v>0</v>
      </c>
      <c r="K139" s="1">
        <v>4620000</v>
      </c>
      <c r="L139" s="1">
        <v>0</v>
      </c>
      <c r="M139" s="1">
        <v>400000</v>
      </c>
      <c r="N139" s="1">
        <v>2243043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14828612</v>
      </c>
      <c r="W139" s="1">
        <v>1100000</v>
      </c>
      <c r="X139" s="1">
        <v>1766904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1602174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7507200</v>
      </c>
      <c r="AM139" s="1">
        <v>0</v>
      </c>
      <c r="AN139" s="1">
        <v>67899303</v>
      </c>
      <c r="AO139" s="1">
        <v>14222639</v>
      </c>
      <c r="AP139" s="1">
        <v>53676664</v>
      </c>
      <c r="AQ139" s="1">
        <v>13103607</v>
      </c>
      <c r="AR139" s="1">
        <v>1965541</v>
      </c>
      <c r="AS139" s="1">
        <v>0</v>
      </c>
      <c r="AT139" s="1">
        <f t="shared" si="12"/>
        <v>82968451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14358609</v>
      </c>
      <c r="G140" s="1">
        <v>19755249</v>
      </c>
      <c r="H140" s="1">
        <v>0</v>
      </c>
      <c r="I140" s="1">
        <v>10866291</v>
      </c>
      <c r="J140" s="1">
        <v>0</v>
      </c>
      <c r="K140" s="1">
        <v>5500000</v>
      </c>
      <c r="L140" s="1">
        <v>0</v>
      </c>
      <c r="M140" s="1">
        <v>400000</v>
      </c>
      <c r="N140" s="1">
        <v>2314751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3117711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1653393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1984072</v>
      </c>
      <c r="AM140" s="1">
        <v>0</v>
      </c>
      <c r="AN140" s="1">
        <v>61050076</v>
      </c>
      <c r="AO140" s="1">
        <v>12350228</v>
      </c>
      <c r="AP140" s="1">
        <v>48699848</v>
      </c>
      <c r="AQ140" s="1">
        <v>12210015</v>
      </c>
      <c r="AR140" s="1">
        <v>1831502</v>
      </c>
      <c r="AS140" s="1">
        <v>0</v>
      </c>
      <c r="AT140" s="1">
        <f t="shared" si="12"/>
        <v>75091593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11234689</v>
      </c>
      <c r="G141" s="1">
        <v>4664765</v>
      </c>
      <c r="H141" s="1">
        <v>0</v>
      </c>
      <c r="I141" s="1">
        <v>9258942</v>
      </c>
      <c r="J141" s="1">
        <v>0</v>
      </c>
      <c r="K141" s="1">
        <v>3465000</v>
      </c>
      <c r="L141" s="1">
        <v>0</v>
      </c>
      <c r="M141" s="1">
        <v>400000</v>
      </c>
      <c r="N141" s="1">
        <v>1996649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8201784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1426177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3422825</v>
      </c>
      <c r="AM141" s="1">
        <v>0</v>
      </c>
      <c r="AN141" s="1">
        <v>45170831</v>
      </c>
      <c r="AO141" s="1">
        <v>8811189</v>
      </c>
      <c r="AP141" s="1">
        <v>36359642</v>
      </c>
      <c r="AQ141" s="1">
        <v>9034166</v>
      </c>
      <c r="AR141" s="1">
        <v>1355125</v>
      </c>
      <c r="AS141" s="1">
        <v>0</v>
      </c>
      <c r="AT141" s="1">
        <f t="shared" si="12"/>
        <v>55560122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12393909</v>
      </c>
      <c r="G142" s="1">
        <v>19508834</v>
      </c>
      <c r="H142" s="1">
        <v>0</v>
      </c>
      <c r="I142" s="1">
        <v>12358567</v>
      </c>
      <c r="J142" s="1">
        <v>0</v>
      </c>
      <c r="K142" s="1">
        <v>4620000</v>
      </c>
      <c r="L142" s="1">
        <v>0</v>
      </c>
      <c r="M142" s="1">
        <v>400000</v>
      </c>
      <c r="N142" s="1">
        <v>2466742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17530682</v>
      </c>
      <c r="W142" s="1">
        <v>1100000</v>
      </c>
      <c r="X142" s="1">
        <v>1245245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1761958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10413615</v>
      </c>
      <c r="AM142" s="1">
        <v>0</v>
      </c>
      <c r="AN142" s="1">
        <v>85069552</v>
      </c>
      <c r="AO142" s="1">
        <v>24320007</v>
      </c>
      <c r="AP142" s="1">
        <v>60749545</v>
      </c>
      <c r="AQ142" s="1">
        <v>15557766</v>
      </c>
      <c r="AR142" s="1">
        <v>2333665</v>
      </c>
      <c r="AS142" s="1">
        <v>0</v>
      </c>
      <c r="AT142" s="1">
        <f t="shared" si="12"/>
        <v>102960983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15106060</v>
      </c>
      <c r="G143" s="1">
        <v>10431919</v>
      </c>
      <c r="H143" s="1">
        <v>0</v>
      </c>
      <c r="I143" s="1">
        <v>12670709</v>
      </c>
      <c r="J143" s="1">
        <v>0</v>
      </c>
      <c r="K143" s="1">
        <v>5500000</v>
      </c>
      <c r="L143" s="1">
        <v>0</v>
      </c>
      <c r="M143" s="1">
        <v>400000</v>
      </c>
      <c r="N143" s="1">
        <v>2527637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13323569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1805455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3899783</v>
      </c>
      <c r="AM143" s="1">
        <v>0</v>
      </c>
      <c r="AN143" s="1">
        <v>69146401</v>
      </c>
      <c r="AO143" s="1">
        <v>11869149</v>
      </c>
      <c r="AP143" s="1">
        <v>57277252</v>
      </c>
      <c r="AQ143" s="1">
        <v>13353026</v>
      </c>
      <c r="AR143" s="1">
        <v>2002954</v>
      </c>
      <c r="AS143" s="1">
        <v>0</v>
      </c>
      <c r="AT143" s="1">
        <f t="shared" si="12"/>
        <v>84502381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15412246</v>
      </c>
      <c r="G144" s="1">
        <v>7111378</v>
      </c>
      <c r="H144" s="1">
        <v>0</v>
      </c>
      <c r="I144" s="1">
        <v>12870105</v>
      </c>
      <c r="J144" s="1">
        <v>0</v>
      </c>
      <c r="K144" s="1">
        <v>5500000</v>
      </c>
      <c r="L144" s="1">
        <v>0</v>
      </c>
      <c r="M144" s="1">
        <v>400000</v>
      </c>
      <c r="N144" s="1">
        <v>2631220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11610413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1879443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4360308</v>
      </c>
      <c r="AM144" s="1">
        <v>0</v>
      </c>
      <c r="AN144" s="1">
        <v>63986382</v>
      </c>
      <c r="AO144" s="1">
        <v>12332146</v>
      </c>
      <c r="AP144" s="1">
        <v>51654236</v>
      </c>
      <c r="AQ144" s="1">
        <v>12575023</v>
      </c>
      <c r="AR144" s="1">
        <v>1886253</v>
      </c>
      <c r="AS144" s="1">
        <v>0</v>
      </c>
      <c r="AT144" s="1">
        <f t="shared" si="12"/>
        <v>78447658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24821961</v>
      </c>
      <c r="G145" s="1">
        <v>33652288</v>
      </c>
      <c r="H145" s="1">
        <v>0</v>
      </c>
      <c r="I145" s="1">
        <v>26339901</v>
      </c>
      <c r="J145" s="1">
        <v>0</v>
      </c>
      <c r="K145" s="1">
        <v>0</v>
      </c>
      <c r="L145" s="1">
        <v>0</v>
      </c>
      <c r="M145" s="1">
        <v>400000</v>
      </c>
      <c r="N145" s="1">
        <v>4501395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13218053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3215282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4822923</v>
      </c>
      <c r="AM145" s="1">
        <v>0</v>
      </c>
      <c r="AN145" s="1">
        <v>114294341</v>
      </c>
      <c r="AO145" s="1">
        <v>26951003</v>
      </c>
      <c r="AP145" s="1">
        <v>87343338</v>
      </c>
      <c r="AQ145" s="1">
        <v>15557766</v>
      </c>
      <c r="AR145" s="1">
        <v>2333665</v>
      </c>
      <c r="AS145" s="1">
        <v>0</v>
      </c>
      <c r="AT145" s="1">
        <f t="shared" si="12"/>
        <v>132185772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12043676</v>
      </c>
      <c r="G146" s="1">
        <v>0</v>
      </c>
      <c r="H146" s="1">
        <v>0</v>
      </c>
      <c r="I146" s="1">
        <v>10340936</v>
      </c>
      <c r="J146" s="1">
        <v>0</v>
      </c>
      <c r="K146" s="1">
        <v>3465000</v>
      </c>
      <c r="L146" s="1">
        <v>0</v>
      </c>
      <c r="M146" s="1">
        <v>400000</v>
      </c>
      <c r="N146" s="1">
        <v>2287466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1270000</v>
      </c>
      <c r="U146" s="1">
        <v>0</v>
      </c>
      <c r="V146" s="1">
        <v>7103427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1633903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3921369</v>
      </c>
      <c r="AM146" s="1">
        <v>0</v>
      </c>
      <c r="AN146" s="1">
        <v>43565777</v>
      </c>
      <c r="AO146" s="1">
        <v>8252908</v>
      </c>
      <c r="AP146" s="1">
        <v>35312869</v>
      </c>
      <c r="AQ146" s="1">
        <v>8459155</v>
      </c>
      <c r="AR146" s="1">
        <v>1268873</v>
      </c>
      <c r="AS146" s="1">
        <v>0</v>
      </c>
      <c r="AT146" s="1">
        <f t="shared" si="12"/>
        <v>53293805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16129872</v>
      </c>
      <c r="G147" s="1">
        <v>4585043</v>
      </c>
      <c r="H147" s="1">
        <v>0</v>
      </c>
      <c r="I147" s="1">
        <v>13972773</v>
      </c>
      <c r="J147" s="1">
        <v>0</v>
      </c>
      <c r="K147" s="1">
        <v>4125000</v>
      </c>
      <c r="L147" s="1">
        <v>0</v>
      </c>
      <c r="M147" s="1">
        <v>400000</v>
      </c>
      <c r="N147" s="1">
        <v>2890654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12552208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2064753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4790227</v>
      </c>
      <c r="AM147" s="1">
        <v>0</v>
      </c>
      <c r="AN147" s="1">
        <v>63880530</v>
      </c>
      <c r="AO147" s="1">
        <v>8960569</v>
      </c>
      <c r="AP147" s="1">
        <v>54919961</v>
      </c>
      <c r="AQ147" s="1">
        <v>12522106</v>
      </c>
      <c r="AR147" s="1">
        <v>1878316</v>
      </c>
      <c r="AS147" s="1">
        <v>0</v>
      </c>
      <c r="AT147" s="1">
        <f t="shared" si="12"/>
        <v>78280952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13549380</v>
      </c>
      <c r="G148" s="1">
        <v>20796091</v>
      </c>
      <c r="H148" s="1">
        <v>0</v>
      </c>
      <c r="I148" s="1">
        <v>13455173</v>
      </c>
      <c r="J148" s="1">
        <v>0</v>
      </c>
      <c r="K148" s="1">
        <v>4620000</v>
      </c>
      <c r="L148" s="1">
        <v>0</v>
      </c>
      <c r="M148" s="1">
        <v>400000</v>
      </c>
      <c r="N148" s="1">
        <v>2673038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19093662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1909312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11320202</v>
      </c>
      <c r="AM148" s="1">
        <v>0</v>
      </c>
      <c r="AN148" s="1">
        <v>94441803</v>
      </c>
      <c r="AO148" s="1">
        <v>22667027</v>
      </c>
      <c r="AP148" s="1">
        <v>71774776</v>
      </c>
      <c r="AQ148" s="1">
        <v>15557766</v>
      </c>
      <c r="AR148" s="1">
        <v>2333665</v>
      </c>
      <c r="AS148" s="1">
        <v>0</v>
      </c>
      <c r="AT148" s="1">
        <f t="shared" si="12"/>
        <v>112333234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5883500</v>
      </c>
      <c r="G149" s="1">
        <v>2062084</v>
      </c>
      <c r="H149" s="1">
        <v>0</v>
      </c>
      <c r="I149" s="1">
        <v>4471460</v>
      </c>
      <c r="J149" s="1">
        <v>0</v>
      </c>
      <c r="K149" s="1">
        <v>0</v>
      </c>
      <c r="L149" s="1">
        <v>3877488</v>
      </c>
      <c r="M149" s="1">
        <v>400000</v>
      </c>
      <c r="N149" s="1">
        <v>3096579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4424822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2599354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4060718</v>
      </c>
      <c r="AK149" s="1">
        <v>0</v>
      </c>
      <c r="AL149" s="1">
        <v>0</v>
      </c>
      <c r="AM149" s="1">
        <v>0</v>
      </c>
      <c r="AN149" s="1">
        <v>35309812</v>
      </c>
      <c r="AO149" s="1">
        <v>4388349</v>
      </c>
      <c r="AP149" s="1">
        <v>30921463</v>
      </c>
      <c r="AQ149" s="1">
        <v>6395201</v>
      </c>
      <c r="AR149" s="1">
        <v>959280</v>
      </c>
      <c r="AS149" s="1">
        <v>585000</v>
      </c>
      <c r="AT149" s="1">
        <f t="shared" si="12"/>
        <v>43249293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20631357</v>
      </c>
      <c r="G150" s="1">
        <v>16770063</v>
      </c>
      <c r="H150" s="1">
        <v>0</v>
      </c>
      <c r="I150" s="1">
        <v>20188729</v>
      </c>
      <c r="J150" s="1">
        <v>0</v>
      </c>
      <c r="K150" s="1">
        <v>5500000</v>
      </c>
      <c r="L150" s="1">
        <v>0</v>
      </c>
      <c r="M150" s="1">
        <v>400000</v>
      </c>
      <c r="N150" s="1">
        <v>3034684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4862356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2167631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2601158</v>
      </c>
      <c r="AM150" s="1">
        <v>0</v>
      </c>
      <c r="AN150" s="1">
        <v>80748516</v>
      </c>
      <c r="AO150" s="1">
        <v>22266081</v>
      </c>
      <c r="AP150" s="1">
        <v>58482435</v>
      </c>
      <c r="AQ150" s="1">
        <v>15451196</v>
      </c>
      <c r="AR150" s="1">
        <v>2317679</v>
      </c>
      <c r="AS150" s="1">
        <v>0</v>
      </c>
      <c r="AT150" s="1">
        <f t="shared" si="12"/>
        <v>98517391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20379777</v>
      </c>
      <c r="G151" s="1">
        <v>20870324</v>
      </c>
      <c r="H151" s="1">
        <v>0</v>
      </c>
      <c r="I151" s="1">
        <v>17529494</v>
      </c>
      <c r="J151" s="1">
        <v>0</v>
      </c>
      <c r="K151" s="1">
        <v>4125000</v>
      </c>
      <c r="L151" s="1">
        <v>0</v>
      </c>
      <c r="M151" s="1">
        <v>400000</v>
      </c>
      <c r="N151" s="1">
        <v>3300730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11346503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2357664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4715328</v>
      </c>
      <c r="AM151" s="1">
        <v>0</v>
      </c>
      <c r="AN151" s="1">
        <v>86124820</v>
      </c>
      <c r="AO151" s="1">
        <v>16462122</v>
      </c>
      <c r="AP151" s="1">
        <v>69662698</v>
      </c>
      <c r="AQ151" s="1">
        <v>15557766</v>
      </c>
      <c r="AR151" s="1">
        <v>2333665</v>
      </c>
      <c r="AS151" s="1">
        <v>0</v>
      </c>
      <c r="AT151" s="1">
        <f t="shared" si="12"/>
        <v>104016251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11893834</v>
      </c>
      <c r="G152" s="1">
        <v>12256841</v>
      </c>
      <c r="H152" s="1">
        <v>0</v>
      </c>
      <c r="I152" s="1">
        <v>10718647</v>
      </c>
      <c r="J152" s="1">
        <v>0</v>
      </c>
      <c r="K152" s="1">
        <v>4620000</v>
      </c>
      <c r="L152" s="1">
        <v>0</v>
      </c>
      <c r="M152" s="1">
        <v>400000</v>
      </c>
      <c r="N152" s="1">
        <v>2260468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8201402</v>
      </c>
      <c r="W152" s="1">
        <v>1100000</v>
      </c>
      <c r="X152" s="1">
        <v>1784075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1614620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8412010</v>
      </c>
      <c r="AM152" s="1">
        <v>0</v>
      </c>
      <c r="AN152" s="1">
        <v>63261897</v>
      </c>
      <c r="AO152" s="1">
        <v>17024844</v>
      </c>
      <c r="AP152" s="1">
        <v>46237053</v>
      </c>
      <c r="AQ152" s="1">
        <v>12652379</v>
      </c>
      <c r="AR152" s="1">
        <v>1897857</v>
      </c>
      <c r="AS152" s="1">
        <v>0</v>
      </c>
      <c r="AT152" s="1">
        <f t="shared" si="12"/>
        <v>77812133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13073241</v>
      </c>
      <c r="G153" s="1">
        <v>12817919</v>
      </c>
      <c r="H153" s="1">
        <v>0</v>
      </c>
      <c r="I153" s="1">
        <v>12184635</v>
      </c>
      <c r="J153" s="1">
        <v>0</v>
      </c>
      <c r="K153" s="1">
        <v>4620000</v>
      </c>
      <c r="L153" s="1">
        <v>0</v>
      </c>
      <c r="M153" s="1">
        <v>400000</v>
      </c>
      <c r="N153" s="1">
        <v>2500388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9291571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1785991</v>
      </c>
      <c r="AF153" s="1">
        <v>1111269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9994343</v>
      </c>
      <c r="AM153" s="1">
        <v>0</v>
      </c>
      <c r="AN153" s="1">
        <v>72110343</v>
      </c>
      <c r="AO153" s="1">
        <v>18823990</v>
      </c>
      <c r="AP153" s="1">
        <v>53286353</v>
      </c>
      <c r="AQ153" s="1">
        <v>13945815</v>
      </c>
      <c r="AR153" s="1">
        <v>2091872</v>
      </c>
      <c r="AS153" s="1">
        <v>0</v>
      </c>
      <c r="AT153" s="1">
        <f t="shared" si="12"/>
        <v>88148030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12935564</v>
      </c>
      <c r="G154" s="1">
        <v>12614333</v>
      </c>
      <c r="H154" s="1">
        <v>0</v>
      </c>
      <c r="I154" s="1">
        <v>11624156</v>
      </c>
      <c r="J154" s="1">
        <v>0</v>
      </c>
      <c r="K154" s="1">
        <v>4620000</v>
      </c>
      <c r="L154" s="1">
        <v>0</v>
      </c>
      <c r="M154" s="1">
        <v>400000</v>
      </c>
      <c r="N154" s="1">
        <v>2441854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8896858</v>
      </c>
      <c r="W154" s="1">
        <v>1100000</v>
      </c>
      <c r="X154" s="1">
        <v>681856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1744182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9113215</v>
      </c>
      <c r="AM154" s="1">
        <v>0</v>
      </c>
      <c r="AN154" s="1">
        <v>66172018</v>
      </c>
      <c r="AO154" s="1">
        <v>11756520</v>
      </c>
      <c r="AP154" s="1">
        <v>54415498</v>
      </c>
      <c r="AQ154" s="1">
        <v>13234404</v>
      </c>
      <c r="AR154" s="1">
        <v>1985161</v>
      </c>
      <c r="AS154" s="1">
        <v>0</v>
      </c>
      <c r="AT154" s="1">
        <f t="shared" si="12"/>
        <v>81391583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12223194</v>
      </c>
      <c r="G155" s="1">
        <v>7335436</v>
      </c>
      <c r="H155" s="1">
        <v>0</v>
      </c>
      <c r="I155" s="1">
        <v>12127846</v>
      </c>
      <c r="J155" s="1">
        <v>0</v>
      </c>
      <c r="K155" s="1">
        <v>4620000</v>
      </c>
      <c r="L155" s="1">
        <v>0</v>
      </c>
      <c r="M155" s="1">
        <v>400000</v>
      </c>
      <c r="N155" s="1">
        <v>2406992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17211502</v>
      </c>
      <c r="W155" s="1">
        <v>1100000</v>
      </c>
      <c r="X155" s="1">
        <v>1833479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1719280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10200221</v>
      </c>
      <c r="AM155" s="1">
        <v>0</v>
      </c>
      <c r="AN155" s="1">
        <v>72447950</v>
      </c>
      <c r="AO155" s="1">
        <v>19329769</v>
      </c>
      <c r="AP155" s="1">
        <v>53118181</v>
      </c>
      <c r="AQ155" s="1">
        <v>14235590</v>
      </c>
      <c r="AR155" s="1">
        <v>2135339</v>
      </c>
      <c r="AS155" s="1">
        <v>0</v>
      </c>
      <c r="AT155" s="1">
        <f t="shared" si="12"/>
        <v>88818879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16447941</v>
      </c>
      <c r="G156" s="1">
        <v>22857370</v>
      </c>
      <c r="H156" s="1">
        <v>0</v>
      </c>
      <c r="I156" s="1">
        <v>13808764</v>
      </c>
      <c r="J156" s="1">
        <v>0</v>
      </c>
      <c r="K156" s="1">
        <v>5500000</v>
      </c>
      <c r="L156" s="1">
        <v>0</v>
      </c>
      <c r="M156" s="1">
        <v>400000</v>
      </c>
      <c r="N156" s="1">
        <v>3001978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17065993</v>
      </c>
      <c r="W156" s="1">
        <v>1100000</v>
      </c>
      <c r="X156" s="1">
        <v>2467191</v>
      </c>
      <c r="Y156" s="1">
        <v>0</v>
      </c>
      <c r="Z156" s="1">
        <v>0</v>
      </c>
      <c r="AA156" s="1">
        <v>0</v>
      </c>
      <c r="AB156" s="1">
        <v>0</v>
      </c>
      <c r="AC156" s="1">
        <v>3180690</v>
      </c>
      <c r="AD156" s="1">
        <v>0</v>
      </c>
      <c r="AE156" s="1">
        <v>2144270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15594114</v>
      </c>
      <c r="AM156" s="1">
        <v>0</v>
      </c>
      <c r="AN156" s="1">
        <v>104679580</v>
      </c>
      <c r="AO156" s="1">
        <v>13888789</v>
      </c>
      <c r="AP156" s="1">
        <v>90790791</v>
      </c>
      <c r="AQ156" s="1">
        <v>15557766</v>
      </c>
      <c r="AR156" s="1">
        <v>2333665</v>
      </c>
      <c r="AS156" s="1">
        <v>0</v>
      </c>
      <c r="AT156" s="1">
        <f t="shared" si="12"/>
        <v>122571011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14481168</v>
      </c>
      <c r="G157" s="1">
        <v>12736131</v>
      </c>
      <c r="H157" s="1">
        <v>0</v>
      </c>
      <c r="I157" s="1">
        <v>11203858</v>
      </c>
      <c r="J157" s="1">
        <v>0</v>
      </c>
      <c r="K157" s="1">
        <v>5500000</v>
      </c>
      <c r="L157" s="1">
        <v>0</v>
      </c>
      <c r="M157" s="1">
        <v>400000</v>
      </c>
      <c r="N157" s="1">
        <v>2361566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3175763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1686832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2024200</v>
      </c>
      <c r="AM157" s="1">
        <v>0</v>
      </c>
      <c r="AN157" s="1">
        <v>54669518</v>
      </c>
      <c r="AO157" s="1">
        <v>10317992</v>
      </c>
      <c r="AP157" s="1">
        <v>44351526</v>
      </c>
      <c r="AQ157" s="1">
        <v>10933904</v>
      </c>
      <c r="AR157" s="1">
        <v>1640086</v>
      </c>
      <c r="AS157" s="1">
        <v>0</v>
      </c>
      <c r="AT157" s="1">
        <f t="shared" si="12"/>
        <v>67243508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18030270</v>
      </c>
      <c r="G158" s="1">
        <v>6773079</v>
      </c>
      <c r="H158" s="1">
        <v>0</v>
      </c>
      <c r="I158" s="1">
        <v>17385443</v>
      </c>
      <c r="J158" s="1">
        <v>0</v>
      </c>
      <c r="K158" s="1">
        <v>5500000</v>
      </c>
      <c r="L158" s="1">
        <v>0</v>
      </c>
      <c r="M158" s="1">
        <v>400000</v>
      </c>
      <c r="N158" s="1">
        <v>2646808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1270000</v>
      </c>
      <c r="U158" s="1">
        <v>0</v>
      </c>
      <c r="V158" s="1">
        <v>4222179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1890577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2268692</v>
      </c>
      <c r="AM158" s="1">
        <v>0</v>
      </c>
      <c r="AN158" s="1">
        <v>62598317</v>
      </c>
      <c r="AO158" s="1">
        <v>13624296</v>
      </c>
      <c r="AP158" s="1">
        <v>48974021</v>
      </c>
      <c r="AQ158" s="1">
        <v>12043410</v>
      </c>
      <c r="AR158" s="1">
        <v>1806511</v>
      </c>
      <c r="AS158" s="1">
        <v>0</v>
      </c>
      <c r="AT158" s="1">
        <f t="shared" si="12"/>
        <v>76448238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11696673</v>
      </c>
      <c r="G159" s="1">
        <v>3326610</v>
      </c>
      <c r="H159" s="1">
        <v>0</v>
      </c>
      <c r="I159" s="1">
        <v>10978697</v>
      </c>
      <c r="J159" s="1">
        <v>0</v>
      </c>
      <c r="K159" s="1">
        <v>3465000</v>
      </c>
      <c r="L159" s="1">
        <v>0</v>
      </c>
      <c r="M159" s="1">
        <v>400000</v>
      </c>
      <c r="N159" s="1">
        <v>2222709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15488977</v>
      </c>
      <c r="W159" s="1">
        <v>1100000</v>
      </c>
      <c r="X159" s="1">
        <v>1754501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1587650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8716492</v>
      </c>
      <c r="AM159" s="1">
        <v>0</v>
      </c>
      <c r="AN159" s="1">
        <v>62007309</v>
      </c>
      <c r="AO159" s="1">
        <v>14589401</v>
      </c>
      <c r="AP159" s="1">
        <v>47417908</v>
      </c>
      <c r="AQ159" s="1">
        <v>12147462</v>
      </c>
      <c r="AR159" s="1">
        <v>1822119</v>
      </c>
      <c r="AS159" s="1">
        <v>0</v>
      </c>
      <c r="AT159" s="1">
        <f t="shared" si="12"/>
        <v>75976890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12086809</v>
      </c>
      <c r="G160" s="1">
        <v>2858869</v>
      </c>
      <c r="H160" s="1">
        <v>0</v>
      </c>
      <c r="I160" s="1">
        <v>11036620</v>
      </c>
      <c r="J160" s="1">
        <v>0</v>
      </c>
      <c r="K160" s="1">
        <v>3465000</v>
      </c>
      <c r="L160" s="1">
        <v>0</v>
      </c>
      <c r="M160" s="1">
        <v>400000</v>
      </c>
      <c r="N160" s="1">
        <v>2354766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12706084</v>
      </c>
      <c r="W160" s="1">
        <v>1100000</v>
      </c>
      <c r="X160" s="1">
        <v>1813021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1681976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9142924</v>
      </c>
      <c r="AM160" s="1">
        <v>0</v>
      </c>
      <c r="AN160" s="1">
        <v>59916069</v>
      </c>
      <c r="AO160" s="1">
        <v>8844539</v>
      </c>
      <c r="AP160" s="1">
        <v>51071530</v>
      </c>
      <c r="AQ160" s="1">
        <v>11729214</v>
      </c>
      <c r="AR160" s="1">
        <v>1759382</v>
      </c>
      <c r="AS160" s="1">
        <v>0</v>
      </c>
      <c r="AT160" s="1">
        <f t="shared" si="12"/>
        <v>73404665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10968345</v>
      </c>
      <c r="G161" s="1">
        <v>0</v>
      </c>
      <c r="H161" s="1">
        <v>0</v>
      </c>
      <c r="I161" s="1">
        <v>9650011</v>
      </c>
      <c r="J161" s="1">
        <v>0</v>
      </c>
      <c r="K161" s="1">
        <v>4620000</v>
      </c>
      <c r="L161" s="1">
        <v>0</v>
      </c>
      <c r="M161" s="1">
        <v>400000</v>
      </c>
      <c r="N161" s="1">
        <v>2288250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7522793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1629573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3851718</v>
      </c>
      <c r="AM161" s="1">
        <v>0</v>
      </c>
      <c r="AN161" s="1">
        <v>44230621</v>
      </c>
      <c r="AO161" s="1">
        <v>7606148</v>
      </c>
      <c r="AP161" s="1">
        <v>36624473</v>
      </c>
      <c r="AQ161" s="1">
        <v>8406138</v>
      </c>
      <c r="AR161" s="1">
        <v>1260921</v>
      </c>
      <c r="AS161" s="1">
        <v>0</v>
      </c>
      <c r="AT161" s="1">
        <f t="shared" si="12"/>
        <v>53897680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12074752</v>
      </c>
      <c r="G162" s="1">
        <v>12218360</v>
      </c>
      <c r="H162" s="1">
        <v>0</v>
      </c>
      <c r="I162" s="1">
        <v>11305938</v>
      </c>
      <c r="J162" s="1">
        <v>0</v>
      </c>
      <c r="K162" s="1">
        <v>4620000</v>
      </c>
      <c r="L162" s="1">
        <v>0</v>
      </c>
      <c r="M162" s="1">
        <v>400000</v>
      </c>
      <c r="N162" s="1">
        <v>2333519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8617579</v>
      </c>
      <c r="W162" s="1">
        <v>1100000</v>
      </c>
      <c r="X162" s="1">
        <v>1811213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1666799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9289543</v>
      </c>
      <c r="AM162" s="1">
        <v>0</v>
      </c>
      <c r="AN162" s="1">
        <v>66707703</v>
      </c>
      <c r="AO162" s="1">
        <v>11551535</v>
      </c>
      <c r="AP162" s="1">
        <v>55156168</v>
      </c>
      <c r="AQ162" s="1">
        <v>13087541</v>
      </c>
      <c r="AR162" s="1">
        <v>1963131</v>
      </c>
      <c r="AS162" s="1">
        <v>0</v>
      </c>
      <c r="AT162" s="1">
        <f t="shared" si="12"/>
        <v>81758375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f t="shared" si="12"/>
        <v>0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16442926</v>
      </c>
      <c r="G164" s="1">
        <v>650412</v>
      </c>
      <c r="H164" s="1">
        <v>0</v>
      </c>
      <c r="I164" s="1">
        <v>13831659</v>
      </c>
      <c r="J164" s="1">
        <v>0</v>
      </c>
      <c r="K164" s="1">
        <v>4125000</v>
      </c>
      <c r="L164" s="1">
        <v>0</v>
      </c>
      <c r="M164" s="1">
        <v>400000</v>
      </c>
      <c r="N164" s="1">
        <v>2963859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6068640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2117043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3175564</v>
      </c>
      <c r="AM164" s="1">
        <v>0</v>
      </c>
      <c r="AN164" s="1">
        <v>52145103</v>
      </c>
      <c r="AO164" s="1">
        <v>15631482</v>
      </c>
      <c r="AP164" s="1">
        <v>36513621</v>
      </c>
      <c r="AQ164" s="1">
        <v>10175021</v>
      </c>
      <c r="AR164" s="1">
        <v>1526253</v>
      </c>
      <c r="AS164" s="1">
        <v>0</v>
      </c>
      <c r="AT164" s="1">
        <f t="shared" si="12"/>
        <v>63846377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11977005</v>
      </c>
      <c r="G165" s="1">
        <v>9422810</v>
      </c>
      <c r="H165" s="1">
        <v>0</v>
      </c>
      <c r="I165" s="1">
        <v>10910392</v>
      </c>
      <c r="J165" s="1">
        <v>0</v>
      </c>
      <c r="K165" s="1">
        <v>4620000</v>
      </c>
      <c r="L165" s="1">
        <v>0</v>
      </c>
      <c r="M165" s="1">
        <v>400000</v>
      </c>
      <c r="N165" s="1">
        <v>2320826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15794425</v>
      </c>
      <c r="W165" s="1">
        <v>1100000</v>
      </c>
      <c r="X165" s="1">
        <v>1796551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1657732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9030465</v>
      </c>
      <c r="AM165" s="1">
        <v>0</v>
      </c>
      <c r="AN165" s="1">
        <v>70300206</v>
      </c>
      <c r="AO165" s="1">
        <v>13235074</v>
      </c>
      <c r="AP165" s="1">
        <v>57065132</v>
      </c>
      <c r="AQ165" s="1">
        <v>13806041</v>
      </c>
      <c r="AR165" s="1">
        <v>2070906</v>
      </c>
      <c r="AS165" s="1">
        <v>0</v>
      </c>
      <c r="AT165" s="1">
        <f t="shared" si="12"/>
        <v>86177153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16102701</v>
      </c>
      <c r="G166" s="1">
        <v>0</v>
      </c>
      <c r="H166" s="1">
        <v>0</v>
      </c>
      <c r="I166" s="1">
        <v>13088374</v>
      </c>
      <c r="J166" s="1">
        <v>0</v>
      </c>
      <c r="K166" s="1">
        <v>4125000</v>
      </c>
      <c r="L166" s="1">
        <v>0</v>
      </c>
      <c r="M166" s="1">
        <v>400000</v>
      </c>
      <c r="N166" s="1">
        <v>2847260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7651851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2033757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3254012</v>
      </c>
      <c r="AM166" s="1">
        <v>0</v>
      </c>
      <c r="AN166" s="1">
        <v>51872955</v>
      </c>
      <c r="AO166" s="1">
        <v>13243191</v>
      </c>
      <c r="AP166" s="1">
        <v>38629764</v>
      </c>
      <c r="AQ166" s="1">
        <v>10120591</v>
      </c>
      <c r="AR166" s="1">
        <v>1518089</v>
      </c>
      <c r="AS166" s="1">
        <v>0</v>
      </c>
      <c r="AT166" s="1">
        <f t="shared" si="12"/>
        <v>63511635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12130852</v>
      </c>
      <c r="G167" s="1">
        <v>553051</v>
      </c>
      <c r="H167" s="1">
        <v>0</v>
      </c>
      <c r="I167" s="1">
        <v>10620093</v>
      </c>
      <c r="J167" s="1">
        <v>950000</v>
      </c>
      <c r="K167" s="1">
        <v>3465000</v>
      </c>
      <c r="L167" s="1">
        <v>0</v>
      </c>
      <c r="M167" s="1">
        <v>400000</v>
      </c>
      <c r="N167" s="1">
        <v>2320596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1270000</v>
      </c>
      <c r="U167" s="1">
        <v>0</v>
      </c>
      <c r="V167" s="1">
        <v>7216210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1657568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3978165</v>
      </c>
      <c r="AM167" s="1">
        <v>0</v>
      </c>
      <c r="AN167" s="1">
        <v>46772804</v>
      </c>
      <c r="AO167" s="1">
        <v>10237490</v>
      </c>
      <c r="AP167" s="1">
        <v>36535314</v>
      </c>
      <c r="AQ167" s="1">
        <v>8688307</v>
      </c>
      <c r="AR167" s="1">
        <v>1303246</v>
      </c>
      <c r="AS167" s="1">
        <v>0</v>
      </c>
      <c r="AT167" s="1">
        <f t="shared" si="12"/>
        <v>56764357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12420051</v>
      </c>
      <c r="G168" s="1">
        <v>0</v>
      </c>
      <c r="H168" s="1">
        <v>0</v>
      </c>
      <c r="I168" s="1">
        <v>11203118</v>
      </c>
      <c r="J168" s="1">
        <v>0</v>
      </c>
      <c r="K168" s="1">
        <v>3465000</v>
      </c>
      <c r="L168" s="1">
        <v>0</v>
      </c>
      <c r="M168" s="1">
        <v>400000</v>
      </c>
      <c r="N168" s="1">
        <v>2428552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1270000</v>
      </c>
      <c r="U168" s="1">
        <v>0</v>
      </c>
      <c r="V168" s="1">
        <v>7508163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1734680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4163232</v>
      </c>
      <c r="AM168" s="1">
        <v>0</v>
      </c>
      <c r="AN168" s="1">
        <v>45692796</v>
      </c>
      <c r="AO168" s="1">
        <v>12022551</v>
      </c>
      <c r="AP168" s="1">
        <v>33670245</v>
      </c>
      <c r="AQ168" s="1">
        <v>8884559</v>
      </c>
      <c r="AR168" s="1">
        <v>1332684</v>
      </c>
      <c r="AS168" s="1">
        <v>0</v>
      </c>
      <c r="AT168" s="1">
        <f t="shared" si="12"/>
        <v>55910039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14049434</v>
      </c>
      <c r="G169" s="1">
        <v>13533796</v>
      </c>
      <c r="H169" s="1">
        <v>0</v>
      </c>
      <c r="I169" s="1">
        <v>12077826</v>
      </c>
      <c r="J169" s="1">
        <v>0</v>
      </c>
      <c r="K169" s="1">
        <v>4125000</v>
      </c>
      <c r="L169" s="1">
        <v>0</v>
      </c>
      <c r="M169" s="1">
        <v>400000</v>
      </c>
      <c r="N169" s="1">
        <v>2243386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1270000</v>
      </c>
      <c r="U169" s="1">
        <v>0</v>
      </c>
      <c r="V169" s="1">
        <v>5490280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2482232</v>
      </c>
      <c r="AD169" s="1">
        <v>0</v>
      </c>
      <c r="AE169" s="1">
        <v>1602419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2403628</v>
      </c>
      <c r="AM169" s="1">
        <v>0</v>
      </c>
      <c r="AN169" s="1">
        <v>60778001</v>
      </c>
      <c r="AO169" s="1">
        <v>15888442</v>
      </c>
      <c r="AP169" s="1">
        <v>44889559</v>
      </c>
      <c r="AQ169" s="1">
        <v>11901600</v>
      </c>
      <c r="AR169" s="1">
        <v>1785240</v>
      </c>
      <c r="AS169" s="1">
        <v>0</v>
      </c>
      <c r="AT169" s="1">
        <f t="shared" si="12"/>
        <v>74464841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17227839</v>
      </c>
      <c r="G170" s="1">
        <v>19854041</v>
      </c>
      <c r="H170" s="1">
        <v>0</v>
      </c>
      <c r="I170" s="1">
        <v>16636496</v>
      </c>
      <c r="J170" s="1">
        <v>0</v>
      </c>
      <c r="K170" s="1">
        <v>5500000</v>
      </c>
      <c r="L170" s="1">
        <v>0</v>
      </c>
      <c r="M170" s="1">
        <v>400000</v>
      </c>
      <c r="N170" s="1">
        <v>2963612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10092808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2116866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5419177</v>
      </c>
      <c r="AM170" s="1">
        <v>0</v>
      </c>
      <c r="AN170" s="1">
        <v>81310839</v>
      </c>
      <c r="AO170" s="1">
        <v>17727006</v>
      </c>
      <c r="AP170" s="1">
        <v>63583833</v>
      </c>
      <c r="AQ170" s="1">
        <v>15557766</v>
      </c>
      <c r="AR170" s="1">
        <v>2333665</v>
      </c>
      <c r="AS170" s="1">
        <v>0</v>
      </c>
      <c r="AT170" s="1">
        <f t="shared" si="12"/>
        <v>99202270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4971494</v>
      </c>
      <c r="G171" s="1">
        <v>1454608</v>
      </c>
      <c r="H171" s="1">
        <v>0</v>
      </c>
      <c r="I171" s="1">
        <v>3529761</v>
      </c>
      <c r="J171" s="1">
        <v>0</v>
      </c>
      <c r="K171" s="1">
        <v>0</v>
      </c>
      <c r="L171" s="1">
        <v>5647960</v>
      </c>
      <c r="M171" s="1">
        <v>400000</v>
      </c>
      <c r="N171" s="1">
        <v>2469285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4503144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2649348</v>
      </c>
      <c r="AE171" s="1">
        <v>0</v>
      </c>
      <c r="AF171" s="1">
        <v>3333807</v>
      </c>
      <c r="AG171" s="1">
        <v>1043817</v>
      </c>
      <c r="AH171" s="1">
        <v>0</v>
      </c>
      <c r="AI171" s="1">
        <v>0</v>
      </c>
      <c r="AJ171" s="1">
        <v>2068776</v>
      </c>
      <c r="AK171" s="1">
        <v>0</v>
      </c>
      <c r="AL171" s="1">
        <v>0</v>
      </c>
      <c r="AM171" s="1">
        <v>0</v>
      </c>
      <c r="AN171" s="1">
        <v>33172000</v>
      </c>
      <c r="AO171" s="1">
        <v>7047595</v>
      </c>
      <c r="AP171" s="1">
        <v>26124405</v>
      </c>
      <c r="AQ171" s="1">
        <v>5967639</v>
      </c>
      <c r="AR171" s="1">
        <v>895146</v>
      </c>
      <c r="AS171" s="1">
        <v>795000</v>
      </c>
      <c r="AT171" s="1">
        <f t="shared" si="12"/>
        <v>40829785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22764396</v>
      </c>
      <c r="G172" s="1">
        <v>7709271</v>
      </c>
      <c r="H172" s="1">
        <v>0</v>
      </c>
      <c r="I172" s="1">
        <v>22402401</v>
      </c>
      <c r="J172" s="1">
        <v>0</v>
      </c>
      <c r="K172" s="1">
        <v>0</v>
      </c>
      <c r="L172" s="1">
        <v>0</v>
      </c>
      <c r="M172" s="1">
        <v>400000</v>
      </c>
      <c r="N172" s="1">
        <v>3557341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11869575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2776365</v>
      </c>
      <c r="AD172" s="1">
        <v>0</v>
      </c>
      <c r="AE172" s="1">
        <v>2540958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4573724</v>
      </c>
      <c r="AM172" s="1">
        <v>0</v>
      </c>
      <c r="AN172" s="1">
        <v>84297838</v>
      </c>
      <c r="AO172" s="1">
        <v>17961567</v>
      </c>
      <c r="AP172" s="1">
        <v>66336271</v>
      </c>
      <c r="AQ172" s="1">
        <v>15557766</v>
      </c>
      <c r="AR172" s="1">
        <v>2333665</v>
      </c>
      <c r="AS172" s="1">
        <v>0</v>
      </c>
      <c r="AT172" s="1">
        <f t="shared" si="12"/>
        <v>102189269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7154742</v>
      </c>
      <c r="G173" s="1">
        <v>6349652</v>
      </c>
      <c r="H173" s="1">
        <v>0</v>
      </c>
      <c r="I173" s="1">
        <v>5294509</v>
      </c>
      <c r="J173" s="1">
        <v>0</v>
      </c>
      <c r="K173" s="1">
        <v>0</v>
      </c>
      <c r="L173" s="1">
        <v>3620700</v>
      </c>
      <c r="M173" s="1">
        <v>400000</v>
      </c>
      <c r="N173" s="1">
        <v>3790592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5019728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2979081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2322159</v>
      </c>
      <c r="AK173" s="1">
        <v>0</v>
      </c>
      <c r="AL173" s="1">
        <v>0</v>
      </c>
      <c r="AM173" s="1">
        <v>0</v>
      </c>
      <c r="AN173" s="1">
        <v>40253701</v>
      </c>
      <c r="AO173" s="1">
        <v>9292933</v>
      </c>
      <c r="AP173" s="1">
        <v>30960768</v>
      </c>
      <c r="AQ173" s="1">
        <v>7606233</v>
      </c>
      <c r="AR173" s="1">
        <v>1140935</v>
      </c>
      <c r="AS173" s="1">
        <v>1060000</v>
      </c>
      <c r="AT173" s="1">
        <f t="shared" si="12"/>
        <v>50060869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6349520</v>
      </c>
      <c r="G174" s="1">
        <v>4448536</v>
      </c>
      <c r="H174" s="1">
        <v>0</v>
      </c>
      <c r="I174" s="1">
        <v>4698645</v>
      </c>
      <c r="J174" s="1">
        <v>0</v>
      </c>
      <c r="K174" s="1">
        <v>0</v>
      </c>
      <c r="L174" s="1">
        <v>3620700</v>
      </c>
      <c r="M174" s="1">
        <v>400000</v>
      </c>
      <c r="N174" s="1">
        <v>3341853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4585019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2701608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2108935</v>
      </c>
      <c r="AK174" s="1">
        <v>0</v>
      </c>
      <c r="AL174" s="1">
        <v>0</v>
      </c>
      <c r="AM174" s="1">
        <v>0</v>
      </c>
      <c r="AN174" s="1">
        <v>34466085</v>
      </c>
      <c r="AO174" s="1">
        <v>9977192</v>
      </c>
      <c r="AP174" s="1">
        <v>24488893</v>
      </c>
      <c r="AQ174" s="1">
        <v>6670963</v>
      </c>
      <c r="AR174" s="1">
        <v>1000644</v>
      </c>
      <c r="AS174" s="1">
        <v>795000</v>
      </c>
      <c r="AT174" s="1">
        <f t="shared" si="12"/>
        <v>42932692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13306631</v>
      </c>
      <c r="G175" s="1">
        <v>17299773</v>
      </c>
      <c r="H175" s="1">
        <v>0</v>
      </c>
      <c r="I175" s="1">
        <v>15506939</v>
      </c>
      <c r="J175" s="1">
        <v>0</v>
      </c>
      <c r="K175" s="1">
        <v>0</v>
      </c>
      <c r="L175" s="1">
        <v>0</v>
      </c>
      <c r="M175" s="1">
        <v>400000</v>
      </c>
      <c r="N175" s="1">
        <v>2777513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3921554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2466221</v>
      </c>
      <c r="AD175" s="1">
        <v>0</v>
      </c>
      <c r="AE175" s="1">
        <v>1983938</v>
      </c>
      <c r="AF175" s="1">
        <v>2222538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3174300</v>
      </c>
      <c r="AM175" s="1">
        <v>0</v>
      </c>
      <c r="AN175" s="1">
        <v>64159407</v>
      </c>
      <c r="AO175" s="1">
        <v>35312376</v>
      </c>
      <c r="AP175" s="1">
        <v>28847031</v>
      </c>
      <c r="AQ175" s="1">
        <v>12387374</v>
      </c>
      <c r="AR175" s="1">
        <v>1858106</v>
      </c>
      <c r="AS175" s="1">
        <v>0</v>
      </c>
      <c r="AT175" s="1">
        <f t="shared" si="12"/>
        <v>78404887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6254198</v>
      </c>
      <c r="G176" s="1">
        <v>599980</v>
      </c>
      <c r="H176" s="1">
        <v>0</v>
      </c>
      <c r="I176" s="1">
        <v>5003358</v>
      </c>
      <c r="J176" s="1">
        <v>0</v>
      </c>
      <c r="K176" s="1">
        <v>0</v>
      </c>
      <c r="L176" s="1">
        <v>4015077</v>
      </c>
      <c r="M176" s="1">
        <v>400000</v>
      </c>
      <c r="N176" s="1">
        <v>3291683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2006432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23781997</v>
      </c>
      <c r="AO176" s="1">
        <v>6998732</v>
      </c>
      <c r="AP176" s="1">
        <v>16783265</v>
      </c>
      <c r="AQ176" s="1">
        <v>4534146</v>
      </c>
      <c r="AR176" s="1">
        <v>680122</v>
      </c>
      <c r="AS176" s="1">
        <v>795000</v>
      </c>
      <c r="AT176" s="1">
        <f t="shared" si="12"/>
        <v>29791265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5466396</v>
      </c>
      <c r="G177" s="1">
        <v>4948722</v>
      </c>
      <c r="H177" s="1">
        <v>0</v>
      </c>
      <c r="I177" s="1">
        <v>3881141</v>
      </c>
      <c r="J177" s="1">
        <v>0</v>
      </c>
      <c r="K177" s="1">
        <v>0</v>
      </c>
      <c r="L177" s="1">
        <v>3792748</v>
      </c>
      <c r="M177" s="1">
        <v>400000</v>
      </c>
      <c r="N177" s="1">
        <v>2915411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5837269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2408354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34926325</v>
      </c>
      <c r="AO177" s="1">
        <v>4412056</v>
      </c>
      <c r="AP177" s="1">
        <v>30514269</v>
      </c>
      <c r="AQ177" s="1">
        <v>6763011</v>
      </c>
      <c r="AR177" s="1">
        <v>1014452</v>
      </c>
      <c r="AS177" s="1">
        <v>300000</v>
      </c>
      <c r="AT177" s="1">
        <f t="shared" si="12"/>
        <v>43003788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6704331</v>
      </c>
      <c r="G178" s="1">
        <v>6985873</v>
      </c>
      <c r="H178" s="1">
        <v>0</v>
      </c>
      <c r="I178" s="1">
        <v>4693032</v>
      </c>
      <c r="J178" s="1">
        <v>0</v>
      </c>
      <c r="K178" s="1">
        <v>0</v>
      </c>
      <c r="L178" s="1">
        <v>3620700</v>
      </c>
      <c r="M178" s="1">
        <v>400000</v>
      </c>
      <c r="N178" s="1">
        <v>3528595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6665514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2781999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40009748</v>
      </c>
      <c r="AO178" s="1">
        <v>6365638</v>
      </c>
      <c r="AP178" s="1">
        <v>33644110</v>
      </c>
      <c r="AQ178" s="1">
        <v>8001950</v>
      </c>
      <c r="AR178" s="1">
        <v>1200292</v>
      </c>
      <c r="AS178" s="1">
        <v>530000</v>
      </c>
      <c r="AT178" s="1">
        <f t="shared" si="12"/>
        <v>49741990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6234095</v>
      </c>
      <c r="G179" s="1">
        <v>8929567</v>
      </c>
      <c r="H179" s="1">
        <v>0</v>
      </c>
      <c r="I179" s="1">
        <v>4488549</v>
      </c>
      <c r="J179" s="1">
        <v>0</v>
      </c>
      <c r="K179" s="1">
        <v>0</v>
      </c>
      <c r="L179" s="1">
        <v>3620700</v>
      </c>
      <c r="M179" s="1">
        <v>400000</v>
      </c>
      <c r="N179" s="1">
        <v>3302832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6366104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2646926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42673030</v>
      </c>
      <c r="AO179" s="1">
        <v>6708945</v>
      </c>
      <c r="AP179" s="1">
        <v>35964085</v>
      </c>
      <c r="AQ179" s="1">
        <v>8090098</v>
      </c>
      <c r="AR179" s="1">
        <v>1213515</v>
      </c>
      <c r="AS179" s="1">
        <v>795000</v>
      </c>
      <c r="AT179" s="1">
        <f t="shared" si="12"/>
        <v>52771643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6058258</v>
      </c>
      <c r="G180" s="1">
        <v>3420814</v>
      </c>
      <c r="H180" s="1">
        <v>0</v>
      </c>
      <c r="I180" s="1">
        <v>4361946</v>
      </c>
      <c r="J180" s="1">
        <v>0</v>
      </c>
      <c r="K180" s="1">
        <v>0</v>
      </c>
      <c r="L180" s="1">
        <v>3620700</v>
      </c>
      <c r="M180" s="1">
        <v>400000</v>
      </c>
      <c r="N180" s="1">
        <v>3188557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6227546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28377821</v>
      </c>
      <c r="AO180" s="1">
        <v>5468140</v>
      </c>
      <c r="AP180" s="1">
        <v>22909681</v>
      </c>
      <c r="AQ180" s="1">
        <v>5675564</v>
      </c>
      <c r="AR180" s="1">
        <v>851335</v>
      </c>
      <c r="AS180" s="1">
        <v>1170000</v>
      </c>
      <c r="AT180" s="1">
        <f t="shared" si="12"/>
        <v>36074720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5793474</v>
      </c>
      <c r="G181" s="1">
        <v>4943566</v>
      </c>
      <c r="H181" s="1">
        <v>0</v>
      </c>
      <c r="I181" s="1">
        <v>3707823</v>
      </c>
      <c r="J181" s="1">
        <v>0</v>
      </c>
      <c r="K181" s="1">
        <v>0</v>
      </c>
      <c r="L181" s="1">
        <v>3620700</v>
      </c>
      <c r="M181" s="1">
        <v>400000</v>
      </c>
      <c r="N181" s="1">
        <v>3049197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5698960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30536258</v>
      </c>
      <c r="AO181" s="1">
        <v>4516958</v>
      </c>
      <c r="AP181" s="1">
        <v>26019300</v>
      </c>
      <c r="AQ181" s="1">
        <v>5662744</v>
      </c>
      <c r="AR181" s="1">
        <v>849412</v>
      </c>
      <c r="AS181" s="1">
        <v>1060000</v>
      </c>
      <c r="AT181" s="1">
        <f t="shared" si="12"/>
        <v>38108414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6875918</v>
      </c>
      <c r="G182" s="1">
        <v>7618221</v>
      </c>
      <c r="H182" s="1">
        <v>0</v>
      </c>
      <c r="I182" s="1">
        <v>5088179</v>
      </c>
      <c r="J182" s="1">
        <v>0</v>
      </c>
      <c r="K182" s="1">
        <v>0</v>
      </c>
      <c r="L182" s="1">
        <v>3620700</v>
      </c>
      <c r="M182" s="1">
        <v>400000</v>
      </c>
      <c r="N182" s="1">
        <v>3642870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6891949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36349106</v>
      </c>
      <c r="AO182" s="1">
        <v>5780477</v>
      </c>
      <c r="AP182" s="1">
        <v>30568629</v>
      </c>
      <c r="AQ182" s="1">
        <v>7047567</v>
      </c>
      <c r="AR182" s="1">
        <v>1057135</v>
      </c>
      <c r="AS182" s="1">
        <v>795000</v>
      </c>
      <c r="AT182" s="1">
        <f t="shared" si="12"/>
        <v>45248808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3849959</v>
      </c>
      <c r="G183" s="1">
        <v>1170281</v>
      </c>
      <c r="H183" s="1">
        <v>0</v>
      </c>
      <c r="I183" s="1">
        <v>2579473</v>
      </c>
      <c r="J183" s="1">
        <v>0</v>
      </c>
      <c r="K183" s="1">
        <v>0</v>
      </c>
      <c r="L183" s="1">
        <v>5092693</v>
      </c>
      <c r="M183" s="1">
        <v>400000</v>
      </c>
      <c r="N183" s="1">
        <v>1899651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6640190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2013266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29776726</v>
      </c>
      <c r="AO183" s="1">
        <v>6189023</v>
      </c>
      <c r="AP183" s="1">
        <v>23587703</v>
      </c>
      <c r="AQ183" s="1">
        <v>5510838</v>
      </c>
      <c r="AR183" s="1">
        <v>826626</v>
      </c>
      <c r="AS183" s="1">
        <v>795000</v>
      </c>
      <c r="AT183" s="1">
        <f t="shared" si="12"/>
        <v>36909190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7570349</v>
      </c>
      <c r="G184" s="1">
        <v>4290284</v>
      </c>
      <c r="H184" s="1">
        <v>0</v>
      </c>
      <c r="I184" s="1">
        <v>5450651</v>
      </c>
      <c r="J184" s="1">
        <v>0</v>
      </c>
      <c r="K184" s="1">
        <v>0</v>
      </c>
      <c r="L184" s="1">
        <v>3620700</v>
      </c>
      <c r="M184" s="1">
        <v>400000</v>
      </c>
      <c r="N184" s="1">
        <v>4010781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7365700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36031003</v>
      </c>
      <c r="AO184" s="1">
        <v>5440076</v>
      </c>
      <c r="AP184" s="1">
        <v>30590927</v>
      </c>
      <c r="AQ184" s="1">
        <v>6761693</v>
      </c>
      <c r="AR184" s="1">
        <v>1014254</v>
      </c>
      <c r="AS184" s="1">
        <v>1060000</v>
      </c>
      <c r="AT184" s="1">
        <f t="shared" si="12"/>
        <v>44866950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7022072</v>
      </c>
      <c r="G185" s="1">
        <v>3922667</v>
      </c>
      <c r="H185" s="1">
        <v>0</v>
      </c>
      <c r="I185" s="1">
        <v>5126112</v>
      </c>
      <c r="J185" s="1">
        <v>0</v>
      </c>
      <c r="K185" s="1">
        <v>0</v>
      </c>
      <c r="L185" s="1">
        <v>4088659</v>
      </c>
      <c r="M185" s="1">
        <v>400000</v>
      </c>
      <c r="N185" s="1">
        <v>3695827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6965618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2989900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2510507</v>
      </c>
      <c r="AK185" s="1">
        <v>0</v>
      </c>
      <c r="AL185" s="1">
        <v>0</v>
      </c>
      <c r="AM185" s="1">
        <v>0</v>
      </c>
      <c r="AN185" s="1">
        <v>40043900</v>
      </c>
      <c r="AO185" s="1">
        <v>6114241</v>
      </c>
      <c r="AP185" s="1">
        <v>33929659</v>
      </c>
      <c r="AQ185" s="1">
        <v>7564272</v>
      </c>
      <c r="AR185" s="1">
        <v>1134641</v>
      </c>
      <c r="AS185" s="1">
        <v>1060000</v>
      </c>
      <c r="AT185" s="1">
        <f t="shared" si="12"/>
        <v>49802813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6005301</v>
      </c>
      <c r="G186" s="1">
        <v>5237387</v>
      </c>
      <c r="H186" s="1">
        <v>0</v>
      </c>
      <c r="I186" s="1">
        <v>4503976</v>
      </c>
      <c r="J186" s="1">
        <v>0</v>
      </c>
      <c r="K186" s="1">
        <v>0</v>
      </c>
      <c r="L186" s="1">
        <v>3620700</v>
      </c>
      <c r="M186" s="1">
        <v>400000</v>
      </c>
      <c r="N186" s="1">
        <v>3160685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8361844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2593599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3591351</v>
      </c>
      <c r="AK186" s="1">
        <v>0</v>
      </c>
      <c r="AL186" s="1">
        <v>0</v>
      </c>
      <c r="AM186" s="1">
        <v>0</v>
      </c>
      <c r="AN186" s="1">
        <v>38574843</v>
      </c>
      <c r="AO186" s="1">
        <v>6800573</v>
      </c>
      <c r="AP186" s="1">
        <v>31774270</v>
      </c>
      <c r="AQ186" s="1">
        <v>7714969</v>
      </c>
      <c r="AR186" s="1">
        <v>1157245</v>
      </c>
      <c r="AS186" s="1">
        <v>300000</v>
      </c>
      <c r="AT186" s="1">
        <f t="shared" si="12"/>
        <v>47747057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7281560</v>
      </c>
      <c r="G187" s="1">
        <v>1735140</v>
      </c>
      <c r="H187" s="1">
        <v>0</v>
      </c>
      <c r="I187" s="1">
        <v>5388354</v>
      </c>
      <c r="J187" s="1">
        <v>0</v>
      </c>
      <c r="K187" s="1">
        <v>0</v>
      </c>
      <c r="L187" s="1">
        <v>3620700</v>
      </c>
      <c r="M187" s="1">
        <v>400000</v>
      </c>
      <c r="N187" s="1">
        <v>3832400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9622241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3018452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2776224</v>
      </c>
      <c r="AK187" s="1">
        <v>0</v>
      </c>
      <c r="AL187" s="1">
        <v>0</v>
      </c>
      <c r="AM187" s="1">
        <v>0</v>
      </c>
      <c r="AN187" s="1">
        <v>39886340</v>
      </c>
      <c r="AO187" s="1">
        <v>6933528</v>
      </c>
      <c r="AP187" s="1">
        <v>32952812</v>
      </c>
      <c r="AQ187" s="1">
        <v>7755014</v>
      </c>
      <c r="AR187" s="1">
        <v>1163252</v>
      </c>
      <c r="AS187" s="1">
        <v>585000</v>
      </c>
      <c r="AT187" s="1">
        <f t="shared" si="12"/>
        <v>49389606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6197270</v>
      </c>
      <c r="G188" s="1">
        <v>764914</v>
      </c>
      <c r="H188" s="1">
        <v>0</v>
      </c>
      <c r="I188" s="1">
        <v>4585979</v>
      </c>
      <c r="J188" s="1">
        <v>0</v>
      </c>
      <c r="K188" s="1">
        <v>0</v>
      </c>
      <c r="L188" s="1">
        <v>3620700</v>
      </c>
      <c r="M188" s="1">
        <v>400000</v>
      </c>
      <c r="N188" s="1">
        <v>3283322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8538335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29601789</v>
      </c>
      <c r="AO188" s="1">
        <v>3580534</v>
      </c>
      <c r="AP188" s="1">
        <v>26021255</v>
      </c>
      <c r="AQ188" s="1">
        <v>5698104</v>
      </c>
      <c r="AR188" s="1">
        <v>854716</v>
      </c>
      <c r="AS188" s="1">
        <v>585000</v>
      </c>
      <c r="AT188" s="1">
        <f t="shared" si="12"/>
        <v>36739609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6234095</v>
      </c>
      <c r="G189" s="1">
        <v>2955928</v>
      </c>
      <c r="H189" s="1">
        <v>0</v>
      </c>
      <c r="I189" s="1">
        <v>4363867</v>
      </c>
      <c r="J189" s="1">
        <v>0</v>
      </c>
      <c r="K189" s="1">
        <v>0</v>
      </c>
      <c r="L189" s="1">
        <v>3620700</v>
      </c>
      <c r="M189" s="1">
        <v>400000</v>
      </c>
      <c r="N189" s="1">
        <v>3302832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6324647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2628224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36491291</v>
      </c>
      <c r="AO189" s="1">
        <v>4237341</v>
      </c>
      <c r="AP189" s="1">
        <v>32253950</v>
      </c>
      <c r="AQ189" s="1">
        <v>6853751</v>
      </c>
      <c r="AR189" s="1">
        <v>1028063</v>
      </c>
      <c r="AS189" s="1">
        <v>0</v>
      </c>
      <c r="AT189" s="1">
        <f t="shared" si="12"/>
        <v>44373105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5184471</v>
      </c>
      <c r="G190" s="1">
        <v>4812672</v>
      </c>
      <c r="H190" s="1">
        <v>0</v>
      </c>
      <c r="I190" s="1">
        <v>3940198</v>
      </c>
      <c r="J190" s="1">
        <v>0</v>
      </c>
      <c r="K190" s="1">
        <v>0</v>
      </c>
      <c r="L190" s="1">
        <v>3997714</v>
      </c>
      <c r="M190" s="1">
        <v>400000</v>
      </c>
      <c r="N190" s="1">
        <v>2728669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7721218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2377658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37785256</v>
      </c>
      <c r="AO190" s="1">
        <v>7401455</v>
      </c>
      <c r="AP190" s="1">
        <v>30383801</v>
      </c>
      <c r="AQ190" s="1">
        <v>7112544</v>
      </c>
      <c r="AR190" s="1">
        <v>1066882</v>
      </c>
      <c r="AS190" s="1">
        <v>1060000</v>
      </c>
      <c r="AT190" s="1">
        <f t="shared" si="12"/>
        <v>47024682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6901547</v>
      </c>
      <c r="G191" s="1">
        <v>1912150</v>
      </c>
      <c r="H191" s="1">
        <v>0</v>
      </c>
      <c r="I191" s="1">
        <v>5659268</v>
      </c>
      <c r="J191" s="1">
        <v>0</v>
      </c>
      <c r="K191" s="1">
        <v>0</v>
      </c>
      <c r="L191" s="1">
        <v>3460800</v>
      </c>
      <c r="M191" s="1">
        <v>400000</v>
      </c>
      <c r="N191" s="1">
        <v>3680826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9435086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2955366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4079254</v>
      </c>
      <c r="AK191" s="1">
        <v>0</v>
      </c>
      <c r="AL191" s="1">
        <v>0</v>
      </c>
      <c r="AM191" s="1">
        <v>0</v>
      </c>
      <c r="AN191" s="1">
        <v>41806835</v>
      </c>
      <c r="AO191" s="1">
        <v>8077081</v>
      </c>
      <c r="AP191" s="1">
        <v>33729754</v>
      </c>
      <c r="AQ191" s="1">
        <v>7916859</v>
      </c>
      <c r="AR191" s="1">
        <v>1187529</v>
      </c>
      <c r="AS191" s="1">
        <v>1060000</v>
      </c>
      <c r="AT191" s="1">
        <f t="shared" si="12"/>
        <v>51971223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5311567</v>
      </c>
      <c r="G192" s="1">
        <v>1561204</v>
      </c>
      <c r="H192" s="1">
        <v>0</v>
      </c>
      <c r="I192" s="1">
        <v>3983675</v>
      </c>
      <c r="J192" s="1">
        <v>0</v>
      </c>
      <c r="K192" s="1">
        <v>0</v>
      </c>
      <c r="L192" s="1">
        <v>3910775</v>
      </c>
      <c r="M192" s="1">
        <v>400000</v>
      </c>
      <c r="N192" s="1">
        <v>2795562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7788203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2222538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29073524</v>
      </c>
      <c r="AO192" s="1">
        <v>4854219</v>
      </c>
      <c r="AP192" s="1">
        <v>24219305</v>
      </c>
      <c r="AQ192" s="1">
        <v>5370197</v>
      </c>
      <c r="AR192" s="1">
        <v>805530</v>
      </c>
      <c r="AS192" s="1">
        <v>795000</v>
      </c>
      <c r="AT192" s="1">
        <f t="shared" si="12"/>
        <v>36044251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4511919</v>
      </c>
      <c r="G193" s="1">
        <v>1461874</v>
      </c>
      <c r="H193" s="1">
        <v>0</v>
      </c>
      <c r="I193" s="1">
        <v>2842509</v>
      </c>
      <c r="J193" s="1">
        <v>0</v>
      </c>
      <c r="K193" s="1">
        <v>0</v>
      </c>
      <c r="L193" s="1">
        <v>5373399</v>
      </c>
      <c r="M193" s="1">
        <v>400000</v>
      </c>
      <c r="N193" s="1">
        <v>2226276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7322076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2243115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33933640</v>
      </c>
      <c r="AO193" s="1">
        <v>6201827</v>
      </c>
      <c r="AP193" s="1">
        <v>27731813</v>
      </c>
      <c r="AQ193" s="1">
        <v>6119967</v>
      </c>
      <c r="AR193" s="1">
        <v>917995</v>
      </c>
      <c r="AS193" s="1">
        <v>795000</v>
      </c>
      <c r="AT193" s="1">
        <f t="shared" si="12"/>
        <v>41766602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27062820</v>
      </c>
      <c r="G194" s="1">
        <v>13841764</v>
      </c>
      <c r="H194" s="1">
        <v>0</v>
      </c>
      <c r="I194" s="1">
        <v>29706049</v>
      </c>
      <c r="J194" s="1">
        <v>0</v>
      </c>
      <c r="K194" s="1">
        <v>5500000</v>
      </c>
      <c r="L194" s="1">
        <v>0</v>
      </c>
      <c r="M194" s="1">
        <v>400000</v>
      </c>
      <c r="N194" s="1">
        <v>4283150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23950502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3059392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6853039</v>
      </c>
      <c r="AM194" s="1">
        <v>0</v>
      </c>
      <c r="AN194" s="1">
        <v>117979254</v>
      </c>
      <c r="AO194" s="1">
        <v>30475087</v>
      </c>
      <c r="AP194" s="1">
        <v>87504167</v>
      </c>
      <c r="AQ194" s="1">
        <v>15557766</v>
      </c>
      <c r="AR194" s="1">
        <v>2333665</v>
      </c>
      <c r="AS194" s="1">
        <v>0</v>
      </c>
      <c r="AT194" s="1">
        <f t="shared" si="12"/>
        <v>135870685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6058258</v>
      </c>
      <c r="G195" s="1">
        <v>4048468</v>
      </c>
      <c r="H195" s="1">
        <v>0</v>
      </c>
      <c r="I195" s="1">
        <v>4119615</v>
      </c>
      <c r="J195" s="1">
        <v>0</v>
      </c>
      <c r="K195" s="1">
        <v>0</v>
      </c>
      <c r="L195" s="1">
        <v>3620700</v>
      </c>
      <c r="M195" s="1">
        <v>400000</v>
      </c>
      <c r="N195" s="1">
        <v>3188557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6146971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2548069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3238774</v>
      </c>
      <c r="AK195" s="1">
        <v>0</v>
      </c>
      <c r="AL195" s="1">
        <v>0</v>
      </c>
      <c r="AM195" s="1">
        <v>0</v>
      </c>
      <c r="AN195" s="1">
        <v>35580681</v>
      </c>
      <c r="AO195" s="1">
        <v>4962988</v>
      </c>
      <c r="AP195" s="1">
        <v>30617693</v>
      </c>
      <c r="AQ195" s="1">
        <v>6893882</v>
      </c>
      <c r="AR195" s="1">
        <v>1034082</v>
      </c>
      <c r="AS195" s="1">
        <v>795000</v>
      </c>
      <c r="AT195" s="1">
        <f t="shared" ref="AT195:AT258" si="17">AS195+AR195+AQ195+AN195</f>
        <v>44303645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4734338</v>
      </c>
      <c r="G196" s="1">
        <v>4714420</v>
      </c>
      <c r="H196" s="1">
        <v>0</v>
      </c>
      <c r="I196" s="1">
        <v>4024187</v>
      </c>
      <c r="J196" s="1">
        <v>0</v>
      </c>
      <c r="K196" s="1">
        <v>0</v>
      </c>
      <c r="L196" s="1">
        <v>5664173</v>
      </c>
      <c r="M196" s="1">
        <v>400000</v>
      </c>
      <c r="N196" s="1">
        <v>2336023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4792914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28877324</v>
      </c>
      <c r="AO196" s="1">
        <v>4313188</v>
      </c>
      <c r="AP196" s="1">
        <v>24564136</v>
      </c>
      <c r="AQ196" s="1">
        <v>5553211</v>
      </c>
      <c r="AR196" s="1">
        <v>832982</v>
      </c>
      <c r="AS196" s="1">
        <v>795000</v>
      </c>
      <c r="AT196" s="1">
        <f t="shared" si="17"/>
        <v>36058517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7949129</v>
      </c>
      <c r="G197" s="1">
        <v>24813523</v>
      </c>
      <c r="H197" s="1">
        <v>0</v>
      </c>
      <c r="I197" s="1">
        <v>5882356</v>
      </c>
      <c r="J197" s="1">
        <v>0</v>
      </c>
      <c r="K197" s="1">
        <v>0</v>
      </c>
      <c r="L197" s="1">
        <v>3620700</v>
      </c>
      <c r="M197" s="1">
        <v>400000</v>
      </c>
      <c r="N197" s="1">
        <v>4211459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4922274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55121979</v>
      </c>
      <c r="AO197" s="1">
        <v>12259679</v>
      </c>
      <c r="AP197" s="1">
        <v>42862300</v>
      </c>
      <c r="AQ197" s="1">
        <v>10579888</v>
      </c>
      <c r="AR197" s="1">
        <v>1586983</v>
      </c>
      <c r="AS197" s="1">
        <v>1060000</v>
      </c>
      <c r="AT197" s="1">
        <f t="shared" si="17"/>
        <v>68348850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6031780</v>
      </c>
      <c r="G198" s="1">
        <v>5971725</v>
      </c>
      <c r="H198" s="1">
        <v>0</v>
      </c>
      <c r="I198" s="1">
        <v>5850826</v>
      </c>
      <c r="J198" s="1">
        <v>0</v>
      </c>
      <c r="K198" s="1">
        <v>0</v>
      </c>
      <c r="L198" s="1">
        <v>4063405</v>
      </c>
      <c r="M198" s="1">
        <v>400000</v>
      </c>
      <c r="N198" s="1">
        <v>3174621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4278781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33093676</v>
      </c>
      <c r="AO198" s="1">
        <v>8530881</v>
      </c>
      <c r="AP198" s="1">
        <v>24562795</v>
      </c>
      <c r="AQ198" s="1">
        <v>6174228</v>
      </c>
      <c r="AR198" s="1">
        <v>926134</v>
      </c>
      <c r="AS198" s="1">
        <v>1060000</v>
      </c>
      <c r="AT198" s="1">
        <f t="shared" si="17"/>
        <v>41254038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10178076</v>
      </c>
      <c r="G199" s="1">
        <v>3209346</v>
      </c>
      <c r="H199" s="1">
        <v>0</v>
      </c>
      <c r="I199" s="1">
        <v>7098023</v>
      </c>
      <c r="J199" s="1">
        <v>0</v>
      </c>
      <c r="K199" s="1">
        <v>4620000</v>
      </c>
      <c r="L199" s="1">
        <v>0</v>
      </c>
      <c r="M199" s="1">
        <v>400000</v>
      </c>
      <c r="N199" s="1">
        <v>1619536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1270000</v>
      </c>
      <c r="U199" s="1">
        <v>0</v>
      </c>
      <c r="V199" s="1">
        <v>10426500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1156812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3377890</v>
      </c>
      <c r="AM199" s="1">
        <v>0</v>
      </c>
      <c r="AN199" s="1">
        <v>48205432</v>
      </c>
      <c r="AO199" s="1">
        <v>9140021</v>
      </c>
      <c r="AP199" s="1">
        <v>39065411</v>
      </c>
      <c r="AQ199" s="1">
        <v>8942579</v>
      </c>
      <c r="AR199" s="1">
        <v>1341387</v>
      </c>
      <c r="AS199" s="1">
        <v>0</v>
      </c>
      <c r="AT199" s="1">
        <f t="shared" si="17"/>
        <v>58489398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8692079</v>
      </c>
      <c r="G200" s="1">
        <v>8430934</v>
      </c>
      <c r="H200" s="1">
        <v>0</v>
      </c>
      <c r="I200" s="1">
        <v>9822050</v>
      </c>
      <c r="J200" s="1">
        <v>0</v>
      </c>
      <c r="K200" s="1">
        <v>0</v>
      </c>
      <c r="L200" s="1">
        <v>3460800</v>
      </c>
      <c r="M200" s="1">
        <v>400000</v>
      </c>
      <c r="N200" s="1">
        <v>4401053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9756594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47174779</v>
      </c>
      <c r="AO200" s="1">
        <v>6961797</v>
      </c>
      <c r="AP200" s="1">
        <v>40212982</v>
      </c>
      <c r="AQ200" s="1">
        <v>9212702</v>
      </c>
      <c r="AR200" s="1">
        <v>1381905</v>
      </c>
      <c r="AS200" s="1">
        <v>390000</v>
      </c>
      <c r="AT200" s="1">
        <f t="shared" si="17"/>
        <v>58159386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6218313</v>
      </c>
      <c r="G201" s="1">
        <v>4218096</v>
      </c>
      <c r="H201" s="1">
        <v>0</v>
      </c>
      <c r="I201" s="1">
        <v>4601552</v>
      </c>
      <c r="J201" s="1">
        <v>0</v>
      </c>
      <c r="K201" s="1">
        <v>0</v>
      </c>
      <c r="L201" s="1">
        <v>3620700</v>
      </c>
      <c r="M201" s="1">
        <v>400000</v>
      </c>
      <c r="N201" s="1">
        <v>3294470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8559590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2660255</v>
      </c>
      <c r="AE201" s="1">
        <v>0</v>
      </c>
      <c r="AF201" s="1">
        <v>1111269</v>
      </c>
      <c r="AG201" s="1">
        <v>0</v>
      </c>
      <c r="AH201" s="1">
        <v>0</v>
      </c>
      <c r="AI201" s="1">
        <v>2500000</v>
      </c>
      <c r="AJ201" s="1">
        <v>3681248</v>
      </c>
      <c r="AK201" s="1">
        <v>0</v>
      </c>
      <c r="AL201" s="1">
        <v>0</v>
      </c>
      <c r="AM201" s="1">
        <v>0</v>
      </c>
      <c r="AN201" s="1">
        <v>41965493</v>
      </c>
      <c r="AO201" s="1">
        <v>9810198</v>
      </c>
      <c r="AP201" s="1">
        <v>32155295</v>
      </c>
      <c r="AQ201" s="1">
        <v>7670845</v>
      </c>
      <c r="AR201" s="1">
        <v>1150627</v>
      </c>
      <c r="AS201" s="1">
        <v>900000</v>
      </c>
      <c r="AT201" s="1">
        <f t="shared" si="17"/>
        <v>51686965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6213052</v>
      </c>
      <c r="G202" s="1">
        <v>3628073</v>
      </c>
      <c r="H202" s="1">
        <v>0</v>
      </c>
      <c r="I202" s="1">
        <v>4535528</v>
      </c>
      <c r="J202" s="1">
        <v>0</v>
      </c>
      <c r="K202" s="1">
        <v>0</v>
      </c>
      <c r="L202" s="1">
        <v>3620700</v>
      </c>
      <c r="M202" s="1">
        <v>400000</v>
      </c>
      <c r="N202" s="1">
        <v>3291683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8526629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2649144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37631072</v>
      </c>
      <c r="AO202" s="1">
        <v>4906020</v>
      </c>
      <c r="AP202" s="1">
        <v>32725052</v>
      </c>
      <c r="AQ202" s="1">
        <v>7526214</v>
      </c>
      <c r="AR202" s="1">
        <v>1128932</v>
      </c>
      <c r="AS202" s="1">
        <v>530000</v>
      </c>
      <c r="AT202" s="1">
        <f t="shared" si="17"/>
        <v>46816218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6100623</v>
      </c>
      <c r="G203" s="1">
        <v>6393706</v>
      </c>
      <c r="H203" s="1">
        <v>0</v>
      </c>
      <c r="I203" s="1">
        <v>4453455</v>
      </c>
      <c r="J203" s="1">
        <v>0</v>
      </c>
      <c r="K203" s="1">
        <v>0</v>
      </c>
      <c r="L203" s="1">
        <v>3620700</v>
      </c>
      <c r="M203" s="1">
        <v>400000</v>
      </c>
      <c r="N203" s="1">
        <v>3210854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8404107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35905983</v>
      </c>
      <c r="AO203" s="1">
        <v>7916975</v>
      </c>
      <c r="AP203" s="1">
        <v>27989008</v>
      </c>
      <c r="AQ203" s="1">
        <v>6736689</v>
      </c>
      <c r="AR203" s="1">
        <v>1010503</v>
      </c>
      <c r="AS203" s="1">
        <v>530000</v>
      </c>
      <c r="AT203" s="1">
        <f t="shared" si="17"/>
        <v>44183175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7594005</v>
      </c>
      <c r="G204" s="1">
        <v>7430065</v>
      </c>
      <c r="H204" s="1">
        <v>0</v>
      </c>
      <c r="I204" s="1">
        <v>5695504</v>
      </c>
      <c r="J204" s="1">
        <v>0</v>
      </c>
      <c r="K204" s="1">
        <v>0</v>
      </c>
      <c r="L204" s="1">
        <v>3620700</v>
      </c>
      <c r="M204" s="1">
        <v>400000</v>
      </c>
      <c r="N204" s="1">
        <v>3996845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9971139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3136058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1">
        <v>49489801</v>
      </c>
      <c r="AO204" s="1">
        <v>12016576</v>
      </c>
      <c r="AP204" s="1">
        <v>37473225</v>
      </c>
      <c r="AQ204" s="1">
        <v>9453453</v>
      </c>
      <c r="AR204" s="1">
        <v>1418018</v>
      </c>
      <c r="AS204" s="1">
        <v>795000</v>
      </c>
      <c r="AT204" s="1">
        <f t="shared" si="17"/>
        <v>61156272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7039004</v>
      </c>
      <c r="G205" s="1">
        <v>4422386</v>
      </c>
      <c r="H205" s="1">
        <v>0</v>
      </c>
      <c r="I205" s="1">
        <v>5208863</v>
      </c>
      <c r="J205" s="1">
        <v>0</v>
      </c>
      <c r="K205" s="1">
        <v>0</v>
      </c>
      <c r="L205" s="1">
        <v>3620700</v>
      </c>
      <c r="M205" s="1">
        <v>400000</v>
      </c>
      <c r="N205" s="1">
        <v>3729274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9283050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2939676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4043325</v>
      </c>
      <c r="AK205" s="1">
        <v>0</v>
      </c>
      <c r="AL205" s="1">
        <v>0</v>
      </c>
      <c r="AM205" s="1">
        <v>0</v>
      </c>
      <c r="AN205" s="1">
        <v>44008816</v>
      </c>
      <c r="AO205" s="1">
        <v>8656452</v>
      </c>
      <c r="AP205" s="1">
        <v>35352364</v>
      </c>
      <c r="AQ205" s="1">
        <v>8357256</v>
      </c>
      <c r="AR205" s="1">
        <v>1253588</v>
      </c>
      <c r="AS205" s="1">
        <v>1060000</v>
      </c>
      <c r="AT205" s="1">
        <f t="shared" si="17"/>
        <v>54679660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5819952</v>
      </c>
      <c r="G206" s="1">
        <v>5044233</v>
      </c>
      <c r="H206" s="1">
        <v>0</v>
      </c>
      <c r="I206" s="1">
        <v>4132166</v>
      </c>
      <c r="J206" s="1">
        <v>0</v>
      </c>
      <c r="K206" s="1">
        <v>0</v>
      </c>
      <c r="L206" s="1">
        <v>3620700</v>
      </c>
      <c r="M206" s="1">
        <v>400000</v>
      </c>
      <c r="N206" s="1">
        <v>3063133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8070498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2495393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39427516</v>
      </c>
      <c r="AO206" s="1">
        <v>7677356</v>
      </c>
      <c r="AP206" s="1">
        <v>31750160</v>
      </c>
      <c r="AQ206" s="1">
        <v>7440996</v>
      </c>
      <c r="AR206" s="1">
        <v>1116149</v>
      </c>
      <c r="AS206" s="1">
        <v>1060000</v>
      </c>
      <c r="AT206" s="1">
        <f t="shared" si="17"/>
        <v>49044661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5857022</v>
      </c>
      <c r="G207" s="1">
        <v>1640330</v>
      </c>
      <c r="H207" s="1">
        <v>0</v>
      </c>
      <c r="I207" s="1">
        <v>4275626</v>
      </c>
      <c r="J207" s="1">
        <v>0</v>
      </c>
      <c r="K207" s="1">
        <v>0</v>
      </c>
      <c r="L207" s="1">
        <v>3620700</v>
      </c>
      <c r="M207" s="1">
        <v>400000</v>
      </c>
      <c r="N207" s="1">
        <v>3082643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8159516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2525399</v>
      </c>
      <c r="AE207" s="1">
        <v>0</v>
      </c>
      <c r="AF207" s="1">
        <v>1111269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35271876</v>
      </c>
      <c r="AO207" s="1">
        <v>6100775</v>
      </c>
      <c r="AP207" s="1">
        <v>29171101</v>
      </c>
      <c r="AQ207" s="1">
        <v>6832121</v>
      </c>
      <c r="AR207" s="1">
        <v>1024818</v>
      </c>
      <c r="AS207" s="1">
        <v>530000</v>
      </c>
      <c r="AT207" s="1">
        <f t="shared" si="17"/>
        <v>43658815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7670305</v>
      </c>
      <c r="G208" s="1">
        <v>10337129</v>
      </c>
      <c r="H208" s="1">
        <v>0</v>
      </c>
      <c r="I208" s="1">
        <v>5676025</v>
      </c>
      <c r="J208" s="1">
        <v>0</v>
      </c>
      <c r="K208" s="1">
        <v>0</v>
      </c>
      <c r="L208" s="1">
        <v>3620700</v>
      </c>
      <c r="M208" s="1">
        <v>400000</v>
      </c>
      <c r="N208" s="1">
        <v>4063738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7322500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43524204</v>
      </c>
      <c r="AO208" s="1">
        <v>8589167</v>
      </c>
      <c r="AP208" s="1">
        <v>34935037</v>
      </c>
      <c r="AQ208" s="1">
        <v>8038079</v>
      </c>
      <c r="AR208" s="1">
        <v>1205712</v>
      </c>
      <c r="AS208" s="1">
        <v>530000</v>
      </c>
      <c r="AT208" s="1">
        <f t="shared" si="17"/>
        <v>53297995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7053846</v>
      </c>
      <c r="G209" s="1">
        <v>10192457</v>
      </c>
      <c r="H209" s="1">
        <v>0</v>
      </c>
      <c r="I209" s="1">
        <v>5431461</v>
      </c>
      <c r="J209" s="1">
        <v>0</v>
      </c>
      <c r="K209" s="1">
        <v>0</v>
      </c>
      <c r="L209" s="1">
        <v>3620700</v>
      </c>
      <c r="M209" s="1">
        <v>400000</v>
      </c>
      <c r="N209" s="1">
        <v>3712550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6555456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40289008</v>
      </c>
      <c r="AO209" s="1">
        <v>9085149</v>
      </c>
      <c r="AP209" s="1">
        <v>31203859</v>
      </c>
      <c r="AQ209" s="1">
        <v>7613294</v>
      </c>
      <c r="AR209" s="1">
        <v>1141994</v>
      </c>
      <c r="AS209" s="1">
        <v>1060000</v>
      </c>
      <c r="AT209" s="1">
        <f t="shared" si="17"/>
        <v>50104296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8372651</v>
      </c>
      <c r="G210" s="1">
        <v>8325292</v>
      </c>
      <c r="H210" s="1">
        <v>0</v>
      </c>
      <c r="I210" s="1">
        <v>6949300</v>
      </c>
      <c r="J210" s="1">
        <v>0</v>
      </c>
      <c r="K210" s="1">
        <v>0</v>
      </c>
      <c r="L210" s="1">
        <v>3460800</v>
      </c>
      <c r="M210" s="1">
        <v>400000</v>
      </c>
      <c r="N210" s="1">
        <v>4465414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7610060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41794786</v>
      </c>
      <c r="AO210" s="1">
        <v>7674148</v>
      </c>
      <c r="AP210" s="1">
        <v>34120638</v>
      </c>
      <c r="AQ210" s="1">
        <v>8136703</v>
      </c>
      <c r="AR210" s="1">
        <v>1220506</v>
      </c>
      <c r="AS210" s="1">
        <v>795000</v>
      </c>
      <c r="AT210" s="1">
        <f t="shared" si="17"/>
        <v>51946995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12095121</v>
      </c>
      <c r="G211" s="1">
        <v>6909371</v>
      </c>
      <c r="H211" s="1">
        <v>0</v>
      </c>
      <c r="I211" s="1">
        <v>9533446</v>
      </c>
      <c r="J211" s="1">
        <v>0</v>
      </c>
      <c r="K211" s="1">
        <v>4620000</v>
      </c>
      <c r="L211" s="1">
        <v>0</v>
      </c>
      <c r="M211" s="1">
        <v>400000</v>
      </c>
      <c r="N211" s="1">
        <v>2322498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9749319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1658927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5839424</v>
      </c>
      <c r="AM211" s="1">
        <v>0</v>
      </c>
      <c r="AN211" s="1">
        <v>56450644</v>
      </c>
      <c r="AO211" s="1">
        <v>15337286</v>
      </c>
      <c r="AP211" s="1">
        <v>41113358</v>
      </c>
      <c r="AQ211" s="1">
        <v>10845621</v>
      </c>
      <c r="AR211" s="1">
        <v>1626843</v>
      </c>
      <c r="AS211" s="1">
        <v>0</v>
      </c>
      <c r="AT211" s="1">
        <f t="shared" si="17"/>
        <v>68923108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9883980</v>
      </c>
      <c r="G212" s="1">
        <v>10241137</v>
      </c>
      <c r="H212" s="1">
        <v>0</v>
      </c>
      <c r="I212" s="1">
        <v>8302543</v>
      </c>
      <c r="J212" s="1">
        <v>0</v>
      </c>
      <c r="K212" s="1">
        <v>0</v>
      </c>
      <c r="L212" s="1">
        <v>3460800</v>
      </c>
      <c r="M212" s="1">
        <v>400000</v>
      </c>
      <c r="N212" s="1">
        <v>5271456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9094009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48865194</v>
      </c>
      <c r="AO212" s="1">
        <v>8984740</v>
      </c>
      <c r="AP212" s="1">
        <v>39880454</v>
      </c>
      <c r="AQ212" s="1">
        <v>9550785</v>
      </c>
      <c r="AR212" s="1">
        <v>1432618</v>
      </c>
      <c r="AS212" s="1">
        <v>530000</v>
      </c>
      <c r="AT212" s="1">
        <f t="shared" si="17"/>
        <v>60378597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22140837</v>
      </c>
      <c r="G213" s="1">
        <v>6039227</v>
      </c>
      <c r="H213" s="1">
        <v>0</v>
      </c>
      <c r="I213" s="1">
        <v>23003801</v>
      </c>
      <c r="J213" s="1">
        <v>0</v>
      </c>
      <c r="K213" s="1">
        <v>5500000</v>
      </c>
      <c r="L213" s="1">
        <v>0</v>
      </c>
      <c r="M213" s="1">
        <v>400000</v>
      </c>
      <c r="N213" s="1">
        <v>3563002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12677095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2545001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5090002</v>
      </c>
      <c r="AM213" s="1">
        <v>0</v>
      </c>
      <c r="AN213" s="1">
        <v>84281503</v>
      </c>
      <c r="AO213" s="1">
        <v>12657791</v>
      </c>
      <c r="AP213" s="1">
        <v>71623712</v>
      </c>
      <c r="AQ213" s="1">
        <v>15557766</v>
      </c>
      <c r="AR213" s="1">
        <v>2333665</v>
      </c>
      <c r="AS213" s="1">
        <v>0</v>
      </c>
      <c r="AT213" s="1">
        <f t="shared" si="17"/>
        <v>102172934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10643981</v>
      </c>
      <c r="G214" s="1">
        <v>7073178</v>
      </c>
      <c r="H214" s="1">
        <v>0</v>
      </c>
      <c r="I214" s="1">
        <v>7944138</v>
      </c>
      <c r="J214" s="1">
        <v>0</v>
      </c>
      <c r="K214" s="1">
        <v>4620000</v>
      </c>
      <c r="L214" s="1">
        <v>0</v>
      </c>
      <c r="M214" s="1">
        <v>400000</v>
      </c>
      <c r="N214" s="1">
        <v>1797572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1270000</v>
      </c>
      <c r="U214" s="1">
        <v>0</v>
      </c>
      <c r="V214" s="1">
        <v>9621448</v>
      </c>
      <c r="W214" s="1">
        <v>1100000</v>
      </c>
      <c r="X214" s="1">
        <v>1596597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1283980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6017950</v>
      </c>
      <c r="AM214" s="1">
        <v>0</v>
      </c>
      <c r="AN214" s="1">
        <v>54480113</v>
      </c>
      <c r="AO214" s="1">
        <v>10329004</v>
      </c>
      <c r="AP214" s="1">
        <v>44151109</v>
      </c>
      <c r="AQ214" s="1">
        <v>10419769</v>
      </c>
      <c r="AR214" s="1">
        <v>1562965</v>
      </c>
      <c r="AS214" s="1">
        <v>0</v>
      </c>
      <c r="AT214" s="1">
        <f t="shared" si="17"/>
        <v>66462847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11139189</v>
      </c>
      <c r="G215" s="1">
        <v>2221972</v>
      </c>
      <c r="H215" s="1">
        <v>0</v>
      </c>
      <c r="I215" s="1">
        <v>7969572</v>
      </c>
      <c r="J215" s="1">
        <v>0</v>
      </c>
      <c r="K215" s="1">
        <v>4620000</v>
      </c>
      <c r="L215" s="1">
        <v>0</v>
      </c>
      <c r="M215" s="1">
        <v>400000</v>
      </c>
      <c r="N215" s="1">
        <v>1770497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9823083</v>
      </c>
      <c r="W215" s="1">
        <v>1100000</v>
      </c>
      <c r="X215" s="1">
        <v>1666479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1264641</v>
      </c>
      <c r="AF215" s="1">
        <v>1111269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6123967</v>
      </c>
      <c r="AM215" s="1">
        <v>0</v>
      </c>
      <c r="AN215" s="1">
        <v>50480669</v>
      </c>
      <c r="AO215" s="1">
        <v>12286606</v>
      </c>
      <c r="AP215" s="1">
        <v>38194063</v>
      </c>
      <c r="AQ215" s="1">
        <v>9619880</v>
      </c>
      <c r="AR215" s="1">
        <v>1442982</v>
      </c>
      <c r="AS215" s="1">
        <v>0</v>
      </c>
      <c r="AT215" s="1">
        <f t="shared" si="17"/>
        <v>61543531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6052962</v>
      </c>
      <c r="G216" s="1">
        <v>2718424</v>
      </c>
      <c r="H216" s="1">
        <v>0</v>
      </c>
      <c r="I216" s="1">
        <v>4358133</v>
      </c>
      <c r="J216" s="1">
        <v>0</v>
      </c>
      <c r="K216" s="1">
        <v>0</v>
      </c>
      <c r="L216" s="1">
        <v>3620700</v>
      </c>
      <c r="M216" s="1">
        <v>400000</v>
      </c>
      <c r="N216" s="1">
        <v>3185770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6083209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2582635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5436847</v>
      </c>
      <c r="AK216" s="1">
        <v>0</v>
      </c>
      <c r="AL216" s="1">
        <v>0</v>
      </c>
      <c r="AM216" s="1">
        <v>0</v>
      </c>
      <c r="AN216" s="1">
        <v>35538680</v>
      </c>
      <c r="AO216" s="1">
        <v>6221164</v>
      </c>
      <c r="AP216" s="1">
        <v>29317516</v>
      </c>
      <c r="AQ216" s="1">
        <v>7107736</v>
      </c>
      <c r="AR216" s="1">
        <v>1066160</v>
      </c>
      <c r="AS216" s="1">
        <v>530000</v>
      </c>
      <c r="AT216" s="1">
        <f t="shared" si="17"/>
        <v>44242576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11059097</v>
      </c>
      <c r="G217" s="1">
        <v>5159857</v>
      </c>
      <c r="H217" s="1">
        <v>0</v>
      </c>
      <c r="I217" s="1">
        <v>8386114</v>
      </c>
      <c r="J217" s="1">
        <v>0</v>
      </c>
      <c r="K217" s="1">
        <v>4620000</v>
      </c>
      <c r="L217" s="1">
        <v>0</v>
      </c>
      <c r="M217" s="1">
        <v>400000</v>
      </c>
      <c r="N217" s="1">
        <v>1951470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10138282</v>
      </c>
      <c r="W217" s="1">
        <v>1100000</v>
      </c>
      <c r="X217" s="1">
        <v>1658865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1393907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6384325</v>
      </c>
      <c r="AM217" s="1">
        <v>0</v>
      </c>
      <c r="AN217" s="1">
        <v>53521917</v>
      </c>
      <c r="AO217" s="1">
        <v>11182321</v>
      </c>
      <c r="AP217" s="1">
        <v>42339596</v>
      </c>
      <c r="AQ217" s="1">
        <v>10450383</v>
      </c>
      <c r="AR217" s="1">
        <v>1567558</v>
      </c>
      <c r="AS217" s="1">
        <v>0</v>
      </c>
      <c r="AT217" s="1">
        <f t="shared" si="17"/>
        <v>65539858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10760305</v>
      </c>
      <c r="G218" s="1">
        <v>5001080</v>
      </c>
      <c r="H218" s="1">
        <v>0</v>
      </c>
      <c r="I218" s="1">
        <v>8237611</v>
      </c>
      <c r="J218" s="1">
        <v>0</v>
      </c>
      <c r="K218" s="1">
        <v>4620000</v>
      </c>
      <c r="L218" s="1">
        <v>0</v>
      </c>
      <c r="M218" s="1">
        <v>400000</v>
      </c>
      <c r="N218" s="1">
        <v>1841654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9826311</v>
      </c>
      <c r="W218" s="1">
        <v>1100000</v>
      </c>
      <c r="X218" s="1">
        <v>1614046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1315467</v>
      </c>
      <c r="AF218" s="1">
        <v>1111269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6122117</v>
      </c>
      <c r="AM218" s="1">
        <v>0</v>
      </c>
      <c r="AN218" s="1">
        <v>53219860</v>
      </c>
      <c r="AO218" s="1">
        <v>13814007</v>
      </c>
      <c r="AP218" s="1">
        <v>39405853</v>
      </c>
      <c r="AQ218" s="1">
        <v>10167718</v>
      </c>
      <c r="AR218" s="1">
        <v>1525158</v>
      </c>
      <c r="AS218" s="1">
        <v>0</v>
      </c>
      <c r="AT218" s="1">
        <f t="shared" si="17"/>
        <v>64912736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6820836</v>
      </c>
      <c r="G219" s="1">
        <v>3000409</v>
      </c>
      <c r="H219" s="1">
        <v>0</v>
      </c>
      <c r="I219" s="1">
        <v>4979210</v>
      </c>
      <c r="J219" s="1">
        <v>0</v>
      </c>
      <c r="K219" s="1">
        <v>0</v>
      </c>
      <c r="L219" s="1">
        <v>3651768</v>
      </c>
      <c r="M219" s="1">
        <v>400000</v>
      </c>
      <c r="N219" s="1">
        <v>3589914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6676061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2856259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3600490</v>
      </c>
      <c r="AK219" s="1">
        <v>0</v>
      </c>
      <c r="AL219" s="1">
        <v>0</v>
      </c>
      <c r="AM219" s="1">
        <v>0</v>
      </c>
      <c r="AN219" s="1">
        <v>38897485</v>
      </c>
      <c r="AO219" s="1">
        <v>8148311</v>
      </c>
      <c r="AP219" s="1">
        <v>30749174</v>
      </c>
      <c r="AQ219" s="1">
        <v>7334989</v>
      </c>
      <c r="AR219" s="1">
        <v>1100248</v>
      </c>
      <c r="AS219" s="1">
        <v>1060000</v>
      </c>
      <c r="AT219" s="1">
        <f t="shared" si="17"/>
        <v>48392722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20802072</v>
      </c>
      <c r="G220" s="1">
        <v>17718744</v>
      </c>
      <c r="H220" s="1">
        <v>0</v>
      </c>
      <c r="I220" s="1">
        <v>21674480</v>
      </c>
      <c r="J220" s="1">
        <v>0</v>
      </c>
      <c r="K220" s="1">
        <v>5500000</v>
      </c>
      <c r="L220" s="1">
        <v>0</v>
      </c>
      <c r="M220" s="1">
        <v>400000</v>
      </c>
      <c r="N220" s="1">
        <v>3094434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11745431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2210310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4420620</v>
      </c>
      <c r="AM220" s="1">
        <v>0</v>
      </c>
      <c r="AN220" s="1">
        <v>93269898</v>
      </c>
      <c r="AO220" s="1">
        <v>17480459</v>
      </c>
      <c r="AP220" s="1">
        <v>75789439</v>
      </c>
      <c r="AQ220" s="1">
        <v>15557766</v>
      </c>
      <c r="AR220" s="1">
        <v>2333665</v>
      </c>
      <c r="AS220" s="1">
        <v>0</v>
      </c>
      <c r="AT220" s="1">
        <f t="shared" si="17"/>
        <v>111161329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9604508</v>
      </c>
      <c r="G221" s="1">
        <v>2339759</v>
      </c>
      <c r="H221" s="1">
        <v>0</v>
      </c>
      <c r="I221" s="1">
        <v>6767283</v>
      </c>
      <c r="J221" s="1">
        <v>0</v>
      </c>
      <c r="K221" s="1">
        <v>4620000</v>
      </c>
      <c r="L221" s="1">
        <v>0</v>
      </c>
      <c r="M221" s="1">
        <v>400000</v>
      </c>
      <c r="N221" s="1">
        <v>1426459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10979790</v>
      </c>
      <c r="W221" s="1">
        <v>1100000</v>
      </c>
      <c r="X221" s="1">
        <v>1299866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1018899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5856539</v>
      </c>
      <c r="AM221" s="1">
        <v>0</v>
      </c>
      <c r="AN221" s="1">
        <v>48905641</v>
      </c>
      <c r="AO221" s="1">
        <v>13917655</v>
      </c>
      <c r="AP221" s="1">
        <v>34987986</v>
      </c>
      <c r="AQ221" s="1">
        <v>9082621</v>
      </c>
      <c r="AR221" s="1">
        <v>1362393</v>
      </c>
      <c r="AS221" s="1">
        <v>0</v>
      </c>
      <c r="AT221" s="1">
        <f t="shared" si="17"/>
        <v>59350655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10115856</v>
      </c>
      <c r="G222" s="1">
        <v>7331536</v>
      </c>
      <c r="H222" s="1">
        <v>0</v>
      </c>
      <c r="I222" s="1">
        <v>7011818</v>
      </c>
      <c r="J222" s="1">
        <v>0</v>
      </c>
      <c r="K222" s="1">
        <v>4620000</v>
      </c>
      <c r="L222" s="1">
        <v>0</v>
      </c>
      <c r="M222" s="1">
        <v>400000</v>
      </c>
      <c r="N222" s="1">
        <v>1596449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10321411</v>
      </c>
      <c r="W222" s="1">
        <v>1100000</v>
      </c>
      <c r="X222" s="1">
        <v>1517378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1140321</v>
      </c>
      <c r="AF222" s="1">
        <v>1111269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3329737</v>
      </c>
      <c r="AM222" s="1">
        <v>0</v>
      </c>
      <c r="AN222" s="1">
        <v>50865775</v>
      </c>
      <c r="AO222" s="1">
        <v>13385190</v>
      </c>
      <c r="AP222" s="1">
        <v>37480585</v>
      </c>
      <c r="AQ222" s="1">
        <v>9696901</v>
      </c>
      <c r="AR222" s="1">
        <v>1454535</v>
      </c>
      <c r="AS222" s="1">
        <v>0</v>
      </c>
      <c r="AT222" s="1">
        <f t="shared" si="17"/>
        <v>62017211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10397987</v>
      </c>
      <c r="G223" s="1">
        <v>5285216</v>
      </c>
      <c r="H223" s="1">
        <v>0</v>
      </c>
      <c r="I223" s="1">
        <v>7797299</v>
      </c>
      <c r="J223" s="1">
        <v>0</v>
      </c>
      <c r="K223" s="1">
        <v>4620000</v>
      </c>
      <c r="L223" s="1">
        <v>0</v>
      </c>
      <c r="M223" s="1">
        <v>400000</v>
      </c>
      <c r="N223" s="1">
        <v>1724385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1270000</v>
      </c>
      <c r="U223" s="1">
        <v>0</v>
      </c>
      <c r="V223" s="1">
        <v>12400969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1231704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6715971</v>
      </c>
      <c r="AM223" s="1">
        <v>0</v>
      </c>
      <c r="AN223" s="1">
        <v>54503229</v>
      </c>
      <c r="AO223" s="1">
        <v>7937182</v>
      </c>
      <c r="AP223" s="1">
        <v>46566047</v>
      </c>
      <c r="AQ223" s="1">
        <v>10646646</v>
      </c>
      <c r="AR223" s="1">
        <v>1596997</v>
      </c>
      <c r="AS223" s="1">
        <v>0</v>
      </c>
      <c r="AT223" s="1">
        <f t="shared" si="17"/>
        <v>66746872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20268363</v>
      </c>
      <c r="G224" s="1">
        <v>17660929</v>
      </c>
      <c r="H224" s="1">
        <v>0</v>
      </c>
      <c r="I224" s="1">
        <v>20875417</v>
      </c>
      <c r="J224" s="1">
        <v>0</v>
      </c>
      <c r="K224" s="1">
        <v>5500000</v>
      </c>
      <c r="L224" s="1">
        <v>0</v>
      </c>
      <c r="M224" s="1">
        <v>400000</v>
      </c>
      <c r="N224" s="1">
        <v>2907636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11406924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2076883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4569142</v>
      </c>
      <c r="AM224" s="1">
        <v>0</v>
      </c>
      <c r="AN224" s="1">
        <v>88987832</v>
      </c>
      <c r="AO224" s="1">
        <v>21624394</v>
      </c>
      <c r="AP224" s="1">
        <v>67363438</v>
      </c>
      <c r="AQ224" s="1">
        <v>15557766</v>
      </c>
      <c r="AR224" s="1">
        <v>2333665</v>
      </c>
      <c r="AS224" s="1">
        <v>0</v>
      </c>
      <c r="AT224" s="1">
        <f t="shared" si="17"/>
        <v>106879263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23517339</v>
      </c>
      <c r="G225" s="1">
        <v>35941266</v>
      </c>
      <c r="H225" s="1">
        <v>0</v>
      </c>
      <c r="I225" s="1">
        <v>22727845</v>
      </c>
      <c r="J225" s="1">
        <v>0</v>
      </c>
      <c r="K225" s="1">
        <v>5500000</v>
      </c>
      <c r="L225" s="1">
        <v>0</v>
      </c>
      <c r="M225" s="1">
        <v>400000</v>
      </c>
      <c r="N225" s="1">
        <v>3301988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11370607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2358562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4245412</v>
      </c>
      <c r="AM225" s="1">
        <v>0</v>
      </c>
      <c r="AN225" s="1">
        <v>113955557</v>
      </c>
      <c r="AO225" s="1">
        <v>23628220</v>
      </c>
      <c r="AP225" s="1">
        <v>90327337</v>
      </c>
      <c r="AQ225" s="1">
        <v>15557766</v>
      </c>
      <c r="AR225" s="1">
        <v>2333665</v>
      </c>
      <c r="AS225" s="1">
        <v>0</v>
      </c>
      <c r="AT225" s="1">
        <f t="shared" si="17"/>
        <v>131846988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8251974</v>
      </c>
      <c r="G226" s="1">
        <v>8143477</v>
      </c>
      <c r="H226" s="1">
        <v>0</v>
      </c>
      <c r="I226" s="1">
        <v>6931658</v>
      </c>
      <c r="J226" s="1">
        <v>0</v>
      </c>
      <c r="K226" s="1">
        <v>0</v>
      </c>
      <c r="L226" s="1">
        <v>3460800</v>
      </c>
      <c r="M226" s="1">
        <v>400000</v>
      </c>
      <c r="N226" s="1">
        <v>4401053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7977283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40666245</v>
      </c>
      <c r="AO226" s="1">
        <v>6441928</v>
      </c>
      <c r="AP226" s="1">
        <v>34224317</v>
      </c>
      <c r="AQ226" s="1">
        <v>8133249</v>
      </c>
      <c r="AR226" s="1">
        <v>1219987</v>
      </c>
      <c r="AS226" s="1">
        <v>600000</v>
      </c>
      <c r="AT226" s="1">
        <f t="shared" si="17"/>
        <v>50619481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6744397</v>
      </c>
      <c r="G227" s="1">
        <v>10254079</v>
      </c>
      <c r="H227" s="1">
        <v>0</v>
      </c>
      <c r="I227" s="1">
        <v>4990854</v>
      </c>
      <c r="J227" s="1">
        <v>0</v>
      </c>
      <c r="K227" s="1">
        <v>0</v>
      </c>
      <c r="L227" s="1">
        <v>3620700</v>
      </c>
      <c r="M227" s="1">
        <v>400000</v>
      </c>
      <c r="N227" s="1">
        <v>3573190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6639471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40656498</v>
      </c>
      <c r="AO227" s="1">
        <v>9575258</v>
      </c>
      <c r="AP227" s="1">
        <v>31081240</v>
      </c>
      <c r="AQ227" s="1">
        <v>7464538</v>
      </c>
      <c r="AR227" s="1">
        <v>1119681</v>
      </c>
      <c r="AS227" s="1">
        <v>975000</v>
      </c>
      <c r="AT227" s="1">
        <f t="shared" si="17"/>
        <v>50215717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5888796</v>
      </c>
      <c r="G228" s="1">
        <v>3684483</v>
      </c>
      <c r="H228" s="1">
        <v>0</v>
      </c>
      <c r="I228" s="1">
        <v>4357709</v>
      </c>
      <c r="J228" s="1">
        <v>0</v>
      </c>
      <c r="K228" s="1">
        <v>0</v>
      </c>
      <c r="L228" s="1">
        <v>3620700</v>
      </c>
      <c r="M228" s="1">
        <v>400000</v>
      </c>
      <c r="N228" s="1">
        <v>3099366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6001636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29263959</v>
      </c>
      <c r="AO228" s="1">
        <v>5357427</v>
      </c>
      <c r="AP228" s="1">
        <v>23906532</v>
      </c>
      <c r="AQ228" s="1">
        <v>5630538</v>
      </c>
      <c r="AR228" s="1">
        <v>844581</v>
      </c>
      <c r="AS228" s="1">
        <v>900000</v>
      </c>
      <c r="AT228" s="1">
        <f t="shared" si="17"/>
        <v>36639078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11872963</v>
      </c>
      <c r="G229" s="1">
        <v>5515435</v>
      </c>
      <c r="H229" s="1">
        <v>0</v>
      </c>
      <c r="I229" s="1">
        <v>10190794</v>
      </c>
      <c r="J229" s="1">
        <v>0</v>
      </c>
      <c r="K229" s="1">
        <v>4620000</v>
      </c>
      <c r="L229" s="1">
        <v>0</v>
      </c>
      <c r="M229" s="1">
        <v>400000</v>
      </c>
      <c r="N229" s="1">
        <v>2248299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1270000</v>
      </c>
      <c r="U229" s="1">
        <v>0</v>
      </c>
      <c r="V229" s="1">
        <v>10836936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1605928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5267442</v>
      </c>
      <c r="AM229" s="1">
        <v>0</v>
      </c>
      <c r="AN229" s="1">
        <v>56039066</v>
      </c>
      <c r="AO229" s="1">
        <v>12879797</v>
      </c>
      <c r="AP229" s="1">
        <v>43159269</v>
      </c>
      <c r="AQ229" s="1">
        <v>10731559</v>
      </c>
      <c r="AR229" s="1">
        <v>1609734</v>
      </c>
      <c r="AS229" s="1">
        <v>0</v>
      </c>
      <c r="AT229" s="1">
        <f t="shared" si="17"/>
        <v>68380359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7328350</v>
      </c>
      <c r="G230" s="1">
        <v>4781848</v>
      </c>
      <c r="H230" s="1">
        <v>0</v>
      </c>
      <c r="I230" s="1">
        <v>5422979</v>
      </c>
      <c r="J230" s="1">
        <v>0</v>
      </c>
      <c r="K230" s="1">
        <v>0</v>
      </c>
      <c r="L230" s="1">
        <v>3620700</v>
      </c>
      <c r="M230" s="1">
        <v>400000</v>
      </c>
      <c r="N230" s="1">
        <v>3882570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7070245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35829230</v>
      </c>
      <c r="AO230" s="1">
        <v>4418107</v>
      </c>
      <c r="AP230" s="1">
        <v>31411123</v>
      </c>
      <c r="AQ230" s="1">
        <v>6721338</v>
      </c>
      <c r="AR230" s="1">
        <v>1008201</v>
      </c>
      <c r="AS230" s="1">
        <v>0</v>
      </c>
      <c r="AT230" s="1">
        <f t="shared" si="17"/>
        <v>43558769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7233655</v>
      </c>
      <c r="G231" s="1">
        <v>6955202</v>
      </c>
      <c r="H231" s="1">
        <v>0</v>
      </c>
      <c r="I231" s="1">
        <v>5352905</v>
      </c>
      <c r="J231" s="1">
        <v>0</v>
      </c>
      <c r="K231" s="1">
        <v>0</v>
      </c>
      <c r="L231" s="1">
        <v>3620700</v>
      </c>
      <c r="M231" s="1">
        <v>400000</v>
      </c>
      <c r="N231" s="1">
        <v>3832400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5061820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35779220</v>
      </c>
      <c r="AO231" s="1">
        <v>3840777</v>
      </c>
      <c r="AP231" s="1">
        <v>31938443</v>
      </c>
      <c r="AQ231" s="1">
        <v>6711336</v>
      </c>
      <c r="AR231" s="1">
        <v>1006700</v>
      </c>
      <c r="AS231" s="1">
        <v>195000</v>
      </c>
      <c r="AT231" s="1">
        <f t="shared" si="17"/>
        <v>43692256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6933787</v>
      </c>
      <c r="G232" s="1">
        <v>5443017</v>
      </c>
      <c r="H232" s="1">
        <v>0</v>
      </c>
      <c r="I232" s="1">
        <v>5131002</v>
      </c>
      <c r="J232" s="1">
        <v>0</v>
      </c>
      <c r="K232" s="1">
        <v>0</v>
      </c>
      <c r="L232" s="1">
        <v>3620700</v>
      </c>
      <c r="M232" s="1">
        <v>400000</v>
      </c>
      <c r="N232" s="1">
        <v>3673530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7300657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35825231</v>
      </c>
      <c r="AO232" s="1">
        <v>24891949</v>
      </c>
      <c r="AP232" s="1">
        <v>10933282</v>
      </c>
      <c r="AQ232" s="1">
        <v>6720539</v>
      </c>
      <c r="AR232" s="1">
        <v>1008081</v>
      </c>
      <c r="AS232" s="1">
        <v>1060000</v>
      </c>
      <c r="AT232" s="1">
        <f t="shared" si="17"/>
        <v>44613851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12447729</v>
      </c>
      <c r="G233" s="1">
        <v>0</v>
      </c>
      <c r="H233" s="1">
        <v>0</v>
      </c>
      <c r="I233" s="1">
        <v>10192518</v>
      </c>
      <c r="J233" s="1">
        <v>0</v>
      </c>
      <c r="K233" s="1">
        <v>3465000</v>
      </c>
      <c r="L233" s="1">
        <v>0</v>
      </c>
      <c r="M233" s="1">
        <v>400000</v>
      </c>
      <c r="N233" s="1">
        <v>2235729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9430577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1596949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3704922</v>
      </c>
      <c r="AM233" s="1">
        <v>0</v>
      </c>
      <c r="AN233" s="1">
        <v>44573424</v>
      </c>
      <c r="AO233" s="1">
        <v>6848336</v>
      </c>
      <c r="AP233" s="1">
        <v>37725088</v>
      </c>
      <c r="AQ233" s="1">
        <v>8914685</v>
      </c>
      <c r="AR233" s="1">
        <v>1337203</v>
      </c>
      <c r="AS233" s="1">
        <v>0</v>
      </c>
      <c r="AT233" s="1">
        <f t="shared" si="17"/>
        <v>54825312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6328686</v>
      </c>
      <c r="G234" s="1">
        <v>5411649</v>
      </c>
      <c r="H234" s="1">
        <v>0</v>
      </c>
      <c r="I234" s="1">
        <v>4556654</v>
      </c>
      <c r="J234" s="1">
        <v>0</v>
      </c>
      <c r="K234" s="1">
        <v>0</v>
      </c>
      <c r="L234" s="1">
        <v>3620700</v>
      </c>
      <c r="M234" s="1">
        <v>400000</v>
      </c>
      <c r="N234" s="1">
        <v>3375299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8624696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2682201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3710845</v>
      </c>
      <c r="AK234" s="1">
        <v>0</v>
      </c>
      <c r="AL234" s="1">
        <v>0</v>
      </c>
      <c r="AM234" s="1">
        <v>0</v>
      </c>
      <c r="AN234" s="1">
        <v>39810730</v>
      </c>
      <c r="AO234" s="1">
        <v>4318202</v>
      </c>
      <c r="AP234" s="1">
        <v>35492528</v>
      </c>
      <c r="AQ234" s="1">
        <v>7962146</v>
      </c>
      <c r="AR234" s="1">
        <v>1194322</v>
      </c>
      <c r="AS234" s="1">
        <v>0</v>
      </c>
      <c r="AT234" s="1">
        <f t="shared" si="17"/>
        <v>48967198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10865650</v>
      </c>
      <c r="G235" s="1">
        <v>4963697</v>
      </c>
      <c r="H235" s="1">
        <v>0</v>
      </c>
      <c r="I235" s="1">
        <v>7772450</v>
      </c>
      <c r="J235" s="1">
        <v>0</v>
      </c>
      <c r="K235" s="1">
        <v>4620000</v>
      </c>
      <c r="L235" s="1">
        <v>0</v>
      </c>
      <c r="M235" s="1">
        <v>400000</v>
      </c>
      <c r="N235" s="1">
        <v>1877214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1270000</v>
      </c>
      <c r="U235" s="1">
        <v>0</v>
      </c>
      <c r="V235" s="1">
        <v>9752861</v>
      </c>
      <c r="W235" s="1">
        <v>1100000</v>
      </c>
      <c r="X235" s="1">
        <v>1629848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1340867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6209603</v>
      </c>
      <c r="AM235" s="1">
        <v>0</v>
      </c>
      <c r="AN235" s="1">
        <v>51802190</v>
      </c>
      <c r="AO235" s="1">
        <v>9018333</v>
      </c>
      <c r="AP235" s="1">
        <v>42783857</v>
      </c>
      <c r="AQ235" s="1">
        <v>10106438</v>
      </c>
      <c r="AR235" s="1">
        <v>1515966</v>
      </c>
      <c r="AS235" s="1">
        <v>0</v>
      </c>
      <c r="AT235" s="1">
        <f t="shared" si="17"/>
        <v>63424594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6296564</v>
      </c>
      <c r="G236" s="1">
        <v>7552092</v>
      </c>
      <c r="H236" s="1">
        <v>0</v>
      </c>
      <c r="I236" s="1">
        <v>4470560</v>
      </c>
      <c r="J236" s="1">
        <v>0</v>
      </c>
      <c r="K236" s="1">
        <v>0</v>
      </c>
      <c r="L236" s="1">
        <v>3620700</v>
      </c>
      <c r="M236" s="1">
        <v>400000</v>
      </c>
      <c r="N236" s="1">
        <v>3313981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6384600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2655271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40277134</v>
      </c>
      <c r="AO236" s="1">
        <v>5724993</v>
      </c>
      <c r="AP236" s="1">
        <v>34552141</v>
      </c>
      <c r="AQ236" s="1">
        <v>7833173</v>
      </c>
      <c r="AR236" s="1">
        <v>1174976</v>
      </c>
      <c r="AS236" s="1">
        <v>780000</v>
      </c>
      <c r="AT236" s="1">
        <f t="shared" si="17"/>
        <v>50065283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16794762</v>
      </c>
      <c r="G237" s="1">
        <v>17219041</v>
      </c>
      <c r="H237" s="1">
        <v>0</v>
      </c>
      <c r="I237" s="1">
        <v>15214701</v>
      </c>
      <c r="J237" s="1">
        <v>0</v>
      </c>
      <c r="K237" s="1">
        <v>5500000</v>
      </c>
      <c r="L237" s="1">
        <v>0</v>
      </c>
      <c r="M237" s="1">
        <v>400000</v>
      </c>
      <c r="N237" s="1">
        <v>3367129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9429111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2762932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3767635</v>
      </c>
      <c r="AM237" s="1">
        <v>0</v>
      </c>
      <c r="AN237" s="1">
        <v>77777849</v>
      </c>
      <c r="AO237" s="1">
        <v>19976740</v>
      </c>
      <c r="AP237" s="1">
        <v>57801109</v>
      </c>
      <c r="AQ237" s="1">
        <v>15111062</v>
      </c>
      <c r="AR237" s="1">
        <v>2266659</v>
      </c>
      <c r="AS237" s="1">
        <v>0</v>
      </c>
      <c r="AT237" s="1">
        <f t="shared" si="17"/>
        <v>95155570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11660284</v>
      </c>
      <c r="G238" s="1">
        <v>13101947</v>
      </c>
      <c r="H238" s="1">
        <v>0</v>
      </c>
      <c r="I238" s="1">
        <v>11912239</v>
      </c>
      <c r="J238" s="1">
        <v>0</v>
      </c>
      <c r="K238" s="1">
        <v>0</v>
      </c>
      <c r="L238" s="1">
        <v>0</v>
      </c>
      <c r="M238" s="1">
        <v>400000</v>
      </c>
      <c r="N238" s="1">
        <v>2416011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3082056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1725722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3106300</v>
      </c>
      <c r="AM238" s="1">
        <v>0</v>
      </c>
      <c r="AN238" s="1">
        <v>50727097</v>
      </c>
      <c r="AO238" s="1">
        <v>9776887</v>
      </c>
      <c r="AP238" s="1">
        <v>40950210</v>
      </c>
      <c r="AQ238" s="1">
        <v>9700912</v>
      </c>
      <c r="AR238" s="1">
        <v>1455137</v>
      </c>
      <c r="AS238" s="1">
        <v>0</v>
      </c>
      <c r="AT238" s="1">
        <f t="shared" si="17"/>
        <v>61883146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21280074</v>
      </c>
      <c r="G239" s="1">
        <v>11108758</v>
      </c>
      <c r="H239" s="1">
        <v>0</v>
      </c>
      <c r="I239" s="1">
        <v>23652534</v>
      </c>
      <c r="J239" s="1">
        <v>0</v>
      </c>
      <c r="K239" s="1">
        <v>5500000</v>
      </c>
      <c r="L239" s="1">
        <v>0</v>
      </c>
      <c r="M239" s="1">
        <v>400000</v>
      </c>
      <c r="N239" s="1">
        <v>3615834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16894698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2776365</v>
      </c>
      <c r="AD239" s="1">
        <v>0</v>
      </c>
      <c r="AE239" s="1">
        <v>2582738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5372096</v>
      </c>
      <c r="AM239" s="1">
        <v>0</v>
      </c>
      <c r="AN239" s="1">
        <v>95394366</v>
      </c>
      <c r="AO239" s="1">
        <v>23182729</v>
      </c>
      <c r="AP239" s="1">
        <v>72211637</v>
      </c>
      <c r="AQ239" s="1">
        <v>15557766</v>
      </c>
      <c r="AR239" s="1">
        <v>2333665</v>
      </c>
      <c r="AS239" s="1">
        <v>0</v>
      </c>
      <c r="AT239" s="1">
        <f t="shared" si="17"/>
        <v>113285797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19269231</v>
      </c>
      <c r="G240" s="1">
        <v>8429874</v>
      </c>
      <c r="H240" s="1">
        <v>0</v>
      </c>
      <c r="I240" s="1">
        <v>19773188</v>
      </c>
      <c r="J240" s="1">
        <v>0</v>
      </c>
      <c r="K240" s="1">
        <v>5500000</v>
      </c>
      <c r="L240" s="1">
        <v>0</v>
      </c>
      <c r="M240" s="1">
        <v>400000</v>
      </c>
      <c r="N240" s="1">
        <v>3395072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4777260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2425052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2910062</v>
      </c>
      <c r="AM240" s="1">
        <v>0</v>
      </c>
      <c r="AN240" s="1">
        <v>71472277</v>
      </c>
      <c r="AO240" s="1">
        <v>15352851</v>
      </c>
      <c r="AP240" s="1">
        <v>56119426</v>
      </c>
      <c r="AQ240" s="1">
        <v>13595948</v>
      </c>
      <c r="AR240" s="1">
        <v>2039392</v>
      </c>
      <c r="AS240" s="1">
        <v>0</v>
      </c>
      <c r="AT240" s="1">
        <f t="shared" si="17"/>
        <v>87107617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5032986</v>
      </c>
      <c r="G241" s="1">
        <v>0</v>
      </c>
      <c r="H241" s="1">
        <v>0</v>
      </c>
      <c r="I241" s="1">
        <v>4529688</v>
      </c>
      <c r="J241" s="1">
        <v>0</v>
      </c>
      <c r="K241" s="1">
        <v>0</v>
      </c>
      <c r="L241" s="1">
        <v>5674221</v>
      </c>
      <c r="M241" s="1">
        <v>400000</v>
      </c>
      <c r="N241" s="1">
        <v>2435316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6710274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28105023</v>
      </c>
      <c r="AO241" s="1">
        <v>5775177</v>
      </c>
      <c r="AP241" s="1">
        <v>22329846</v>
      </c>
      <c r="AQ241" s="1">
        <v>5176497</v>
      </c>
      <c r="AR241" s="1">
        <v>776475</v>
      </c>
      <c r="AS241" s="1">
        <v>1060000</v>
      </c>
      <c r="AT241" s="1">
        <f t="shared" si="17"/>
        <v>35117995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6958524</v>
      </c>
      <c r="G242" s="1">
        <v>3104359</v>
      </c>
      <c r="H242" s="1">
        <v>0</v>
      </c>
      <c r="I242" s="1">
        <v>5079722</v>
      </c>
      <c r="J242" s="1">
        <v>0</v>
      </c>
      <c r="K242" s="1">
        <v>0</v>
      </c>
      <c r="L242" s="1">
        <v>3620700</v>
      </c>
      <c r="M242" s="1">
        <v>400000</v>
      </c>
      <c r="N242" s="1">
        <v>3662381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7287464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32324419</v>
      </c>
      <c r="AO242" s="1">
        <v>2984936</v>
      </c>
      <c r="AP242" s="1">
        <v>29339483</v>
      </c>
      <c r="AQ242" s="1">
        <v>6242630</v>
      </c>
      <c r="AR242" s="1">
        <v>936395</v>
      </c>
      <c r="AS242" s="1">
        <v>0</v>
      </c>
      <c r="AT242" s="1">
        <f t="shared" si="17"/>
        <v>39503444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5872909</v>
      </c>
      <c r="G243" s="1">
        <v>6307766</v>
      </c>
      <c r="H243" s="1">
        <v>0</v>
      </c>
      <c r="I243" s="1">
        <v>4228495</v>
      </c>
      <c r="J243" s="1">
        <v>0</v>
      </c>
      <c r="K243" s="1">
        <v>0</v>
      </c>
      <c r="L243" s="1">
        <v>3620700</v>
      </c>
      <c r="M243" s="1">
        <v>400000</v>
      </c>
      <c r="N243" s="1">
        <v>3091005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5951760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32795173</v>
      </c>
      <c r="AO243" s="1">
        <v>4655122</v>
      </c>
      <c r="AP243" s="1">
        <v>28140051</v>
      </c>
      <c r="AQ243" s="1">
        <v>6114527</v>
      </c>
      <c r="AR243" s="1">
        <v>917179</v>
      </c>
      <c r="AS243" s="1">
        <v>0</v>
      </c>
      <c r="AT243" s="1">
        <f t="shared" si="17"/>
        <v>39826879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0</v>
      </c>
      <c r="G244" s="1">
        <v>4611417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5722686</v>
      </c>
      <c r="AO244" s="1">
        <v>5722686</v>
      </c>
      <c r="AP244" s="1">
        <v>0</v>
      </c>
      <c r="AQ244" s="1">
        <v>0</v>
      </c>
      <c r="AR244" s="1">
        <v>0</v>
      </c>
      <c r="AS244" s="1">
        <v>0</v>
      </c>
      <c r="AT244" s="1">
        <f t="shared" si="17"/>
        <v>5722686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4880666</v>
      </c>
      <c r="G245" s="1">
        <v>1842988</v>
      </c>
      <c r="H245" s="1">
        <v>0</v>
      </c>
      <c r="I245" s="1">
        <v>3123626</v>
      </c>
      <c r="J245" s="1">
        <v>0</v>
      </c>
      <c r="K245" s="1">
        <v>0</v>
      </c>
      <c r="L245" s="1">
        <v>5349563</v>
      </c>
      <c r="M245" s="1">
        <v>400000</v>
      </c>
      <c r="N245" s="1">
        <v>2346474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8181329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1393600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30840784</v>
      </c>
      <c r="AO245" s="1">
        <v>5231779</v>
      </c>
      <c r="AP245" s="1">
        <v>25609005</v>
      </c>
      <c r="AQ245" s="1">
        <v>5723649</v>
      </c>
      <c r="AR245" s="1">
        <v>858547</v>
      </c>
      <c r="AS245" s="1">
        <v>530000</v>
      </c>
      <c r="AT245" s="1">
        <f t="shared" si="17"/>
        <v>37952980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5950010</v>
      </c>
      <c r="G246" s="1">
        <v>3752588</v>
      </c>
      <c r="H246" s="1">
        <v>0</v>
      </c>
      <c r="I246" s="1">
        <v>4403007</v>
      </c>
      <c r="J246" s="1">
        <v>0</v>
      </c>
      <c r="K246" s="1">
        <v>0</v>
      </c>
      <c r="L246" s="1">
        <v>3840357</v>
      </c>
      <c r="M246" s="1">
        <v>400000</v>
      </c>
      <c r="N246" s="1">
        <v>3152323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8386335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2222538</v>
      </c>
      <c r="AG246" s="1">
        <v>0</v>
      </c>
      <c r="AH246" s="1">
        <v>0</v>
      </c>
      <c r="AI246" s="1">
        <v>2500000</v>
      </c>
      <c r="AJ246" s="1">
        <v>0</v>
      </c>
      <c r="AK246" s="1">
        <v>0</v>
      </c>
      <c r="AL246" s="1">
        <v>0</v>
      </c>
      <c r="AM246" s="1">
        <v>0</v>
      </c>
      <c r="AN246" s="1">
        <v>35707158</v>
      </c>
      <c r="AO246" s="1">
        <v>7671152</v>
      </c>
      <c r="AP246" s="1">
        <v>28036006</v>
      </c>
      <c r="AQ246" s="1">
        <v>6196924</v>
      </c>
      <c r="AR246" s="1">
        <v>929539</v>
      </c>
      <c r="AS246" s="1">
        <v>600000</v>
      </c>
      <c r="AT246" s="1">
        <f t="shared" si="17"/>
        <v>43433621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5904683</v>
      </c>
      <c r="G247" s="1">
        <v>6142176</v>
      </c>
      <c r="H247" s="1">
        <v>0</v>
      </c>
      <c r="I247" s="1">
        <v>4310419</v>
      </c>
      <c r="J247" s="1">
        <v>0</v>
      </c>
      <c r="K247" s="1">
        <v>0</v>
      </c>
      <c r="L247" s="1">
        <v>3620700</v>
      </c>
      <c r="M247" s="1">
        <v>400000</v>
      </c>
      <c r="N247" s="1">
        <v>3107728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6455235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32152210</v>
      </c>
      <c r="AO247" s="1">
        <v>3433006</v>
      </c>
      <c r="AP247" s="1">
        <v>28719204</v>
      </c>
      <c r="AQ247" s="1">
        <v>6208188</v>
      </c>
      <c r="AR247" s="1">
        <v>931228</v>
      </c>
      <c r="AS247" s="1">
        <v>265000</v>
      </c>
      <c r="AT247" s="1">
        <f t="shared" si="17"/>
        <v>39556626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6606253</v>
      </c>
      <c r="G248" s="1">
        <v>13680345</v>
      </c>
      <c r="H248" s="1">
        <v>0</v>
      </c>
      <c r="I248" s="1">
        <v>4822565</v>
      </c>
      <c r="J248" s="1">
        <v>0</v>
      </c>
      <c r="K248" s="1">
        <v>0</v>
      </c>
      <c r="L248" s="1">
        <v>3620700</v>
      </c>
      <c r="M248" s="1">
        <v>400000</v>
      </c>
      <c r="N248" s="1">
        <v>3500000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6465970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41307102</v>
      </c>
      <c r="AO248" s="1">
        <v>6578637</v>
      </c>
      <c r="AP248" s="1">
        <v>34728465</v>
      </c>
      <c r="AQ248" s="1">
        <v>8039167</v>
      </c>
      <c r="AR248" s="1">
        <v>1205875</v>
      </c>
      <c r="AS248" s="1">
        <v>795000</v>
      </c>
      <c r="AT248" s="1">
        <f t="shared" si="17"/>
        <v>51347144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17"/>
        <v>0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11207511</v>
      </c>
      <c r="G250" s="1">
        <v>0</v>
      </c>
      <c r="H250" s="1">
        <v>0</v>
      </c>
      <c r="I250" s="1">
        <v>8046625</v>
      </c>
      <c r="J250" s="1">
        <v>0</v>
      </c>
      <c r="K250" s="1">
        <v>3465000</v>
      </c>
      <c r="L250" s="1">
        <v>0</v>
      </c>
      <c r="M250" s="1">
        <v>400000</v>
      </c>
      <c r="N250" s="1">
        <v>1984389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4651955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1417420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2154480</v>
      </c>
      <c r="AM250" s="1">
        <v>0</v>
      </c>
      <c r="AN250" s="1">
        <v>34427380</v>
      </c>
      <c r="AO250" s="1">
        <v>4115801</v>
      </c>
      <c r="AP250" s="1">
        <v>30311579</v>
      </c>
      <c r="AQ250" s="1">
        <v>6885476</v>
      </c>
      <c r="AR250" s="1">
        <v>1032821</v>
      </c>
      <c r="AS250" s="1">
        <v>0</v>
      </c>
      <c r="AT250" s="1">
        <f t="shared" si="17"/>
        <v>42345677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15865713</v>
      </c>
      <c r="G251" s="1">
        <v>11295312</v>
      </c>
      <c r="H251" s="1">
        <v>0</v>
      </c>
      <c r="I251" s="1">
        <v>13402772</v>
      </c>
      <c r="J251" s="1">
        <v>0</v>
      </c>
      <c r="K251" s="1">
        <v>5500000</v>
      </c>
      <c r="L251" s="1">
        <v>0</v>
      </c>
      <c r="M251" s="1">
        <v>400000</v>
      </c>
      <c r="N251" s="1">
        <v>2798199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15193532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1998713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4157324</v>
      </c>
      <c r="AM251" s="1">
        <v>0</v>
      </c>
      <c r="AN251" s="1">
        <v>72822834</v>
      </c>
      <c r="AO251" s="1">
        <v>16317335</v>
      </c>
      <c r="AP251" s="1">
        <v>56505499</v>
      </c>
      <c r="AQ251" s="1">
        <v>14342313</v>
      </c>
      <c r="AR251" s="1">
        <v>2151347</v>
      </c>
      <c r="AS251" s="1">
        <v>0</v>
      </c>
      <c r="AT251" s="1">
        <f t="shared" si="17"/>
        <v>89316494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17466840</v>
      </c>
      <c r="G252" s="1">
        <v>8351832</v>
      </c>
      <c r="H252" s="1">
        <v>0</v>
      </c>
      <c r="I252" s="1">
        <v>14198074</v>
      </c>
      <c r="J252" s="1">
        <v>0</v>
      </c>
      <c r="K252" s="1">
        <v>5500000</v>
      </c>
      <c r="L252" s="1">
        <v>0</v>
      </c>
      <c r="M252" s="1">
        <v>400000</v>
      </c>
      <c r="N252" s="1">
        <v>3047263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13300553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2176616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4353232</v>
      </c>
      <c r="AM252" s="1">
        <v>0</v>
      </c>
      <c r="AN252" s="1">
        <v>72116948</v>
      </c>
      <c r="AO252" s="1">
        <v>18247633</v>
      </c>
      <c r="AP252" s="1">
        <v>53869315</v>
      </c>
      <c r="AQ252" s="1">
        <v>13978882</v>
      </c>
      <c r="AR252" s="1">
        <v>2096832</v>
      </c>
      <c r="AS252" s="1">
        <v>0</v>
      </c>
      <c r="AT252" s="1">
        <f t="shared" si="17"/>
        <v>88192662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12983325</v>
      </c>
      <c r="G253" s="1">
        <v>8824742</v>
      </c>
      <c r="H253" s="1">
        <v>0</v>
      </c>
      <c r="I253" s="1">
        <v>12202944</v>
      </c>
      <c r="J253" s="1">
        <v>0</v>
      </c>
      <c r="K253" s="1">
        <v>4620000</v>
      </c>
      <c r="L253" s="1">
        <v>0</v>
      </c>
      <c r="M253" s="1">
        <v>400000</v>
      </c>
      <c r="N253" s="1">
        <v>2474918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1270000</v>
      </c>
      <c r="U253" s="1">
        <v>0</v>
      </c>
      <c r="V253" s="1">
        <v>13497216</v>
      </c>
      <c r="W253" s="1">
        <v>1100000</v>
      </c>
      <c r="X253" s="1">
        <v>1918422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1767799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9693378</v>
      </c>
      <c r="AM253" s="1">
        <v>0</v>
      </c>
      <c r="AN253" s="1">
        <v>71864013</v>
      </c>
      <c r="AO253" s="1">
        <v>11480228</v>
      </c>
      <c r="AP253" s="1">
        <v>60383785</v>
      </c>
      <c r="AQ253" s="1">
        <v>13896549</v>
      </c>
      <c r="AR253" s="1">
        <v>2084482</v>
      </c>
      <c r="AS253" s="1">
        <v>0</v>
      </c>
      <c r="AT253" s="1">
        <f t="shared" si="17"/>
        <v>87845044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11171696</v>
      </c>
      <c r="G254" s="1">
        <v>0</v>
      </c>
      <c r="H254" s="1">
        <v>0</v>
      </c>
      <c r="I254" s="1">
        <v>8392479</v>
      </c>
      <c r="J254" s="1">
        <v>0</v>
      </c>
      <c r="K254" s="1">
        <v>3465000</v>
      </c>
      <c r="L254" s="1">
        <v>0</v>
      </c>
      <c r="M254" s="1">
        <v>400000</v>
      </c>
      <c r="N254" s="1">
        <v>1964642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2517744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1403315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2245304</v>
      </c>
      <c r="AM254" s="1">
        <v>0</v>
      </c>
      <c r="AN254" s="1">
        <v>32660180</v>
      </c>
      <c r="AO254" s="1">
        <v>6539493</v>
      </c>
      <c r="AP254" s="1">
        <v>26120687</v>
      </c>
      <c r="AQ254" s="1">
        <v>6532036</v>
      </c>
      <c r="AR254" s="1">
        <v>979805</v>
      </c>
      <c r="AS254" s="1">
        <v>0</v>
      </c>
      <c r="AT254" s="1">
        <f t="shared" si="17"/>
        <v>40172021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11166626</v>
      </c>
      <c r="G255" s="1">
        <v>2700145</v>
      </c>
      <c r="H255" s="1">
        <v>0</v>
      </c>
      <c r="I255" s="1">
        <v>9100482</v>
      </c>
      <c r="J255" s="1">
        <v>0</v>
      </c>
      <c r="K255" s="1">
        <v>4620000</v>
      </c>
      <c r="L255" s="1">
        <v>0</v>
      </c>
      <c r="M255" s="1">
        <v>400000</v>
      </c>
      <c r="N255" s="1">
        <v>2020166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14475005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1442976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8082948</v>
      </c>
      <c r="AM255" s="1">
        <v>0</v>
      </c>
      <c r="AN255" s="1">
        <v>59164611</v>
      </c>
      <c r="AO255" s="1">
        <v>11384811</v>
      </c>
      <c r="AP255" s="1">
        <v>47779800</v>
      </c>
      <c r="AQ255" s="1">
        <v>11356668</v>
      </c>
      <c r="AR255" s="1">
        <v>1703500</v>
      </c>
      <c r="AS255" s="1">
        <v>0</v>
      </c>
      <c r="AT255" s="1">
        <f t="shared" si="17"/>
        <v>72224779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15666177</v>
      </c>
      <c r="G256" s="1">
        <v>6976246</v>
      </c>
      <c r="H256" s="1">
        <v>0</v>
      </c>
      <c r="I256" s="1">
        <v>11976593</v>
      </c>
      <c r="J256" s="1">
        <v>0</v>
      </c>
      <c r="K256" s="1">
        <v>5500000</v>
      </c>
      <c r="L256" s="1">
        <v>0</v>
      </c>
      <c r="M256" s="1">
        <v>400000</v>
      </c>
      <c r="N256" s="1">
        <v>2713760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11665384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1938400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3876801</v>
      </c>
      <c r="AM256" s="1">
        <v>0</v>
      </c>
      <c r="AN256" s="1">
        <v>64194630</v>
      </c>
      <c r="AO256" s="1">
        <v>14801015</v>
      </c>
      <c r="AP256" s="1">
        <v>49393615</v>
      </c>
      <c r="AQ256" s="1">
        <v>12362672</v>
      </c>
      <c r="AR256" s="1">
        <v>1854401</v>
      </c>
      <c r="AS256" s="1">
        <v>0</v>
      </c>
      <c r="AT256" s="1">
        <f t="shared" si="17"/>
        <v>78411703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11651783</v>
      </c>
      <c r="G257" s="1">
        <v>10392716</v>
      </c>
      <c r="H257" s="1">
        <v>0</v>
      </c>
      <c r="I257" s="1">
        <v>10306997</v>
      </c>
      <c r="J257" s="1">
        <v>0</v>
      </c>
      <c r="K257" s="1">
        <v>4620000</v>
      </c>
      <c r="L257" s="1">
        <v>0</v>
      </c>
      <c r="M257" s="1">
        <v>400000</v>
      </c>
      <c r="N257" s="1">
        <v>2170511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7907867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1550365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8332674</v>
      </c>
      <c r="AM257" s="1">
        <v>0</v>
      </c>
      <c r="AN257" s="1">
        <v>63673218</v>
      </c>
      <c r="AO257" s="1">
        <v>12904608</v>
      </c>
      <c r="AP257" s="1">
        <v>50768610</v>
      </c>
      <c r="AQ257" s="1">
        <v>12036136</v>
      </c>
      <c r="AR257" s="1">
        <v>1805420</v>
      </c>
      <c r="AS257" s="1">
        <v>0</v>
      </c>
      <c r="AT257" s="1">
        <f t="shared" si="17"/>
        <v>77514774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12106894</v>
      </c>
      <c r="G258" s="1">
        <v>5953338</v>
      </c>
      <c r="H258" s="1">
        <v>0</v>
      </c>
      <c r="I258" s="1">
        <v>11347692</v>
      </c>
      <c r="J258" s="1">
        <v>0</v>
      </c>
      <c r="K258" s="1">
        <v>4620000</v>
      </c>
      <c r="L258" s="1">
        <v>0</v>
      </c>
      <c r="M258" s="1">
        <v>400000</v>
      </c>
      <c r="N258" s="1">
        <v>2345143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8556522</v>
      </c>
      <c r="W258" s="1">
        <v>1100000</v>
      </c>
      <c r="X258" s="1">
        <v>1816034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1675102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9327414</v>
      </c>
      <c r="AM258" s="1">
        <v>0</v>
      </c>
      <c r="AN258" s="1">
        <v>61629408</v>
      </c>
      <c r="AO258" s="1">
        <v>10993985</v>
      </c>
      <c r="AP258" s="1">
        <v>50635423</v>
      </c>
      <c r="AQ258" s="1">
        <v>11849628</v>
      </c>
      <c r="AR258" s="1">
        <v>1777444</v>
      </c>
      <c r="AS258" s="1">
        <v>0</v>
      </c>
      <c r="AT258" s="1">
        <f t="shared" si="17"/>
        <v>75256480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10944510</v>
      </c>
      <c r="G259" s="1">
        <v>5931868</v>
      </c>
      <c r="H259" s="1">
        <v>0</v>
      </c>
      <c r="I259" s="1">
        <v>9026624</v>
      </c>
      <c r="J259" s="1">
        <v>0</v>
      </c>
      <c r="K259" s="1">
        <v>4620000</v>
      </c>
      <c r="L259" s="1">
        <v>0</v>
      </c>
      <c r="M259" s="1">
        <v>400000</v>
      </c>
      <c r="N259" s="1">
        <v>1937560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14079739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1383971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7822779</v>
      </c>
      <c r="AM259" s="1">
        <v>0</v>
      </c>
      <c r="AN259" s="1">
        <v>61269997</v>
      </c>
      <c r="AO259" s="1">
        <v>11707645</v>
      </c>
      <c r="AP259" s="1">
        <v>49562352</v>
      </c>
      <c r="AQ259" s="1">
        <v>11777746</v>
      </c>
      <c r="AR259" s="1">
        <v>1766662</v>
      </c>
      <c r="AS259" s="1">
        <v>0</v>
      </c>
      <c r="AT259" s="1">
        <f t="shared" ref="AT259:AT322" si="26">AS259+AR259+AQ259+AN259</f>
        <v>74814405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12859794</v>
      </c>
      <c r="G260" s="1">
        <v>12029157</v>
      </c>
      <c r="H260" s="1">
        <v>0</v>
      </c>
      <c r="I260" s="1">
        <v>10958531</v>
      </c>
      <c r="J260" s="1">
        <v>0</v>
      </c>
      <c r="K260" s="1">
        <v>4620000</v>
      </c>
      <c r="L260" s="1">
        <v>0</v>
      </c>
      <c r="M260" s="1">
        <v>400000</v>
      </c>
      <c r="N260" s="1">
        <v>2410576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8644540</v>
      </c>
      <c r="W260" s="1">
        <v>1100000</v>
      </c>
      <c r="X260" s="1">
        <v>1928969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1721839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9230079</v>
      </c>
      <c r="AM260" s="1">
        <v>0</v>
      </c>
      <c r="AN260" s="1">
        <v>67173485</v>
      </c>
      <c r="AO260" s="1">
        <v>12797003</v>
      </c>
      <c r="AP260" s="1">
        <v>54376482</v>
      </c>
      <c r="AQ260" s="1">
        <v>13180697</v>
      </c>
      <c r="AR260" s="1">
        <v>1977105</v>
      </c>
      <c r="AS260" s="1">
        <v>0</v>
      </c>
      <c r="AT260" s="1">
        <f t="shared" si="26"/>
        <v>82331287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13017057</v>
      </c>
      <c r="G261" s="1">
        <v>23969959</v>
      </c>
      <c r="H261" s="1">
        <v>0</v>
      </c>
      <c r="I261" s="1">
        <v>11402046</v>
      </c>
      <c r="J261" s="1">
        <v>0</v>
      </c>
      <c r="K261" s="1">
        <v>4620000</v>
      </c>
      <c r="L261" s="1">
        <v>0</v>
      </c>
      <c r="M261" s="1">
        <v>400000</v>
      </c>
      <c r="N261" s="1">
        <v>2474723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9065511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1767659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9915158</v>
      </c>
      <c r="AM261" s="1">
        <v>0</v>
      </c>
      <c r="AN261" s="1">
        <v>83177210</v>
      </c>
      <c r="AO261" s="1">
        <v>12330361</v>
      </c>
      <c r="AP261" s="1">
        <v>70846849</v>
      </c>
      <c r="AQ261" s="1">
        <v>15557766</v>
      </c>
      <c r="AR261" s="1">
        <v>2333665</v>
      </c>
      <c r="AS261" s="1">
        <v>0</v>
      </c>
      <c r="AT261" s="1">
        <f t="shared" si="26"/>
        <v>101068641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15729141</v>
      </c>
      <c r="G262" s="1">
        <v>32296440</v>
      </c>
      <c r="H262" s="1">
        <v>0</v>
      </c>
      <c r="I262" s="1">
        <v>14867808</v>
      </c>
      <c r="J262" s="1">
        <v>0</v>
      </c>
      <c r="K262" s="1">
        <v>5500000</v>
      </c>
      <c r="L262" s="1">
        <v>0</v>
      </c>
      <c r="M262" s="1">
        <v>400000</v>
      </c>
      <c r="N262" s="1">
        <v>2750398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10834449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2425950</v>
      </c>
      <c r="AD262" s="1">
        <v>0</v>
      </c>
      <c r="AE262" s="1">
        <v>1964570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3536226</v>
      </c>
      <c r="AM262" s="1">
        <v>0</v>
      </c>
      <c r="AN262" s="1">
        <v>92516251</v>
      </c>
      <c r="AO262" s="1">
        <v>18829408</v>
      </c>
      <c r="AP262" s="1">
        <v>73686843</v>
      </c>
      <c r="AQ262" s="1">
        <v>15557766</v>
      </c>
      <c r="AR262" s="1">
        <v>2333665</v>
      </c>
      <c r="AS262" s="1">
        <v>0</v>
      </c>
      <c r="AT262" s="1">
        <f t="shared" si="26"/>
        <v>110407682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13319364</v>
      </c>
      <c r="G263" s="1">
        <v>19322362</v>
      </c>
      <c r="H263" s="1">
        <v>0</v>
      </c>
      <c r="I263" s="1">
        <v>12511124</v>
      </c>
      <c r="J263" s="1">
        <v>0</v>
      </c>
      <c r="K263" s="1">
        <v>4620000</v>
      </c>
      <c r="L263" s="1">
        <v>0</v>
      </c>
      <c r="M263" s="1">
        <v>400000</v>
      </c>
      <c r="N263" s="1">
        <v>2592532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9431778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1851808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10291958</v>
      </c>
      <c r="AM263" s="1">
        <v>0</v>
      </c>
      <c r="AN263" s="1">
        <v>79820100</v>
      </c>
      <c r="AO263" s="1">
        <v>18406517</v>
      </c>
      <c r="AP263" s="1">
        <v>61413583</v>
      </c>
      <c r="AQ263" s="1">
        <v>15487766</v>
      </c>
      <c r="AR263" s="1">
        <v>2323165</v>
      </c>
      <c r="AS263" s="1">
        <v>0</v>
      </c>
      <c r="AT263" s="1">
        <f t="shared" si="26"/>
        <v>97631031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16158624</v>
      </c>
      <c r="G264" s="1">
        <v>7350424</v>
      </c>
      <c r="H264" s="1">
        <v>0</v>
      </c>
      <c r="I264" s="1">
        <v>12306084</v>
      </c>
      <c r="J264" s="1">
        <v>0</v>
      </c>
      <c r="K264" s="1">
        <v>5500000</v>
      </c>
      <c r="L264" s="1">
        <v>0</v>
      </c>
      <c r="M264" s="1">
        <v>400000</v>
      </c>
      <c r="N264" s="1">
        <v>2900717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15888833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2071941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3729494</v>
      </c>
      <c r="AM264" s="1">
        <v>0</v>
      </c>
      <c r="AN264" s="1">
        <v>67406117</v>
      </c>
      <c r="AO264" s="1">
        <v>12664601</v>
      </c>
      <c r="AP264" s="1">
        <v>54741516</v>
      </c>
      <c r="AQ264" s="1">
        <v>13481223</v>
      </c>
      <c r="AR264" s="1">
        <v>2022184</v>
      </c>
      <c r="AS264" s="1">
        <v>0</v>
      </c>
      <c r="AT264" s="1">
        <f t="shared" si="26"/>
        <v>82909524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16022052</v>
      </c>
      <c r="G265" s="1">
        <v>11290985</v>
      </c>
      <c r="H265" s="1">
        <v>0</v>
      </c>
      <c r="I265" s="1">
        <v>13675845</v>
      </c>
      <c r="J265" s="1">
        <v>0</v>
      </c>
      <c r="K265" s="1">
        <v>5500000</v>
      </c>
      <c r="L265" s="1">
        <v>0</v>
      </c>
      <c r="M265" s="1">
        <v>400000</v>
      </c>
      <c r="N265" s="1">
        <v>2852917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13916463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2037798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4890715</v>
      </c>
      <c r="AM265" s="1">
        <v>0</v>
      </c>
      <c r="AN265" s="1">
        <v>71686775</v>
      </c>
      <c r="AO265" s="1">
        <v>18956970</v>
      </c>
      <c r="AP265" s="1">
        <v>52729805</v>
      </c>
      <c r="AQ265" s="1">
        <v>14337355</v>
      </c>
      <c r="AR265" s="1">
        <v>2150603</v>
      </c>
      <c r="AS265" s="1">
        <v>0</v>
      </c>
      <c r="AT265" s="1">
        <f t="shared" si="26"/>
        <v>88174733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12611534</v>
      </c>
      <c r="G266" s="1">
        <v>8592272</v>
      </c>
      <c r="H266" s="1">
        <v>0</v>
      </c>
      <c r="I266" s="1">
        <v>11234781</v>
      </c>
      <c r="J266" s="1">
        <v>0</v>
      </c>
      <c r="K266" s="1">
        <v>0</v>
      </c>
      <c r="L266" s="1">
        <v>0</v>
      </c>
      <c r="M266" s="1">
        <v>400000</v>
      </c>
      <c r="N266" s="1">
        <v>2321202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12058114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1658001</v>
      </c>
      <c r="AF266" s="1">
        <v>1111269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5438244</v>
      </c>
      <c r="AM266" s="1">
        <v>0</v>
      </c>
      <c r="AN266" s="1">
        <v>57795417</v>
      </c>
      <c r="AO266" s="1">
        <v>12982837</v>
      </c>
      <c r="AP266" s="1">
        <v>44812580</v>
      </c>
      <c r="AQ266" s="1">
        <v>11082830</v>
      </c>
      <c r="AR266" s="1">
        <v>1662424</v>
      </c>
      <c r="AS266" s="1">
        <v>0</v>
      </c>
      <c r="AT266" s="1">
        <f t="shared" si="26"/>
        <v>70540671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15511704</v>
      </c>
      <c r="G267" s="1">
        <v>31821246</v>
      </c>
      <c r="H267" s="1">
        <v>0</v>
      </c>
      <c r="I267" s="1">
        <v>12275419</v>
      </c>
      <c r="J267" s="1">
        <v>0</v>
      </c>
      <c r="K267" s="1">
        <v>5500000</v>
      </c>
      <c r="L267" s="1">
        <v>0</v>
      </c>
      <c r="M267" s="1">
        <v>400000</v>
      </c>
      <c r="N267" s="1">
        <v>2674295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15743350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3180690</v>
      </c>
      <c r="AD267" s="1">
        <v>0</v>
      </c>
      <c r="AE267" s="1">
        <v>1910211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14826400</v>
      </c>
      <c r="AM267" s="1">
        <v>0</v>
      </c>
      <c r="AN267" s="1">
        <v>104943315</v>
      </c>
      <c r="AO267" s="1">
        <v>18195759</v>
      </c>
      <c r="AP267" s="1">
        <v>86747556</v>
      </c>
      <c r="AQ267" s="1">
        <v>15557766</v>
      </c>
      <c r="AR267" s="1">
        <v>2333665</v>
      </c>
      <c r="AS267" s="1">
        <v>0</v>
      </c>
      <c r="AT267" s="1">
        <f t="shared" si="26"/>
        <v>122834746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11123817</v>
      </c>
      <c r="G268" s="1">
        <v>1013464</v>
      </c>
      <c r="H268" s="1">
        <v>0</v>
      </c>
      <c r="I268" s="1">
        <v>9244746</v>
      </c>
      <c r="J268" s="1">
        <v>0</v>
      </c>
      <c r="K268" s="1">
        <v>4620000</v>
      </c>
      <c r="L268" s="1">
        <v>0</v>
      </c>
      <c r="M268" s="1">
        <v>400000</v>
      </c>
      <c r="N268" s="1">
        <v>2005369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14488008</v>
      </c>
      <c r="W268" s="1">
        <v>1100000</v>
      </c>
      <c r="X268" s="1">
        <v>1013464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1432407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8035437</v>
      </c>
      <c r="AM268" s="1">
        <v>0</v>
      </c>
      <c r="AN268" s="1">
        <v>55746712</v>
      </c>
      <c r="AO268" s="1">
        <v>14562679</v>
      </c>
      <c r="AP268" s="1">
        <v>41184033</v>
      </c>
      <c r="AQ268" s="1">
        <v>10895342</v>
      </c>
      <c r="AR268" s="1">
        <v>1634301</v>
      </c>
      <c r="AS268" s="1">
        <v>0</v>
      </c>
      <c r="AT268" s="1">
        <f t="shared" si="26"/>
        <v>68276355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13089826</v>
      </c>
      <c r="G269" s="1">
        <v>12373039</v>
      </c>
      <c r="H269" s="1">
        <v>0</v>
      </c>
      <c r="I269" s="1">
        <v>11360179</v>
      </c>
      <c r="J269" s="1">
        <v>0</v>
      </c>
      <c r="K269" s="1">
        <v>4620000</v>
      </c>
      <c r="L269" s="1">
        <v>0</v>
      </c>
      <c r="M269" s="1">
        <v>400000</v>
      </c>
      <c r="N269" s="1">
        <v>2455496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7274999</v>
      </c>
      <c r="W269" s="1">
        <v>1100000</v>
      </c>
      <c r="X269" s="1">
        <v>0</v>
      </c>
      <c r="Y269" s="1">
        <v>8154957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1753926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2630889</v>
      </c>
      <c r="AM269" s="1">
        <v>0</v>
      </c>
      <c r="AN269" s="1">
        <v>67435849</v>
      </c>
      <c r="AO269" s="1">
        <v>12924091</v>
      </c>
      <c r="AP269" s="1">
        <v>54511758</v>
      </c>
      <c r="AQ269" s="1">
        <v>13042662</v>
      </c>
      <c r="AR269" s="1">
        <v>1956399</v>
      </c>
      <c r="AS269" s="1">
        <v>0</v>
      </c>
      <c r="AT269" s="1">
        <f t="shared" si="26"/>
        <v>82434910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16664379</v>
      </c>
      <c r="G270" s="1">
        <v>1603524</v>
      </c>
      <c r="H270" s="1">
        <v>0</v>
      </c>
      <c r="I270" s="1">
        <v>12226321</v>
      </c>
      <c r="J270" s="1">
        <v>950000</v>
      </c>
      <c r="K270" s="1">
        <v>4125000</v>
      </c>
      <c r="L270" s="1">
        <v>0</v>
      </c>
      <c r="M270" s="1">
        <v>400000</v>
      </c>
      <c r="N270" s="1">
        <v>3037512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6630040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2169651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3254477</v>
      </c>
      <c r="AM270" s="1">
        <v>0</v>
      </c>
      <c r="AN270" s="1">
        <v>53272173</v>
      </c>
      <c r="AO270" s="1">
        <v>9523279</v>
      </c>
      <c r="AP270" s="1">
        <v>43748894</v>
      </c>
      <c r="AQ270" s="1">
        <v>10242181</v>
      </c>
      <c r="AR270" s="1">
        <v>1536327</v>
      </c>
      <c r="AS270" s="1">
        <v>0</v>
      </c>
      <c r="AT270" s="1">
        <f t="shared" si="26"/>
        <v>65050681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15027654</v>
      </c>
      <c r="G271" s="1">
        <v>0</v>
      </c>
      <c r="H271" s="1">
        <v>0</v>
      </c>
      <c r="I271" s="1">
        <v>15269847</v>
      </c>
      <c r="J271" s="1">
        <v>0</v>
      </c>
      <c r="K271" s="1">
        <v>5500000</v>
      </c>
      <c r="L271" s="1">
        <v>0</v>
      </c>
      <c r="M271" s="1">
        <v>400000</v>
      </c>
      <c r="N271" s="1">
        <v>2492757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9097489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1780540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4558184</v>
      </c>
      <c r="AM271" s="1">
        <v>0</v>
      </c>
      <c r="AN271" s="1">
        <v>56337740</v>
      </c>
      <c r="AO271" s="1">
        <v>14117514</v>
      </c>
      <c r="AP271" s="1">
        <v>42220226</v>
      </c>
      <c r="AQ271" s="1">
        <v>11045294</v>
      </c>
      <c r="AR271" s="1">
        <v>1656794</v>
      </c>
      <c r="AS271" s="1">
        <v>0</v>
      </c>
      <c r="AT271" s="1">
        <f t="shared" si="26"/>
        <v>69039828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12822945</v>
      </c>
      <c r="G272" s="1">
        <v>0</v>
      </c>
      <c r="H272" s="1">
        <v>0</v>
      </c>
      <c r="I272" s="1">
        <v>11418974</v>
      </c>
      <c r="J272" s="1">
        <v>0</v>
      </c>
      <c r="K272" s="1">
        <v>4620000</v>
      </c>
      <c r="L272" s="1">
        <v>0</v>
      </c>
      <c r="M272" s="1">
        <v>400000</v>
      </c>
      <c r="N272" s="1">
        <v>2399541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1270000</v>
      </c>
      <c r="U272" s="1">
        <v>0</v>
      </c>
      <c r="V272" s="1">
        <v>12231791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1713958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5621782</v>
      </c>
      <c r="AM272" s="1">
        <v>0</v>
      </c>
      <c r="AN272" s="1">
        <v>53598991</v>
      </c>
      <c r="AO272" s="1">
        <v>9441270</v>
      </c>
      <c r="AP272" s="1">
        <v>44157721</v>
      </c>
      <c r="AQ272" s="1">
        <v>10465798</v>
      </c>
      <c r="AR272" s="1">
        <v>1569870</v>
      </c>
      <c r="AS272" s="1">
        <v>0</v>
      </c>
      <c r="AT272" s="1">
        <f t="shared" si="26"/>
        <v>65634659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11888669</v>
      </c>
      <c r="G273" s="1">
        <v>2435940</v>
      </c>
      <c r="H273" s="1">
        <v>0</v>
      </c>
      <c r="I273" s="1">
        <v>10779686</v>
      </c>
      <c r="J273" s="1">
        <v>0</v>
      </c>
      <c r="K273" s="1">
        <v>4620000</v>
      </c>
      <c r="L273" s="1">
        <v>0</v>
      </c>
      <c r="M273" s="1">
        <v>400000</v>
      </c>
      <c r="N273" s="1">
        <v>2279430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12241610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1628164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8906979</v>
      </c>
      <c r="AM273" s="1">
        <v>0</v>
      </c>
      <c r="AN273" s="1">
        <v>60445047</v>
      </c>
      <c r="AO273" s="1">
        <v>10768355</v>
      </c>
      <c r="AP273" s="1">
        <v>49676692</v>
      </c>
      <c r="AQ273" s="1">
        <v>11612756</v>
      </c>
      <c r="AR273" s="1">
        <v>1741913</v>
      </c>
      <c r="AS273" s="1">
        <v>0</v>
      </c>
      <c r="AT273" s="1">
        <f t="shared" si="26"/>
        <v>73799716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12311774</v>
      </c>
      <c r="G274" s="1">
        <v>269454</v>
      </c>
      <c r="H274" s="1">
        <v>0</v>
      </c>
      <c r="I274" s="1">
        <v>10192141</v>
      </c>
      <c r="J274" s="1">
        <v>0</v>
      </c>
      <c r="K274" s="1">
        <v>4620000</v>
      </c>
      <c r="L274" s="1">
        <v>0</v>
      </c>
      <c r="M274" s="1">
        <v>400000</v>
      </c>
      <c r="N274" s="1">
        <v>2379616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6970979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1699725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3399450</v>
      </c>
      <c r="AM274" s="1">
        <v>0</v>
      </c>
      <c r="AN274" s="1">
        <v>43343139</v>
      </c>
      <c r="AO274" s="1">
        <v>12799119</v>
      </c>
      <c r="AP274" s="1">
        <v>30544020</v>
      </c>
      <c r="AQ274" s="1">
        <v>8668628</v>
      </c>
      <c r="AR274" s="1">
        <v>1300294</v>
      </c>
      <c r="AS274" s="1">
        <v>0</v>
      </c>
      <c r="AT274" s="1">
        <f t="shared" si="26"/>
        <v>53312061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15623361</v>
      </c>
      <c r="G275" s="1">
        <v>6601619</v>
      </c>
      <c r="H275" s="1">
        <v>0</v>
      </c>
      <c r="I275" s="1">
        <v>11929944</v>
      </c>
      <c r="J275" s="1">
        <v>0</v>
      </c>
      <c r="K275" s="1">
        <v>5500000</v>
      </c>
      <c r="L275" s="1">
        <v>0</v>
      </c>
      <c r="M275" s="1">
        <v>400000</v>
      </c>
      <c r="N275" s="1">
        <v>2697398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11619946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1926712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3853425</v>
      </c>
      <c r="AM275" s="1">
        <v>0</v>
      </c>
      <c r="AN275" s="1">
        <v>63633674</v>
      </c>
      <c r="AO275" s="1">
        <v>12715695</v>
      </c>
      <c r="AP275" s="1">
        <v>50917979</v>
      </c>
      <c r="AQ275" s="1">
        <v>12250481</v>
      </c>
      <c r="AR275" s="1">
        <v>1837572</v>
      </c>
      <c r="AS275" s="1">
        <v>0</v>
      </c>
      <c r="AT275" s="1">
        <f t="shared" si="26"/>
        <v>77721727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11735642</v>
      </c>
      <c r="G276" s="1">
        <v>12540885</v>
      </c>
      <c r="H276" s="1">
        <v>0</v>
      </c>
      <c r="I276" s="1">
        <v>10376665</v>
      </c>
      <c r="J276" s="1">
        <v>0</v>
      </c>
      <c r="K276" s="1">
        <v>4620000</v>
      </c>
      <c r="L276" s="1">
        <v>0</v>
      </c>
      <c r="M276" s="1">
        <v>400000</v>
      </c>
      <c r="N276" s="1">
        <v>2232419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14896036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1594586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8304448</v>
      </c>
      <c r="AM276" s="1">
        <v>0</v>
      </c>
      <c r="AN276" s="1">
        <v>71942296</v>
      </c>
      <c r="AO276" s="1">
        <v>15247630</v>
      </c>
      <c r="AP276" s="1">
        <v>56694666</v>
      </c>
      <c r="AQ276" s="1">
        <v>13912205</v>
      </c>
      <c r="AR276" s="1">
        <v>2086831</v>
      </c>
      <c r="AS276" s="1">
        <v>0</v>
      </c>
      <c r="AT276" s="1">
        <f t="shared" si="26"/>
        <v>87941332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16031037</v>
      </c>
      <c r="G277" s="1">
        <v>35809521</v>
      </c>
      <c r="H277" s="1">
        <v>0</v>
      </c>
      <c r="I277" s="1">
        <v>13340331</v>
      </c>
      <c r="J277" s="1">
        <v>0</v>
      </c>
      <c r="K277" s="1">
        <v>5500000</v>
      </c>
      <c r="L277" s="1">
        <v>0</v>
      </c>
      <c r="M277" s="1">
        <v>400000</v>
      </c>
      <c r="N277" s="1">
        <v>2856062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16468880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3180690</v>
      </c>
      <c r="AD277" s="1">
        <v>0</v>
      </c>
      <c r="AE277" s="1">
        <v>2040044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15252253</v>
      </c>
      <c r="AM277" s="1">
        <v>0</v>
      </c>
      <c r="AN277" s="1">
        <v>113090087</v>
      </c>
      <c r="AO277" s="1">
        <v>21704679</v>
      </c>
      <c r="AP277" s="1">
        <v>91385408</v>
      </c>
      <c r="AQ277" s="1">
        <v>15557766</v>
      </c>
      <c r="AR277" s="1">
        <v>2333665</v>
      </c>
      <c r="AS277" s="1">
        <v>0</v>
      </c>
      <c r="AT277" s="1">
        <f t="shared" si="26"/>
        <v>130981518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11827154</v>
      </c>
      <c r="G278" s="1">
        <v>8586801</v>
      </c>
      <c r="H278" s="1">
        <v>0</v>
      </c>
      <c r="I278" s="1">
        <v>8607850</v>
      </c>
      <c r="J278" s="1">
        <v>0</v>
      </c>
      <c r="K278" s="1">
        <v>3465000</v>
      </c>
      <c r="L278" s="1">
        <v>0</v>
      </c>
      <c r="M278" s="1">
        <v>400000</v>
      </c>
      <c r="N278" s="1">
        <v>2191849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6170752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1565606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2348410</v>
      </c>
      <c r="AM278" s="1">
        <v>0</v>
      </c>
      <c r="AN278" s="1">
        <v>46263422</v>
      </c>
      <c r="AO278" s="1">
        <v>11198816</v>
      </c>
      <c r="AP278" s="1">
        <v>35064606</v>
      </c>
      <c r="AQ278" s="1">
        <v>9252684</v>
      </c>
      <c r="AR278" s="1">
        <v>1387903</v>
      </c>
      <c r="AS278" s="1">
        <v>0</v>
      </c>
      <c r="AT278" s="1">
        <f t="shared" si="26"/>
        <v>56904009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12111623</v>
      </c>
      <c r="G279" s="1">
        <v>7333192</v>
      </c>
      <c r="H279" s="1">
        <v>0</v>
      </c>
      <c r="I279" s="1">
        <v>10507950</v>
      </c>
      <c r="J279" s="1">
        <v>0</v>
      </c>
      <c r="K279" s="1">
        <v>4620000</v>
      </c>
      <c r="L279" s="1">
        <v>0</v>
      </c>
      <c r="M279" s="1">
        <v>400000</v>
      </c>
      <c r="N279" s="1">
        <v>2339501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8248491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1671072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8847231</v>
      </c>
      <c r="AM279" s="1">
        <v>0</v>
      </c>
      <c r="AN279" s="1">
        <v>61377072</v>
      </c>
      <c r="AO279" s="1">
        <v>9718422</v>
      </c>
      <c r="AP279" s="1">
        <v>51658650</v>
      </c>
      <c r="AQ279" s="1">
        <v>11799161</v>
      </c>
      <c r="AR279" s="1">
        <v>1769874</v>
      </c>
      <c r="AS279" s="1">
        <v>0</v>
      </c>
      <c r="AT279" s="1">
        <f t="shared" si="26"/>
        <v>74946107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12310151</v>
      </c>
      <c r="G280" s="1">
        <v>5834878</v>
      </c>
      <c r="H280" s="1">
        <v>0</v>
      </c>
      <c r="I280" s="1">
        <v>10615353</v>
      </c>
      <c r="J280" s="1">
        <v>0</v>
      </c>
      <c r="K280" s="1">
        <v>3465000</v>
      </c>
      <c r="L280" s="1">
        <v>0</v>
      </c>
      <c r="M280" s="1">
        <v>400000</v>
      </c>
      <c r="N280" s="1">
        <v>2401689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10270354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1715492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4803376</v>
      </c>
      <c r="AM280" s="1">
        <v>0</v>
      </c>
      <c r="AN280" s="1">
        <v>52916293</v>
      </c>
      <c r="AO280" s="1">
        <v>12979938</v>
      </c>
      <c r="AP280" s="1">
        <v>39936355</v>
      </c>
      <c r="AQ280" s="1">
        <v>10583259</v>
      </c>
      <c r="AR280" s="1">
        <v>1587489</v>
      </c>
      <c r="AS280" s="1">
        <v>0</v>
      </c>
      <c r="AT280" s="1">
        <f t="shared" si="26"/>
        <v>65087041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10902172</v>
      </c>
      <c r="G281" s="1">
        <v>2450930</v>
      </c>
      <c r="H281" s="1">
        <v>0</v>
      </c>
      <c r="I281" s="1">
        <v>9322657</v>
      </c>
      <c r="J281" s="1">
        <v>0</v>
      </c>
      <c r="K281" s="1">
        <v>4620000</v>
      </c>
      <c r="L281" s="1">
        <v>0</v>
      </c>
      <c r="M281" s="1">
        <v>400000</v>
      </c>
      <c r="N281" s="1">
        <v>1908521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10777325</v>
      </c>
      <c r="W281" s="1">
        <v>1100000</v>
      </c>
      <c r="X281" s="1">
        <v>1635326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1363229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7742044</v>
      </c>
      <c r="AM281" s="1">
        <v>0</v>
      </c>
      <c r="AN281" s="1">
        <v>54603473</v>
      </c>
      <c r="AO281" s="1">
        <v>10420433</v>
      </c>
      <c r="AP281" s="1">
        <v>44183040</v>
      </c>
      <c r="AQ281" s="1">
        <v>10444441</v>
      </c>
      <c r="AR281" s="1">
        <v>1566666</v>
      </c>
      <c r="AS281" s="1">
        <v>0</v>
      </c>
      <c r="AT281" s="1">
        <f t="shared" si="26"/>
        <v>66614580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11958043</v>
      </c>
      <c r="G282" s="1">
        <v>5599467</v>
      </c>
      <c r="H282" s="1">
        <v>0</v>
      </c>
      <c r="I282" s="1">
        <v>10654920</v>
      </c>
      <c r="J282" s="1">
        <v>0</v>
      </c>
      <c r="K282" s="1">
        <v>4620000</v>
      </c>
      <c r="L282" s="1">
        <v>0</v>
      </c>
      <c r="M282" s="1">
        <v>400000</v>
      </c>
      <c r="N282" s="1">
        <v>2305021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12443260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1646443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8987746</v>
      </c>
      <c r="AM282" s="1">
        <v>0</v>
      </c>
      <c r="AN282" s="1">
        <v>62778606</v>
      </c>
      <c r="AO282" s="1">
        <v>7923445</v>
      </c>
      <c r="AP282" s="1">
        <v>54855161</v>
      </c>
      <c r="AQ282" s="1">
        <v>12301721</v>
      </c>
      <c r="AR282" s="1">
        <v>1845258</v>
      </c>
      <c r="AS282" s="1">
        <v>0</v>
      </c>
      <c r="AT282" s="1">
        <f t="shared" si="26"/>
        <v>76925585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12001916</v>
      </c>
      <c r="G283" s="1">
        <v>2900255</v>
      </c>
      <c r="H283" s="1">
        <v>0</v>
      </c>
      <c r="I283" s="1">
        <v>11173964</v>
      </c>
      <c r="J283" s="1">
        <v>0</v>
      </c>
      <c r="K283" s="1">
        <v>4620000</v>
      </c>
      <c r="L283" s="1">
        <v>0</v>
      </c>
      <c r="M283" s="1">
        <v>400000</v>
      </c>
      <c r="N283" s="1">
        <v>2303161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8336866</v>
      </c>
      <c r="W283" s="1">
        <v>1100000</v>
      </c>
      <c r="X283" s="1">
        <v>1800287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1645116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8733335</v>
      </c>
      <c r="AM283" s="1">
        <v>0</v>
      </c>
      <c r="AN283" s="1">
        <v>57396169</v>
      </c>
      <c r="AO283" s="1">
        <v>12824735</v>
      </c>
      <c r="AP283" s="1">
        <v>44571434</v>
      </c>
      <c r="AQ283" s="1">
        <v>11002980</v>
      </c>
      <c r="AR283" s="1">
        <v>1650447</v>
      </c>
      <c r="AS283" s="1">
        <v>0</v>
      </c>
      <c r="AT283" s="1">
        <f t="shared" si="26"/>
        <v>70049596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11407806</v>
      </c>
      <c r="G284" s="1">
        <v>14127978</v>
      </c>
      <c r="H284" s="1">
        <v>0</v>
      </c>
      <c r="I284" s="1">
        <v>9966821</v>
      </c>
      <c r="J284" s="1">
        <v>0</v>
      </c>
      <c r="K284" s="1">
        <v>4620000</v>
      </c>
      <c r="L284" s="1">
        <v>0</v>
      </c>
      <c r="M284" s="1">
        <v>400000</v>
      </c>
      <c r="N284" s="1">
        <v>2109069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14325398</v>
      </c>
      <c r="W284" s="1">
        <v>1100000</v>
      </c>
      <c r="X284" s="1">
        <v>1711171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1506478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7941776</v>
      </c>
      <c r="AM284" s="1">
        <v>0</v>
      </c>
      <c r="AN284" s="1">
        <v>71597766</v>
      </c>
      <c r="AO284" s="1">
        <v>14180242</v>
      </c>
      <c r="AP284" s="1">
        <v>57417524</v>
      </c>
      <c r="AQ284" s="1">
        <v>13843299</v>
      </c>
      <c r="AR284" s="1">
        <v>2076495</v>
      </c>
      <c r="AS284" s="1">
        <v>0</v>
      </c>
      <c r="AT284" s="1">
        <f t="shared" si="26"/>
        <v>87517560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15452276</v>
      </c>
      <c r="G285" s="1">
        <v>8402899</v>
      </c>
      <c r="H285" s="1">
        <v>0</v>
      </c>
      <c r="I285" s="1">
        <v>12035261</v>
      </c>
      <c r="J285" s="1">
        <v>0</v>
      </c>
      <c r="K285" s="1">
        <v>0</v>
      </c>
      <c r="L285" s="1">
        <v>0</v>
      </c>
      <c r="M285" s="1">
        <v>400000</v>
      </c>
      <c r="N285" s="1">
        <v>2639997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12382751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1885712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3620567</v>
      </c>
      <c r="AM285" s="1">
        <v>0</v>
      </c>
      <c r="AN285" s="1">
        <v>59189463</v>
      </c>
      <c r="AO285" s="1">
        <v>12352886</v>
      </c>
      <c r="AP285" s="1">
        <v>46836577</v>
      </c>
      <c r="AQ285" s="1">
        <v>11583893</v>
      </c>
      <c r="AR285" s="1">
        <v>1737584</v>
      </c>
      <c r="AS285" s="1">
        <v>0</v>
      </c>
      <c r="AT285" s="1">
        <f t="shared" si="26"/>
        <v>72510940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11845824</v>
      </c>
      <c r="G286" s="1">
        <v>6331791</v>
      </c>
      <c r="H286" s="1">
        <v>0</v>
      </c>
      <c r="I286" s="1">
        <v>10537734</v>
      </c>
      <c r="J286" s="1">
        <v>0</v>
      </c>
      <c r="K286" s="1">
        <v>3465000</v>
      </c>
      <c r="L286" s="1">
        <v>0</v>
      </c>
      <c r="M286" s="1">
        <v>400000</v>
      </c>
      <c r="N286" s="1">
        <v>2274912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15913044</v>
      </c>
      <c r="W286" s="1">
        <v>1100000</v>
      </c>
      <c r="X286" s="1">
        <v>1776874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1624937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8883541</v>
      </c>
      <c r="AM286" s="1">
        <v>0</v>
      </c>
      <c r="AN286" s="1">
        <v>65423657</v>
      </c>
      <c r="AO286" s="1">
        <v>9755758</v>
      </c>
      <c r="AP286" s="1">
        <v>55667899</v>
      </c>
      <c r="AQ286" s="1">
        <v>12830731</v>
      </c>
      <c r="AR286" s="1">
        <v>1924610</v>
      </c>
      <c r="AS286" s="1">
        <v>0</v>
      </c>
      <c r="AT286" s="1">
        <f t="shared" si="26"/>
        <v>80178998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11901812</v>
      </c>
      <c r="G287" s="1">
        <v>3117323</v>
      </c>
      <c r="H287" s="1">
        <v>0</v>
      </c>
      <c r="I287" s="1">
        <v>10582325</v>
      </c>
      <c r="J287" s="1">
        <v>0</v>
      </c>
      <c r="K287" s="1">
        <v>4620000</v>
      </c>
      <c r="L287" s="1">
        <v>0</v>
      </c>
      <c r="M287" s="1">
        <v>400000</v>
      </c>
      <c r="N287" s="1">
        <v>2283094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12184544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1630781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8919506</v>
      </c>
      <c r="AM287" s="1">
        <v>0</v>
      </c>
      <c r="AN287" s="1">
        <v>59794657</v>
      </c>
      <c r="AO287" s="1">
        <v>15592711</v>
      </c>
      <c r="AP287" s="1">
        <v>44201946</v>
      </c>
      <c r="AQ287" s="1">
        <v>11704931</v>
      </c>
      <c r="AR287" s="1">
        <v>1755740</v>
      </c>
      <c r="AS287" s="1">
        <v>0</v>
      </c>
      <c r="AT287" s="1">
        <f t="shared" si="26"/>
        <v>73255328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19788564</v>
      </c>
      <c r="G288" s="1">
        <v>10446892</v>
      </c>
      <c r="H288" s="1">
        <v>0</v>
      </c>
      <c r="I288" s="1">
        <v>16276713</v>
      </c>
      <c r="J288" s="1">
        <v>0</v>
      </c>
      <c r="K288" s="1">
        <v>5500000</v>
      </c>
      <c r="L288" s="1">
        <v>0</v>
      </c>
      <c r="M288" s="1">
        <v>400000</v>
      </c>
      <c r="N288" s="1">
        <v>3093805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16149785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2209861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4773299</v>
      </c>
      <c r="AM288" s="1">
        <v>0</v>
      </c>
      <c r="AN288" s="1">
        <v>82120188</v>
      </c>
      <c r="AO288" s="1">
        <v>22921714</v>
      </c>
      <c r="AP288" s="1">
        <v>59198474</v>
      </c>
      <c r="AQ288" s="1">
        <v>15557766</v>
      </c>
      <c r="AR288" s="1">
        <v>2333665</v>
      </c>
      <c r="AS288" s="1">
        <v>0</v>
      </c>
      <c r="AT288" s="1">
        <f t="shared" si="26"/>
        <v>100011619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26"/>
        <v>0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12820775</v>
      </c>
      <c r="G290" s="1">
        <v>3742513</v>
      </c>
      <c r="H290" s="1">
        <v>0</v>
      </c>
      <c r="I290" s="1">
        <v>9849565</v>
      </c>
      <c r="J290" s="1">
        <v>0</v>
      </c>
      <c r="K290" s="1">
        <v>3465000</v>
      </c>
      <c r="L290" s="1">
        <v>0</v>
      </c>
      <c r="M290" s="1">
        <v>400000</v>
      </c>
      <c r="N290" s="1">
        <v>2330496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2916244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1664641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2496961</v>
      </c>
      <c r="AM290" s="1">
        <v>0</v>
      </c>
      <c r="AN290" s="1">
        <v>42056195</v>
      </c>
      <c r="AO290" s="1">
        <v>9411070</v>
      </c>
      <c r="AP290" s="1">
        <v>32645125</v>
      </c>
      <c r="AQ290" s="1">
        <v>8157239</v>
      </c>
      <c r="AR290" s="1">
        <v>1223586</v>
      </c>
      <c r="AS290" s="1">
        <v>0</v>
      </c>
      <c r="AT290" s="1">
        <f t="shared" si="26"/>
        <v>51437020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18482196</v>
      </c>
      <c r="G291" s="1">
        <v>5827914</v>
      </c>
      <c r="H291" s="1">
        <v>0</v>
      </c>
      <c r="I291" s="1">
        <v>15053463</v>
      </c>
      <c r="J291" s="1">
        <v>0</v>
      </c>
      <c r="K291" s="1">
        <v>4125000</v>
      </c>
      <c r="L291" s="1">
        <v>0</v>
      </c>
      <c r="M291" s="1">
        <v>400000</v>
      </c>
      <c r="N291" s="1">
        <v>2636193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7530153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1882995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4368549</v>
      </c>
      <c r="AM291" s="1">
        <v>0</v>
      </c>
      <c r="AN291" s="1">
        <v>62517732</v>
      </c>
      <c r="AO291" s="1">
        <v>10071412</v>
      </c>
      <c r="AP291" s="1">
        <v>52446320</v>
      </c>
      <c r="AQ291" s="1">
        <v>12281293</v>
      </c>
      <c r="AR291" s="1">
        <v>1842194</v>
      </c>
      <c r="AS291" s="1">
        <v>0</v>
      </c>
      <c r="AT291" s="1">
        <f t="shared" si="26"/>
        <v>76641219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16850469</v>
      </c>
      <c r="G292" s="1">
        <v>3392366</v>
      </c>
      <c r="H292" s="1">
        <v>0</v>
      </c>
      <c r="I292" s="1">
        <v>13473915</v>
      </c>
      <c r="J292" s="1">
        <v>0</v>
      </c>
      <c r="K292" s="1">
        <v>5500000</v>
      </c>
      <c r="L292" s="1">
        <v>0</v>
      </c>
      <c r="M292" s="1">
        <v>400000</v>
      </c>
      <c r="N292" s="1">
        <v>2831533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12307903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2022524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4206849</v>
      </c>
      <c r="AM292" s="1">
        <v>0</v>
      </c>
      <c r="AN292" s="1">
        <v>64466828</v>
      </c>
      <c r="AO292" s="1">
        <v>11695419</v>
      </c>
      <c r="AP292" s="1">
        <v>52771409</v>
      </c>
      <c r="AQ292" s="1">
        <v>12417112</v>
      </c>
      <c r="AR292" s="1">
        <v>1862567</v>
      </c>
      <c r="AS292" s="1">
        <v>0</v>
      </c>
      <c r="AT292" s="1">
        <f t="shared" si="26"/>
        <v>78746507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12117523</v>
      </c>
      <c r="G293" s="1">
        <v>1141104</v>
      </c>
      <c r="H293" s="1">
        <v>0</v>
      </c>
      <c r="I293" s="1">
        <v>9734091</v>
      </c>
      <c r="J293" s="1">
        <v>0</v>
      </c>
      <c r="K293" s="1">
        <v>4620000</v>
      </c>
      <c r="L293" s="1">
        <v>0</v>
      </c>
      <c r="M293" s="1">
        <v>400000</v>
      </c>
      <c r="N293" s="1">
        <v>2310659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2845350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1650471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2640753</v>
      </c>
      <c r="AM293" s="1">
        <v>0</v>
      </c>
      <c r="AN293" s="1">
        <v>39829951</v>
      </c>
      <c r="AO293" s="1">
        <v>8284216</v>
      </c>
      <c r="AP293" s="1">
        <v>31545735</v>
      </c>
      <c r="AQ293" s="1">
        <v>7711990</v>
      </c>
      <c r="AR293" s="1">
        <v>1156799</v>
      </c>
      <c r="AS293" s="1">
        <v>0</v>
      </c>
      <c r="AT293" s="1">
        <f t="shared" si="26"/>
        <v>48698740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15626712</v>
      </c>
      <c r="G294" s="1">
        <v>5580929</v>
      </c>
      <c r="H294" s="1">
        <v>0</v>
      </c>
      <c r="I294" s="1">
        <v>16156140</v>
      </c>
      <c r="J294" s="1">
        <v>0</v>
      </c>
      <c r="K294" s="1">
        <v>4125000</v>
      </c>
      <c r="L294" s="1">
        <v>0</v>
      </c>
      <c r="M294" s="1">
        <v>400000</v>
      </c>
      <c r="N294" s="1">
        <v>2714548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9625525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1938963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4963745</v>
      </c>
      <c r="AM294" s="1">
        <v>0</v>
      </c>
      <c r="AN294" s="1">
        <v>62231562</v>
      </c>
      <c r="AO294" s="1">
        <v>14277515</v>
      </c>
      <c r="AP294" s="1">
        <v>47954047</v>
      </c>
      <c r="AQ294" s="1">
        <v>12446312</v>
      </c>
      <c r="AR294" s="1">
        <v>1866947</v>
      </c>
      <c r="AS294" s="1">
        <v>0</v>
      </c>
      <c r="AT294" s="1">
        <f t="shared" si="26"/>
        <v>76544821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12552409</v>
      </c>
      <c r="G295" s="1">
        <v>5254542</v>
      </c>
      <c r="H295" s="1">
        <v>0</v>
      </c>
      <c r="I295" s="1">
        <v>10463415</v>
      </c>
      <c r="J295" s="1">
        <v>0</v>
      </c>
      <c r="K295" s="1">
        <v>4620000</v>
      </c>
      <c r="L295" s="1">
        <v>0</v>
      </c>
      <c r="M295" s="1">
        <v>400000</v>
      </c>
      <c r="N295" s="1">
        <v>2468141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7154685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1762958</v>
      </c>
      <c r="AF295" s="1">
        <v>1111269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3525916</v>
      </c>
      <c r="AM295" s="1">
        <v>0</v>
      </c>
      <c r="AN295" s="1">
        <v>51683335</v>
      </c>
      <c r="AO295" s="1">
        <v>10331230</v>
      </c>
      <c r="AP295" s="1">
        <v>41352105</v>
      </c>
      <c r="AQ295" s="1">
        <v>9860413</v>
      </c>
      <c r="AR295" s="1">
        <v>1479062</v>
      </c>
      <c r="AS295" s="1">
        <v>0</v>
      </c>
      <c r="AT295" s="1">
        <f t="shared" si="26"/>
        <v>63022810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12014294</v>
      </c>
      <c r="G296" s="1">
        <v>1912645</v>
      </c>
      <c r="H296" s="1">
        <v>0</v>
      </c>
      <c r="I296" s="1">
        <v>10762815</v>
      </c>
      <c r="J296" s="1">
        <v>0</v>
      </c>
      <c r="K296" s="1">
        <v>3465000</v>
      </c>
      <c r="L296" s="1">
        <v>0</v>
      </c>
      <c r="M296" s="1">
        <v>400000</v>
      </c>
      <c r="N296" s="1">
        <v>2305249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8246929</v>
      </c>
      <c r="W296" s="1">
        <v>1100000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1646605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8741700</v>
      </c>
      <c r="AM296" s="1">
        <v>0</v>
      </c>
      <c r="AN296" s="1">
        <v>51865237</v>
      </c>
      <c r="AO296" s="1">
        <v>7503061</v>
      </c>
      <c r="AP296" s="1">
        <v>44362176</v>
      </c>
      <c r="AQ296" s="1">
        <v>10119047</v>
      </c>
      <c r="AR296" s="1">
        <v>1517857</v>
      </c>
      <c r="AS296" s="1">
        <v>0</v>
      </c>
      <c r="AT296" s="1">
        <f t="shared" si="26"/>
        <v>63502141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16374264</v>
      </c>
      <c r="G297" s="1">
        <v>12440057</v>
      </c>
      <c r="H297" s="1">
        <v>1257900</v>
      </c>
      <c r="I297" s="1">
        <v>12997790</v>
      </c>
      <c r="J297" s="1">
        <v>0</v>
      </c>
      <c r="K297" s="1">
        <v>5500000</v>
      </c>
      <c r="L297" s="1">
        <v>0</v>
      </c>
      <c r="M297" s="1">
        <v>400000</v>
      </c>
      <c r="N297" s="1">
        <v>2976191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12973142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2125851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4251702</v>
      </c>
      <c r="AM297" s="1">
        <v>0</v>
      </c>
      <c r="AN297" s="1">
        <v>72396897</v>
      </c>
      <c r="AO297" s="1">
        <v>14308018</v>
      </c>
      <c r="AP297" s="1">
        <v>58088879</v>
      </c>
      <c r="AQ297" s="1">
        <v>14227799</v>
      </c>
      <c r="AR297" s="1">
        <v>2134170</v>
      </c>
      <c r="AS297" s="1">
        <v>0</v>
      </c>
      <c r="AT297" s="1">
        <f t="shared" si="26"/>
        <v>88758866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11756311</v>
      </c>
      <c r="G298" s="1">
        <v>10582337</v>
      </c>
      <c r="H298" s="1">
        <v>0</v>
      </c>
      <c r="I298" s="1">
        <v>8572431</v>
      </c>
      <c r="J298" s="1">
        <v>0</v>
      </c>
      <c r="K298" s="1">
        <v>4620000</v>
      </c>
      <c r="L298" s="1">
        <v>0</v>
      </c>
      <c r="M298" s="1">
        <v>400000</v>
      </c>
      <c r="N298" s="1">
        <v>2174804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2638713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1553432</v>
      </c>
      <c r="AF298" s="1">
        <v>3333807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2330148</v>
      </c>
      <c r="AM298" s="1">
        <v>0</v>
      </c>
      <c r="AN298" s="1">
        <v>49061983</v>
      </c>
      <c r="AO298" s="1">
        <v>12902130</v>
      </c>
      <c r="AP298" s="1">
        <v>36159853</v>
      </c>
      <c r="AQ298" s="1">
        <v>9145635</v>
      </c>
      <c r="AR298" s="1">
        <v>1371845</v>
      </c>
      <c r="AS298" s="1">
        <v>0</v>
      </c>
      <c r="AT298" s="1">
        <f t="shared" si="26"/>
        <v>59579463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4959474</v>
      </c>
      <c r="G299" s="1">
        <v>3468261</v>
      </c>
      <c r="H299" s="1">
        <v>0</v>
      </c>
      <c r="I299" s="1">
        <v>3917984</v>
      </c>
      <c r="J299" s="1">
        <v>0</v>
      </c>
      <c r="K299" s="1">
        <v>0</v>
      </c>
      <c r="L299" s="1">
        <v>5300597</v>
      </c>
      <c r="M299" s="1">
        <v>400000</v>
      </c>
      <c r="N299" s="1">
        <v>2479738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5992072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2498669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2113987</v>
      </c>
      <c r="AK299" s="1">
        <v>0</v>
      </c>
      <c r="AL299" s="1">
        <v>0</v>
      </c>
      <c r="AM299" s="1">
        <v>0</v>
      </c>
      <c r="AN299" s="1">
        <v>35564589</v>
      </c>
      <c r="AO299" s="1">
        <v>3378152</v>
      </c>
      <c r="AP299" s="1">
        <v>32186437</v>
      </c>
      <c r="AQ299" s="1">
        <v>6446156</v>
      </c>
      <c r="AR299" s="1">
        <v>966923</v>
      </c>
      <c r="AS299" s="1">
        <v>0</v>
      </c>
      <c r="AT299" s="1">
        <f t="shared" si="26"/>
        <v>42977668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6026484</v>
      </c>
      <c r="G300" s="1">
        <v>6706772</v>
      </c>
      <c r="H300" s="1">
        <v>0</v>
      </c>
      <c r="I300" s="1">
        <v>4098009</v>
      </c>
      <c r="J300" s="1">
        <v>0</v>
      </c>
      <c r="K300" s="1">
        <v>0</v>
      </c>
      <c r="L300" s="1">
        <v>3620700</v>
      </c>
      <c r="M300" s="1">
        <v>400000</v>
      </c>
      <c r="N300" s="1">
        <v>3171834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6077619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2537554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2146167</v>
      </c>
      <c r="AK300" s="1">
        <v>0</v>
      </c>
      <c r="AL300" s="1">
        <v>0</v>
      </c>
      <c r="AM300" s="1">
        <v>0</v>
      </c>
      <c r="AN300" s="1">
        <v>38107677</v>
      </c>
      <c r="AO300" s="1">
        <v>5890163</v>
      </c>
      <c r="AP300" s="1">
        <v>32217514</v>
      </c>
      <c r="AQ300" s="1">
        <v>7177028</v>
      </c>
      <c r="AR300" s="1">
        <v>1076554</v>
      </c>
      <c r="AS300" s="1">
        <v>780000</v>
      </c>
      <c r="AT300" s="1">
        <f t="shared" si="26"/>
        <v>47141259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7433567</v>
      </c>
      <c r="G301" s="1">
        <v>4986731</v>
      </c>
      <c r="H301" s="1">
        <v>0</v>
      </c>
      <c r="I301" s="1">
        <v>5203497</v>
      </c>
      <c r="J301" s="1">
        <v>0</v>
      </c>
      <c r="K301" s="1">
        <v>0</v>
      </c>
      <c r="L301" s="1">
        <v>3620700</v>
      </c>
      <c r="M301" s="1">
        <v>400000</v>
      </c>
      <c r="N301" s="1">
        <v>3938314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7159706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3029412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41813006</v>
      </c>
      <c r="AO301" s="1">
        <v>7549018</v>
      </c>
      <c r="AP301" s="1">
        <v>34263988</v>
      </c>
      <c r="AQ301" s="1">
        <v>8140347</v>
      </c>
      <c r="AR301" s="1">
        <v>1221052</v>
      </c>
      <c r="AS301" s="1">
        <v>900000</v>
      </c>
      <c r="AT301" s="1">
        <f t="shared" si="26"/>
        <v>52074405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5846431</v>
      </c>
      <c r="G302" s="1">
        <v>2543426</v>
      </c>
      <c r="H302" s="1">
        <v>0</v>
      </c>
      <c r="I302" s="1">
        <v>4267894</v>
      </c>
      <c r="J302" s="1">
        <v>0</v>
      </c>
      <c r="K302" s="1">
        <v>0</v>
      </c>
      <c r="L302" s="1">
        <v>3620700</v>
      </c>
      <c r="M302" s="1">
        <v>400000</v>
      </c>
      <c r="N302" s="1">
        <v>3077069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8103102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2521814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3488127</v>
      </c>
      <c r="AK302" s="1">
        <v>0</v>
      </c>
      <c r="AL302" s="1">
        <v>0</v>
      </c>
      <c r="AM302" s="1">
        <v>0</v>
      </c>
      <c r="AN302" s="1">
        <v>34968563</v>
      </c>
      <c r="AO302" s="1">
        <v>7326333</v>
      </c>
      <c r="AP302" s="1">
        <v>27642230</v>
      </c>
      <c r="AQ302" s="1">
        <v>6993713</v>
      </c>
      <c r="AR302" s="1">
        <v>1049057</v>
      </c>
      <c r="AS302" s="1">
        <v>530000</v>
      </c>
      <c r="AT302" s="1">
        <f t="shared" si="26"/>
        <v>43541333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8194368</v>
      </c>
      <c r="G303" s="1">
        <v>9076769</v>
      </c>
      <c r="H303" s="1">
        <v>0</v>
      </c>
      <c r="I303" s="1">
        <v>6063832</v>
      </c>
      <c r="J303" s="1">
        <v>0</v>
      </c>
      <c r="K303" s="1">
        <v>0</v>
      </c>
      <c r="L303" s="1">
        <v>3620700</v>
      </c>
      <c r="M303" s="1">
        <v>400000</v>
      </c>
      <c r="N303" s="1">
        <v>4370330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10509034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3337385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3057438</v>
      </c>
      <c r="AK303" s="1">
        <v>0</v>
      </c>
      <c r="AL303" s="1">
        <v>0</v>
      </c>
      <c r="AM303" s="1">
        <v>0</v>
      </c>
      <c r="AN303" s="1">
        <v>50841125</v>
      </c>
      <c r="AO303" s="1">
        <v>12791744</v>
      </c>
      <c r="AP303" s="1">
        <v>38049381</v>
      </c>
      <c r="AQ303" s="1">
        <v>9945971</v>
      </c>
      <c r="AR303" s="1">
        <v>1491896</v>
      </c>
      <c r="AS303" s="1">
        <v>300000</v>
      </c>
      <c r="AT303" s="1">
        <f t="shared" si="26"/>
        <v>62578992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6265974</v>
      </c>
      <c r="G304" s="1">
        <v>5219828</v>
      </c>
      <c r="H304" s="1">
        <v>0</v>
      </c>
      <c r="I304" s="1">
        <v>4448842</v>
      </c>
      <c r="J304" s="1">
        <v>0</v>
      </c>
      <c r="K304" s="1">
        <v>0</v>
      </c>
      <c r="L304" s="1">
        <v>3620700</v>
      </c>
      <c r="M304" s="1">
        <v>400000</v>
      </c>
      <c r="N304" s="1">
        <v>3341853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6184701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30581898</v>
      </c>
      <c r="AO304" s="1">
        <v>5457908</v>
      </c>
      <c r="AP304" s="1">
        <v>25123990</v>
      </c>
      <c r="AQ304" s="1">
        <v>6116380</v>
      </c>
      <c r="AR304" s="1">
        <v>917457</v>
      </c>
      <c r="AS304" s="1">
        <v>530000</v>
      </c>
      <c r="AT304" s="1">
        <f t="shared" si="26"/>
        <v>38145735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6365616</v>
      </c>
      <c r="G305" s="1">
        <v>12473457</v>
      </c>
      <c r="H305" s="1">
        <v>0</v>
      </c>
      <c r="I305" s="1">
        <v>4710556</v>
      </c>
      <c r="J305" s="1">
        <v>0</v>
      </c>
      <c r="K305" s="1">
        <v>0</v>
      </c>
      <c r="L305" s="1">
        <v>3620700</v>
      </c>
      <c r="M305" s="1">
        <v>400000</v>
      </c>
      <c r="N305" s="1">
        <v>3372512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8659453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41813563</v>
      </c>
      <c r="AO305" s="1">
        <v>6010114</v>
      </c>
      <c r="AP305" s="1">
        <v>35803449</v>
      </c>
      <c r="AQ305" s="1">
        <v>8140459</v>
      </c>
      <c r="AR305" s="1">
        <v>1221069</v>
      </c>
      <c r="AS305" s="1">
        <v>795000</v>
      </c>
      <c r="AT305" s="1">
        <f t="shared" si="26"/>
        <v>51970091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14837829</v>
      </c>
      <c r="G306" s="1">
        <v>5428231</v>
      </c>
      <c r="H306" s="1">
        <v>0</v>
      </c>
      <c r="I306" s="1">
        <v>12957533</v>
      </c>
      <c r="J306" s="1">
        <v>0</v>
      </c>
      <c r="K306" s="1">
        <v>4620000</v>
      </c>
      <c r="L306" s="1">
        <v>0</v>
      </c>
      <c r="M306" s="1">
        <v>400000</v>
      </c>
      <c r="N306" s="1">
        <v>2831533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19030393</v>
      </c>
      <c r="W306" s="1">
        <v>1100000</v>
      </c>
      <c r="X306" s="1">
        <v>2225674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2022524</v>
      </c>
      <c r="AF306" s="1">
        <v>3333807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10357118</v>
      </c>
      <c r="AM306" s="1">
        <v>0</v>
      </c>
      <c r="AN306" s="1">
        <v>79144642</v>
      </c>
      <c r="AO306" s="1">
        <v>15426266</v>
      </c>
      <c r="AP306" s="1">
        <v>63718376</v>
      </c>
      <c r="AQ306" s="1">
        <v>15162167</v>
      </c>
      <c r="AR306" s="1">
        <v>2274325</v>
      </c>
      <c r="AS306" s="1">
        <v>0</v>
      </c>
      <c r="AT306" s="1">
        <f t="shared" si="26"/>
        <v>96581134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9575632</v>
      </c>
      <c r="G307" s="1">
        <v>3824597</v>
      </c>
      <c r="H307" s="1">
        <v>0</v>
      </c>
      <c r="I307" s="1">
        <v>6421277</v>
      </c>
      <c r="J307" s="1">
        <v>0</v>
      </c>
      <c r="K307" s="1">
        <v>4620000</v>
      </c>
      <c r="L307" s="1">
        <v>0</v>
      </c>
      <c r="M307" s="1">
        <v>400000</v>
      </c>
      <c r="N307" s="1">
        <v>1413546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1270000</v>
      </c>
      <c r="U307" s="1">
        <v>0</v>
      </c>
      <c r="V307" s="1">
        <v>10726674</v>
      </c>
      <c r="W307" s="1">
        <v>1100000</v>
      </c>
      <c r="X307" s="1">
        <v>1436345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1009675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5820943</v>
      </c>
      <c r="AM307" s="1">
        <v>0</v>
      </c>
      <c r="AN307" s="1">
        <v>48729958</v>
      </c>
      <c r="AO307" s="1">
        <v>10077706</v>
      </c>
      <c r="AP307" s="1">
        <v>38652252</v>
      </c>
      <c r="AQ307" s="1">
        <v>9269738</v>
      </c>
      <c r="AR307" s="1">
        <v>1390461</v>
      </c>
      <c r="AS307" s="1">
        <v>0</v>
      </c>
      <c r="AT307" s="1">
        <f t="shared" si="26"/>
        <v>59390157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7045209</v>
      </c>
      <c r="G308" s="1">
        <v>6379997</v>
      </c>
      <c r="H308" s="1">
        <v>0</v>
      </c>
      <c r="I308" s="1">
        <v>5495263</v>
      </c>
      <c r="J308" s="1">
        <v>0</v>
      </c>
      <c r="K308" s="1">
        <v>0</v>
      </c>
      <c r="L308" s="1">
        <v>3460800</v>
      </c>
      <c r="M308" s="1">
        <v>400000</v>
      </c>
      <c r="N308" s="1">
        <v>3757446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9406982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38156966</v>
      </c>
      <c r="AO308" s="1">
        <v>8601470</v>
      </c>
      <c r="AP308" s="1">
        <v>29555496</v>
      </c>
      <c r="AQ308" s="1">
        <v>7409139</v>
      </c>
      <c r="AR308" s="1">
        <v>1111371</v>
      </c>
      <c r="AS308" s="1">
        <v>900000</v>
      </c>
      <c r="AT308" s="1">
        <f t="shared" si="26"/>
        <v>47577476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6160444</v>
      </c>
      <c r="G309" s="1">
        <v>0</v>
      </c>
      <c r="H309" s="1">
        <v>0</v>
      </c>
      <c r="I309" s="1">
        <v>4558728</v>
      </c>
      <c r="J309" s="1">
        <v>0</v>
      </c>
      <c r="K309" s="1">
        <v>0</v>
      </c>
      <c r="L309" s="1">
        <v>3620700</v>
      </c>
      <c r="M309" s="1">
        <v>400000</v>
      </c>
      <c r="N309" s="1">
        <v>3263811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6160938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25264621</v>
      </c>
      <c r="AO309" s="1">
        <v>4008523</v>
      </c>
      <c r="AP309" s="1">
        <v>21256098</v>
      </c>
      <c r="AQ309" s="1">
        <v>5052924</v>
      </c>
      <c r="AR309" s="1">
        <v>757939</v>
      </c>
      <c r="AS309" s="1">
        <v>600000</v>
      </c>
      <c r="AT309" s="1">
        <f t="shared" si="26"/>
        <v>31675484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6270085</v>
      </c>
      <c r="G310" s="1">
        <v>6150434</v>
      </c>
      <c r="H310" s="1">
        <v>0</v>
      </c>
      <c r="I310" s="1">
        <v>5893880</v>
      </c>
      <c r="J310" s="1">
        <v>0</v>
      </c>
      <c r="K310" s="1">
        <v>0</v>
      </c>
      <c r="L310" s="1">
        <v>4101399</v>
      </c>
      <c r="M310" s="1">
        <v>400000</v>
      </c>
      <c r="N310" s="1">
        <v>3300045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6793594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2934811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39166786</v>
      </c>
      <c r="AO310" s="1">
        <v>5966886</v>
      </c>
      <c r="AP310" s="1">
        <v>33199900</v>
      </c>
      <c r="AQ310" s="1">
        <v>7388850</v>
      </c>
      <c r="AR310" s="1">
        <v>1108327</v>
      </c>
      <c r="AS310" s="1">
        <v>1060000</v>
      </c>
      <c r="AT310" s="1">
        <f t="shared" si="26"/>
        <v>48723963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9326569</v>
      </c>
      <c r="G311" s="1">
        <v>6236367</v>
      </c>
      <c r="H311" s="1">
        <v>0</v>
      </c>
      <c r="I311" s="1">
        <v>7741053</v>
      </c>
      <c r="J311" s="1">
        <v>0</v>
      </c>
      <c r="K311" s="1">
        <v>0</v>
      </c>
      <c r="L311" s="1">
        <v>3460800</v>
      </c>
      <c r="M311" s="1">
        <v>400000</v>
      </c>
      <c r="N311" s="1">
        <v>4974170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8708336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3825389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47995222</v>
      </c>
      <c r="AO311" s="1">
        <v>10661948</v>
      </c>
      <c r="AP311" s="1">
        <v>37333274</v>
      </c>
      <c r="AQ311" s="1">
        <v>9154537</v>
      </c>
      <c r="AR311" s="1">
        <v>1373181</v>
      </c>
      <c r="AS311" s="1">
        <v>1060000</v>
      </c>
      <c r="AT311" s="1">
        <f t="shared" si="26"/>
        <v>59582940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6693740</v>
      </c>
      <c r="G312" s="1">
        <v>4506202</v>
      </c>
      <c r="H312" s="1">
        <v>0</v>
      </c>
      <c r="I312" s="1">
        <v>4886430</v>
      </c>
      <c r="J312" s="1">
        <v>0</v>
      </c>
      <c r="K312" s="1">
        <v>0</v>
      </c>
      <c r="L312" s="1">
        <v>4001515</v>
      </c>
      <c r="M312" s="1">
        <v>400000</v>
      </c>
      <c r="N312" s="1">
        <v>3523021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6645017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2865706</v>
      </c>
      <c r="AE312" s="1">
        <v>0</v>
      </c>
      <c r="AF312" s="1">
        <v>2222538</v>
      </c>
      <c r="AG312" s="1">
        <v>0</v>
      </c>
      <c r="AH312" s="1">
        <v>0</v>
      </c>
      <c r="AI312" s="1">
        <v>2500000</v>
      </c>
      <c r="AJ312" s="1">
        <v>0</v>
      </c>
      <c r="AK312" s="1">
        <v>0</v>
      </c>
      <c r="AL312" s="1">
        <v>0</v>
      </c>
      <c r="AM312" s="1">
        <v>0</v>
      </c>
      <c r="AN312" s="1">
        <v>39344169</v>
      </c>
      <c r="AO312" s="1">
        <v>6493625</v>
      </c>
      <c r="AP312" s="1">
        <v>32850544</v>
      </c>
      <c r="AQ312" s="1">
        <v>6924326</v>
      </c>
      <c r="AR312" s="1">
        <v>1038649</v>
      </c>
      <c r="AS312" s="1">
        <v>1060000</v>
      </c>
      <c r="AT312" s="1">
        <f t="shared" si="26"/>
        <v>48367144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10211531</v>
      </c>
      <c r="G313" s="1">
        <v>8118235</v>
      </c>
      <c r="H313" s="1">
        <v>0</v>
      </c>
      <c r="I313" s="1">
        <v>8577686</v>
      </c>
      <c r="J313" s="1">
        <v>0</v>
      </c>
      <c r="K313" s="1">
        <v>0</v>
      </c>
      <c r="L313" s="1">
        <v>3460800</v>
      </c>
      <c r="M313" s="1">
        <v>400000</v>
      </c>
      <c r="N313" s="1">
        <v>5446150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9415763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4154425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54218397</v>
      </c>
      <c r="AO313" s="1">
        <v>10578357</v>
      </c>
      <c r="AP313" s="1">
        <v>43640040</v>
      </c>
      <c r="AQ313" s="1">
        <v>10176918</v>
      </c>
      <c r="AR313" s="1">
        <v>1526538</v>
      </c>
      <c r="AS313" s="1">
        <v>1325000</v>
      </c>
      <c r="AT313" s="1">
        <f t="shared" si="26"/>
        <v>67246853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7133490</v>
      </c>
      <c r="G314" s="1">
        <v>6600658</v>
      </c>
      <c r="H314" s="1">
        <v>0</v>
      </c>
      <c r="I314" s="1">
        <v>5207448</v>
      </c>
      <c r="J314" s="1">
        <v>0</v>
      </c>
      <c r="K314" s="1">
        <v>0</v>
      </c>
      <c r="L314" s="1">
        <v>3620700</v>
      </c>
      <c r="M314" s="1">
        <v>400000</v>
      </c>
      <c r="N314" s="1">
        <v>3804528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6858338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2964925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39912625</v>
      </c>
      <c r="AO314" s="1">
        <v>6791779</v>
      </c>
      <c r="AP314" s="1">
        <v>33120846</v>
      </c>
      <c r="AQ314" s="1">
        <v>7538017</v>
      </c>
      <c r="AR314" s="1">
        <v>1130703</v>
      </c>
      <c r="AS314" s="1">
        <v>1060000</v>
      </c>
      <c r="AT314" s="1">
        <f t="shared" si="26"/>
        <v>49641345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7880738</v>
      </c>
      <c r="G315" s="1">
        <v>10130922</v>
      </c>
      <c r="H315" s="1">
        <v>0</v>
      </c>
      <c r="I315" s="1">
        <v>5831746</v>
      </c>
      <c r="J315" s="1">
        <v>0</v>
      </c>
      <c r="K315" s="1">
        <v>0</v>
      </c>
      <c r="L315" s="1">
        <v>3620700</v>
      </c>
      <c r="M315" s="1">
        <v>400000</v>
      </c>
      <c r="N315" s="1">
        <v>4175226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8052944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43414814</v>
      </c>
      <c r="AO315" s="1">
        <v>6680556</v>
      </c>
      <c r="AP315" s="1">
        <v>36734258</v>
      </c>
      <c r="AQ315" s="1">
        <v>8238455</v>
      </c>
      <c r="AR315" s="1">
        <v>1235768</v>
      </c>
      <c r="AS315" s="1">
        <v>1060000</v>
      </c>
      <c r="AT315" s="1">
        <f t="shared" si="26"/>
        <v>53949037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5841135</v>
      </c>
      <c r="G316" s="1">
        <v>14046582</v>
      </c>
      <c r="H316" s="1">
        <v>0</v>
      </c>
      <c r="I316" s="1">
        <v>4322440</v>
      </c>
      <c r="J316" s="1">
        <v>0</v>
      </c>
      <c r="K316" s="1">
        <v>0</v>
      </c>
      <c r="L316" s="1">
        <v>3620700</v>
      </c>
      <c r="M316" s="1">
        <v>400000</v>
      </c>
      <c r="N316" s="1">
        <v>3074282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3855297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38482974</v>
      </c>
      <c r="AO316" s="1">
        <v>9453495</v>
      </c>
      <c r="AP316" s="1">
        <v>29029479</v>
      </c>
      <c r="AQ316" s="1">
        <v>7252087</v>
      </c>
      <c r="AR316" s="1">
        <v>1087813</v>
      </c>
      <c r="AS316" s="1">
        <v>1060000</v>
      </c>
      <c r="AT316" s="1">
        <f t="shared" si="26"/>
        <v>47882874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8978686</v>
      </c>
      <c r="G317" s="1">
        <v>9117075</v>
      </c>
      <c r="H317" s="1">
        <v>0</v>
      </c>
      <c r="I317" s="1">
        <v>6644228</v>
      </c>
      <c r="J317" s="1">
        <v>0</v>
      </c>
      <c r="K317" s="1">
        <v>0</v>
      </c>
      <c r="L317" s="1">
        <v>3620700</v>
      </c>
      <c r="M317" s="1">
        <v>400000</v>
      </c>
      <c r="N317" s="1">
        <v>4604454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6016875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1393600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45209425</v>
      </c>
      <c r="AO317" s="1">
        <v>9869609</v>
      </c>
      <c r="AP317" s="1">
        <v>35339816</v>
      </c>
      <c r="AQ317" s="1">
        <v>8375124</v>
      </c>
      <c r="AR317" s="1">
        <v>1256269</v>
      </c>
      <c r="AS317" s="1">
        <v>1325000</v>
      </c>
      <c r="AT317" s="1">
        <f t="shared" si="26"/>
        <v>56165818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7460916</v>
      </c>
      <c r="G318" s="1">
        <v>3442716</v>
      </c>
      <c r="H318" s="1">
        <v>0</v>
      </c>
      <c r="I318" s="1">
        <v>5670296</v>
      </c>
      <c r="J318" s="1">
        <v>0</v>
      </c>
      <c r="K318" s="1">
        <v>0</v>
      </c>
      <c r="L318" s="1">
        <v>3620700</v>
      </c>
      <c r="M318" s="1">
        <v>400000</v>
      </c>
      <c r="N318" s="1">
        <v>3801741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7561739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1393600</v>
      </c>
      <c r="AD318" s="1">
        <v>3292088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4131259</v>
      </c>
      <c r="AK318" s="1">
        <v>0</v>
      </c>
      <c r="AL318" s="1">
        <v>0</v>
      </c>
      <c r="AM318" s="1">
        <v>0</v>
      </c>
      <c r="AN318" s="1">
        <v>44097593</v>
      </c>
      <c r="AO318" s="1">
        <v>4887263</v>
      </c>
      <c r="AP318" s="1">
        <v>39210330</v>
      </c>
      <c r="AQ318" s="1">
        <v>8375011</v>
      </c>
      <c r="AR318" s="1">
        <v>1256252</v>
      </c>
      <c r="AS318" s="1">
        <v>0</v>
      </c>
      <c r="AT318" s="1">
        <f t="shared" si="26"/>
        <v>53728856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7596873</v>
      </c>
      <c r="G319" s="1">
        <v>3163356</v>
      </c>
      <c r="H319" s="1">
        <v>0</v>
      </c>
      <c r="I319" s="1">
        <v>5925561</v>
      </c>
      <c r="J319" s="1">
        <v>0</v>
      </c>
      <c r="K319" s="1">
        <v>0</v>
      </c>
      <c r="L319" s="1">
        <v>3460800</v>
      </c>
      <c r="M319" s="1">
        <v>400000</v>
      </c>
      <c r="N319" s="1">
        <v>4051666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7887215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33585471</v>
      </c>
      <c r="AO319" s="1">
        <v>5286358</v>
      </c>
      <c r="AP319" s="1">
        <v>28299113</v>
      </c>
      <c r="AQ319" s="1">
        <v>6717094</v>
      </c>
      <c r="AR319" s="1">
        <v>1007564</v>
      </c>
      <c r="AS319" s="1">
        <v>530000</v>
      </c>
      <c r="AT319" s="1">
        <f t="shared" si="26"/>
        <v>41840129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6161454</v>
      </c>
      <c r="G320" s="1">
        <v>1729215</v>
      </c>
      <c r="H320" s="1">
        <v>0</v>
      </c>
      <c r="I320" s="1">
        <v>4497861</v>
      </c>
      <c r="J320" s="1">
        <v>0</v>
      </c>
      <c r="K320" s="1">
        <v>0</v>
      </c>
      <c r="L320" s="1">
        <v>3620700</v>
      </c>
      <c r="M320" s="1">
        <v>400000</v>
      </c>
      <c r="N320" s="1">
        <v>3286109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6148825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2634919</v>
      </c>
      <c r="AE320" s="1">
        <v>0</v>
      </c>
      <c r="AF320" s="1">
        <v>1111269</v>
      </c>
      <c r="AG320" s="1">
        <v>0</v>
      </c>
      <c r="AH320" s="1">
        <v>0</v>
      </c>
      <c r="AI320" s="1">
        <v>0</v>
      </c>
      <c r="AJ320" s="1">
        <v>3320093</v>
      </c>
      <c r="AK320" s="1">
        <v>0</v>
      </c>
      <c r="AL320" s="1">
        <v>0</v>
      </c>
      <c r="AM320" s="1">
        <v>0</v>
      </c>
      <c r="AN320" s="1">
        <v>34010445</v>
      </c>
      <c r="AO320" s="1">
        <v>8640368</v>
      </c>
      <c r="AP320" s="1">
        <v>25370077</v>
      </c>
      <c r="AQ320" s="1">
        <v>6579835</v>
      </c>
      <c r="AR320" s="1">
        <v>986975</v>
      </c>
      <c r="AS320" s="1">
        <v>600000</v>
      </c>
      <c r="AT320" s="1">
        <f t="shared" si="26"/>
        <v>42177255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15878292</v>
      </c>
      <c r="G321" s="1">
        <v>8111491</v>
      </c>
      <c r="H321" s="1">
        <v>0</v>
      </c>
      <c r="I321" s="1">
        <v>12252335</v>
      </c>
      <c r="J321" s="1">
        <v>0</v>
      </c>
      <c r="K321" s="1">
        <v>5500000</v>
      </c>
      <c r="L321" s="1">
        <v>0</v>
      </c>
      <c r="M321" s="1">
        <v>400000</v>
      </c>
      <c r="N321" s="1">
        <v>2802601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1270000</v>
      </c>
      <c r="U321" s="1">
        <v>0</v>
      </c>
      <c r="V321" s="1">
        <v>16657272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2425950</v>
      </c>
      <c r="AD321" s="1">
        <v>0</v>
      </c>
      <c r="AE321" s="1">
        <v>2001858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3603344</v>
      </c>
      <c r="AM321" s="1">
        <v>0</v>
      </c>
      <c r="AN321" s="1">
        <v>73114412</v>
      </c>
      <c r="AO321" s="1">
        <v>12192372</v>
      </c>
      <c r="AP321" s="1">
        <v>60922040</v>
      </c>
      <c r="AQ321" s="1">
        <v>14146629</v>
      </c>
      <c r="AR321" s="1">
        <v>2121994</v>
      </c>
      <c r="AS321" s="1">
        <v>0</v>
      </c>
      <c r="AT321" s="1">
        <f t="shared" si="26"/>
        <v>89383035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15297827</v>
      </c>
      <c r="G322" s="1">
        <v>12470261</v>
      </c>
      <c r="H322" s="1">
        <v>0</v>
      </c>
      <c r="I322" s="1">
        <v>12825339</v>
      </c>
      <c r="J322" s="1">
        <v>0</v>
      </c>
      <c r="K322" s="1">
        <v>5500000</v>
      </c>
      <c r="L322" s="1">
        <v>0</v>
      </c>
      <c r="M322" s="1">
        <v>400000</v>
      </c>
      <c r="N322" s="1">
        <v>2558392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7833835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1827423</v>
      </c>
      <c r="AF322" s="1">
        <v>1111269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3508651</v>
      </c>
      <c r="AM322" s="1">
        <v>0</v>
      </c>
      <c r="AN322" s="1">
        <v>65702997</v>
      </c>
      <c r="AO322" s="1">
        <v>16635898</v>
      </c>
      <c r="AP322" s="1">
        <v>49067099</v>
      </c>
      <c r="AQ322" s="1">
        <v>12664346</v>
      </c>
      <c r="AR322" s="1">
        <v>1899652</v>
      </c>
      <c r="AS322" s="1">
        <v>0</v>
      </c>
      <c r="AT322" s="1">
        <f t="shared" si="26"/>
        <v>80266995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15773180</v>
      </c>
      <c r="G323" s="1">
        <v>7157442</v>
      </c>
      <c r="H323" s="1">
        <v>0</v>
      </c>
      <c r="I323" s="1">
        <v>12709116</v>
      </c>
      <c r="J323" s="1">
        <v>0</v>
      </c>
      <c r="K323" s="1">
        <v>4125000</v>
      </c>
      <c r="L323" s="1">
        <v>0</v>
      </c>
      <c r="M323" s="1">
        <v>400000</v>
      </c>
      <c r="N323" s="1">
        <v>2716777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6433402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1940555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3104887</v>
      </c>
      <c r="AM323" s="1">
        <v>0</v>
      </c>
      <c r="AN323" s="1">
        <v>55460359</v>
      </c>
      <c r="AO323" s="1">
        <v>10441340</v>
      </c>
      <c r="AP323" s="1">
        <v>45019019</v>
      </c>
      <c r="AQ323" s="1">
        <v>11092072</v>
      </c>
      <c r="AR323" s="1">
        <v>1663811</v>
      </c>
      <c r="AS323" s="1">
        <v>0</v>
      </c>
      <c r="AT323" s="1">
        <f t="shared" ref="AT323:AT386" si="34">AS323+AR323+AQ323+AN323</f>
        <v>68216242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15009470</v>
      </c>
      <c r="G324" s="1">
        <v>7497170</v>
      </c>
      <c r="H324" s="1">
        <v>0</v>
      </c>
      <c r="I324" s="1">
        <v>11633776</v>
      </c>
      <c r="J324" s="1">
        <v>0</v>
      </c>
      <c r="K324" s="1">
        <v>4125000</v>
      </c>
      <c r="L324" s="1">
        <v>0</v>
      </c>
      <c r="M324" s="1">
        <v>400000</v>
      </c>
      <c r="N324" s="1">
        <v>2429368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5961213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1735263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2776420</v>
      </c>
      <c r="AM324" s="1">
        <v>0</v>
      </c>
      <c r="AN324" s="1">
        <v>52667680</v>
      </c>
      <c r="AO324" s="1">
        <v>6808170</v>
      </c>
      <c r="AP324" s="1">
        <v>45859510</v>
      </c>
      <c r="AQ324" s="1">
        <v>10533536</v>
      </c>
      <c r="AR324" s="1">
        <v>1580030</v>
      </c>
      <c r="AS324" s="1">
        <v>0</v>
      </c>
      <c r="AT324" s="1">
        <f t="shared" si="34"/>
        <v>64781246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7607175</v>
      </c>
      <c r="G325" s="1">
        <v>2013651</v>
      </c>
      <c r="H325" s="1">
        <v>0</v>
      </c>
      <c r="I325" s="1">
        <v>5553237</v>
      </c>
      <c r="J325" s="1">
        <v>0</v>
      </c>
      <c r="K325" s="1">
        <v>0</v>
      </c>
      <c r="L325" s="1">
        <v>3620700</v>
      </c>
      <c r="M325" s="1">
        <v>400000</v>
      </c>
      <c r="N325" s="1">
        <v>4030291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9872796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3121710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4295788</v>
      </c>
      <c r="AK325" s="1">
        <v>0</v>
      </c>
      <c r="AL325" s="1">
        <v>0</v>
      </c>
      <c r="AM325" s="1">
        <v>0</v>
      </c>
      <c r="AN325" s="1">
        <v>44949155</v>
      </c>
      <c r="AO325" s="1">
        <v>7339759</v>
      </c>
      <c r="AP325" s="1">
        <v>37609396</v>
      </c>
      <c r="AQ325" s="1">
        <v>8323070</v>
      </c>
      <c r="AR325" s="1">
        <v>1248460</v>
      </c>
      <c r="AS325" s="1">
        <v>1325000</v>
      </c>
      <c r="AT325" s="1">
        <f t="shared" si="34"/>
        <v>55845685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5952344</v>
      </c>
      <c r="G326" s="1">
        <v>1651595</v>
      </c>
      <c r="H326" s="1">
        <v>0</v>
      </c>
      <c r="I326" s="1">
        <v>4345211</v>
      </c>
      <c r="J326" s="1">
        <v>0</v>
      </c>
      <c r="K326" s="1">
        <v>0</v>
      </c>
      <c r="L326" s="1">
        <v>3620700</v>
      </c>
      <c r="M326" s="1">
        <v>400000</v>
      </c>
      <c r="N326" s="1">
        <v>3132813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8116092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2557660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3523402</v>
      </c>
      <c r="AK326" s="1">
        <v>0</v>
      </c>
      <c r="AL326" s="1">
        <v>0</v>
      </c>
      <c r="AM326" s="1">
        <v>0</v>
      </c>
      <c r="AN326" s="1">
        <v>34399817</v>
      </c>
      <c r="AO326" s="1">
        <v>5320169</v>
      </c>
      <c r="AP326" s="1">
        <v>29079648</v>
      </c>
      <c r="AQ326" s="1">
        <v>6879963</v>
      </c>
      <c r="AR326" s="1">
        <v>1031995</v>
      </c>
      <c r="AS326" s="1">
        <v>195000</v>
      </c>
      <c r="AT326" s="1">
        <f t="shared" si="34"/>
        <v>42506775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6052962</v>
      </c>
      <c r="G327" s="1">
        <v>2523538</v>
      </c>
      <c r="H327" s="1">
        <v>0</v>
      </c>
      <c r="I327" s="1">
        <v>4116014</v>
      </c>
      <c r="J327" s="1">
        <v>0</v>
      </c>
      <c r="K327" s="1">
        <v>0</v>
      </c>
      <c r="L327" s="1">
        <v>3620700</v>
      </c>
      <c r="M327" s="1">
        <v>400000</v>
      </c>
      <c r="N327" s="1">
        <v>3185770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6096897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2546317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2153419</v>
      </c>
      <c r="AK327" s="1">
        <v>0</v>
      </c>
      <c r="AL327" s="1">
        <v>0</v>
      </c>
      <c r="AM327" s="1">
        <v>0</v>
      </c>
      <c r="AN327" s="1">
        <v>31795617</v>
      </c>
      <c r="AO327" s="1">
        <v>6653156</v>
      </c>
      <c r="AP327" s="1">
        <v>25142461</v>
      </c>
      <c r="AQ327" s="1">
        <v>6359123</v>
      </c>
      <c r="AR327" s="1">
        <v>953869</v>
      </c>
      <c r="AS327" s="1">
        <v>530000</v>
      </c>
      <c r="AT327" s="1">
        <f t="shared" si="34"/>
        <v>39638609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7228394</v>
      </c>
      <c r="G328" s="1">
        <v>1952651</v>
      </c>
      <c r="H328" s="1">
        <v>0</v>
      </c>
      <c r="I328" s="1">
        <v>5204444</v>
      </c>
      <c r="J328" s="1">
        <v>0</v>
      </c>
      <c r="K328" s="1">
        <v>0</v>
      </c>
      <c r="L328" s="1">
        <v>3620700</v>
      </c>
      <c r="M328" s="1">
        <v>400000</v>
      </c>
      <c r="N328" s="1">
        <v>3829613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6896066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2982473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40297238</v>
      </c>
      <c r="AO328" s="1">
        <v>7264460</v>
      </c>
      <c r="AP328" s="1">
        <v>33032778</v>
      </c>
      <c r="AQ328" s="1">
        <v>7392686</v>
      </c>
      <c r="AR328" s="1">
        <v>1108903</v>
      </c>
      <c r="AS328" s="1">
        <v>1325000</v>
      </c>
      <c r="AT328" s="1">
        <f t="shared" si="34"/>
        <v>50123827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9730812</v>
      </c>
      <c r="G329" s="1">
        <v>7332738</v>
      </c>
      <c r="H329" s="1">
        <v>0</v>
      </c>
      <c r="I329" s="1">
        <v>8660423</v>
      </c>
      <c r="J329" s="1">
        <v>0</v>
      </c>
      <c r="K329" s="1">
        <v>0</v>
      </c>
      <c r="L329" s="1">
        <v>3620700</v>
      </c>
      <c r="M329" s="1">
        <v>400000</v>
      </c>
      <c r="N329" s="1">
        <v>5189766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5238060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43495037</v>
      </c>
      <c r="AO329" s="1">
        <v>8837699</v>
      </c>
      <c r="AP329" s="1">
        <v>34657338</v>
      </c>
      <c r="AQ329" s="1">
        <v>8254500</v>
      </c>
      <c r="AR329" s="1">
        <v>1238175</v>
      </c>
      <c r="AS329" s="1">
        <v>1325000</v>
      </c>
      <c r="AT329" s="1">
        <f t="shared" si="34"/>
        <v>54312712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7449349</v>
      </c>
      <c r="G330" s="1">
        <v>5220207</v>
      </c>
      <c r="H330" s="1">
        <v>0</v>
      </c>
      <c r="I330" s="1">
        <v>5438025</v>
      </c>
      <c r="J330" s="1">
        <v>0</v>
      </c>
      <c r="K330" s="1">
        <v>0</v>
      </c>
      <c r="L330" s="1">
        <v>3620700</v>
      </c>
      <c r="M330" s="1">
        <v>400000</v>
      </c>
      <c r="N330" s="1">
        <v>3946675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7080407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3068212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6424870</v>
      </c>
      <c r="AK330" s="1">
        <v>0</v>
      </c>
      <c r="AL330" s="1">
        <v>0</v>
      </c>
      <c r="AM330" s="1">
        <v>0</v>
      </c>
      <c r="AN330" s="1">
        <v>48193521</v>
      </c>
      <c r="AO330" s="1">
        <v>11099400</v>
      </c>
      <c r="AP330" s="1">
        <v>37094121</v>
      </c>
      <c r="AQ330" s="1">
        <v>8749689</v>
      </c>
      <c r="AR330" s="1">
        <v>1312453</v>
      </c>
      <c r="AS330" s="1">
        <v>1590000</v>
      </c>
      <c r="AT330" s="1">
        <f t="shared" si="34"/>
        <v>59845663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10573560</v>
      </c>
      <c r="G331" s="1">
        <v>16675397</v>
      </c>
      <c r="H331" s="1">
        <v>0</v>
      </c>
      <c r="I331" s="1">
        <v>8458848</v>
      </c>
      <c r="J331" s="1">
        <v>0</v>
      </c>
      <c r="K331" s="1">
        <v>0</v>
      </c>
      <c r="L331" s="1">
        <v>3460800</v>
      </c>
      <c r="M331" s="1">
        <v>400000</v>
      </c>
      <c r="N331" s="1">
        <v>5639232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6000569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53419675</v>
      </c>
      <c r="AO331" s="1">
        <v>11872373</v>
      </c>
      <c r="AP331" s="1">
        <v>41547302</v>
      </c>
      <c r="AQ331" s="1">
        <v>10461681</v>
      </c>
      <c r="AR331" s="1">
        <v>1569252</v>
      </c>
      <c r="AS331" s="1">
        <v>600000</v>
      </c>
      <c r="AT331" s="1">
        <f t="shared" si="34"/>
        <v>66050608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9895640</v>
      </c>
      <c r="G332" s="1">
        <v>14216394</v>
      </c>
      <c r="H332" s="1">
        <v>0</v>
      </c>
      <c r="I332" s="1">
        <v>7322774</v>
      </c>
      <c r="J332" s="1">
        <v>0</v>
      </c>
      <c r="K332" s="1">
        <v>0</v>
      </c>
      <c r="L332" s="1">
        <v>3620700</v>
      </c>
      <c r="M332" s="1">
        <v>400000</v>
      </c>
      <c r="N332" s="1">
        <v>5242723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6412777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50433546</v>
      </c>
      <c r="AO332" s="1">
        <v>7859703</v>
      </c>
      <c r="AP332" s="1">
        <v>42573843</v>
      </c>
      <c r="AQ332" s="1">
        <v>9642202</v>
      </c>
      <c r="AR332" s="1">
        <v>1446330</v>
      </c>
      <c r="AS332" s="1">
        <v>1060000</v>
      </c>
      <c r="AT332" s="1">
        <f t="shared" si="34"/>
        <v>62582078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8556539</v>
      </c>
      <c r="G333" s="1">
        <v>28918021</v>
      </c>
      <c r="H333" s="1">
        <v>0</v>
      </c>
      <c r="I333" s="1">
        <v>8043146</v>
      </c>
      <c r="J333" s="1">
        <v>0</v>
      </c>
      <c r="K333" s="1">
        <v>0</v>
      </c>
      <c r="L333" s="1">
        <v>3460800</v>
      </c>
      <c r="M333" s="1">
        <v>400000</v>
      </c>
      <c r="N333" s="1">
        <v>4563488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5420724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61573987</v>
      </c>
      <c r="AO333" s="1">
        <v>11096782</v>
      </c>
      <c r="AP333" s="1">
        <v>50477205</v>
      </c>
      <c r="AQ333" s="1">
        <v>12092544</v>
      </c>
      <c r="AR333" s="1">
        <v>1813882</v>
      </c>
      <c r="AS333" s="1">
        <v>795000</v>
      </c>
      <c r="AT333" s="1">
        <f t="shared" si="34"/>
        <v>76275413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10147220</v>
      </c>
      <c r="G334" s="1">
        <v>12951931</v>
      </c>
      <c r="H334" s="1">
        <v>0</v>
      </c>
      <c r="I334" s="1">
        <v>7610415</v>
      </c>
      <c r="J334" s="1">
        <v>0</v>
      </c>
      <c r="K334" s="1">
        <v>0</v>
      </c>
      <c r="L334" s="1">
        <v>3620700</v>
      </c>
      <c r="M334" s="1">
        <v>400000</v>
      </c>
      <c r="N334" s="1">
        <v>5203702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6853086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1393600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52614461</v>
      </c>
      <c r="AO334" s="1">
        <v>13315983</v>
      </c>
      <c r="AP334" s="1">
        <v>39298478</v>
      </c>
      <c r="AQ334" s="1">
        <v>9856131</v>
      </c>
      <c r="AR334" s="1">
        <v>1478420</v>
      </c>
      <c r="AS334" s="1">
        <v>1325000</v>
      </c>
      <c r="AT334" s="1">
        <f t="shared" si="34"/>
        <v>65274012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6074145</v>
      </c>
      <c r="G335" s="1">
        <v>3866300</v>
      </c>
      <c r="H335" s="1">
        <v>0</v>
      </c>
      <c r="I335" s="1">
        <v>4069677</v>
      </c>
      <c r="J335" s="1">
        <v>0</v>
      </c>
      <c r="K335" s="1">
        <v>0</v>
      </c>
      <c r="L335" s="1">
        <v>3620700</v>
      </c>
      <c r="M335" s="1">
        <v>400000</v>
      </c>
      <c r="N335" s="1">
        <v>3196918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6092275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2544216</v>
      </c>
      <c r="AE335" s="1">
        <v>0</v>
      </c>
      <c r="AF335" s="1">
        <v>2222538</v>
      </c>
      <c r="AG335" s="1">
        <v>0</v>
      </c>
      <c r="AH335" s="1">
        <v>0</v>
      </c>
      <c r="AI335" s="1">
        <v>0</v>
      </c>
      <c r="AJ335" s="1">
        <v>3227520</v>
      </c>
      <c r="AK335" s="1">
        <v>0</v>
      </c>
      <c r="AL335" s="1">
        <v>0</v>
      </c>
      <c r="AM335" s="1">
        <v>0</v>
      </c>
      <c r="AN335" s="1">
        <v>36414289</v>
      </c>
      <c r="AO335" s="1">
        <v>6217134</v>
      </c>
      <c r="AP335" s="1">
        <v>30197155</v>
      </c>
      <c r="AQ335" s="1">
        <v>6838350</v>
      </c>
      <c r="AR335" s="1">
        <v>1025753</v>
      </c>
      <c r="AS335" s="1">
        <v>530000</v>
      </c>
      <c r="AT335" s="1">
        <f t="shared" si="34"/>
        <v>44808392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20322273</v>
      </c>
      <c r="G336" s="1">
        <v>20171719</v>
      </c>
      <c r="H336" s="1">
        <v>0</v>
      </c>
      <c r="I336" s="1">
        <v>24022610</v>
      </c>
      <c r="J336" s="1">
        <v>0</v>
      </c>
      <c r="K336" s="1">
        <v>5500000</v>
      </c>
      <c r="L336" s="1">
        <v>0</v>
      </c>
      <c r="M336" s="1">
        <v>400000</v>
      </c>
      <c r="N336" s="1">
        <v>2926504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5588701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3180690</v>
      </c>
      <c r="AD336" s="1">
        <v>0</v>
      </c>
      <c r="AE336" s="1">
        <v>2090360</v>
      </c>
      <c r="AF336" s="1">
        <v>1111269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3344576</v>
      </c>
      <c r="AM336" s="1">
        <v>0</v>
      </c>
      <c r="AN336" s="1">
        <v>89758702</v>
      </c>
      <c r="AO336" s="1">
        <v>24673427</v>
      </c>
      <c r="AP336" s="1">
        <v>65085275</v>
      </c>
      <c r="AQ336" s="1">
        <v>15557766</v>
      </c>
      <c r="AR336" s="1">
        <v>2333665</v>
      </c>
      <c r="AS336" s="1">
        <v>0</v>
      </c>
      <c r="AT336" s="1">
        <f t="shared" si="34"/>
        <v>107650133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16022784</v>
      </c>
      <c r="G337" s="1">
        <v>18555810</v>
      </c>
      <c r="H337" s="1">
        <v>0</v>
      </c>
      <c r="I337" s="1">
        <v>13155958</v>
      </c>
      <c r="J337" s="1">
        <v>0</v>
      </c>
      <c r="K337" s="1">
        <v>5500000</v>
      </c>
      <c r="L337" s="1">
        <v>0</v>
      </c>
      <c r="M337" s="1">
        <v>400000</v>
      </c>
      <c r="N337" s="1">
        <v>2513942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1270000</v>
      </c>
      <c r="U337" s="1">
        <v>0</v>
      </c>
      <c r="V337" s="1">
        <v>9620294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1795672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3160383</v>
      </c>
      <c r="AM337" s="1">
        <v>0</v>
      </c>
      <c r="AN337" s="1">
        <v>73094843</v>
      </c>
      <c r="AO337" s="1">
        <v>15679393</v>
      </c>
      <c r="AP337" s="1">
        <v>57415450</v>
      </c>
      <c r="AQ337" s="1">
        <v>14364969</v>
      </c>
      <c r="AR337" s="1">
        <v>2154745</v>
      </c>
      <c r="AS337" s="1">
        <v>0</v>
      </c>
      <c r="AT337" s="1">
        <f t="shared" si="34"/>
        <v>89614557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7360995</v>
      </c>
      <c r="G338" s="1">
        <v>0</v>
      </c>
      <c r="H338" s="1">
        <v>0</v>
      </c>
      <c r="I338" s="1">
        <v>5373526</v>
      </c>
      <c r="J338" s="1">
        <v>0</v>
      </c>
      <c r="K338" s="1">
        <v>0</v>
      </c>
      <c r="L338" s="1">
        <v>3620700</v>
      </c>
      <c r="M338" s="1">
        <v>400000</v>
      </c>
      <c r="N338" s="1">
        <v>3874208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2172943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23902372</v>
      </c>
      <c r="AO338" s="1">
        <v>4989863</v>
      </c>
      <c r="AP338" s="1">
        <v>18912509</v>
      </c>
      <c r="AQ338" s="1">
        <v>4780474</v>
      </c>
      <c r="AR338" s="1">
        <v>717071</v>
      </c>
      <c r="AS338" s="1">
        <v>300000</v>
      </c>
      <c r="AT338" s="1">
        <f t="shared" si="34"/>
        <v>29699917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6007879</v>
      </c>
      <c r="G339" s="1">
        <v>9346938</v>
      </c>
      <c r="H339" s="1">
        <v>0</v>
      </c>
      <c r="I339" s="1">
        <v>4445831</v>
      </c>
      <c r="J339" s="1">
        <v>0</v>
      </c>
      <c r="K339" s="1">
        <v>0</v>
      </c>
      <c r="L339" s="1">
        <v>3620700</v>
      </c>
      <c r="M339" s="1">
        <v>400000</v>
      </c>
      <c r="N339" s="1">
        <v>3182982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6049259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34153589</v>
      </c>
      <c r="AO339" s="1">
        <v>7724469</v>
      </c>
      <c r="AP339" s="1">
        <v>26429120</v>
      </c>
      <c r="AQ339" s="1">
        <v>6830718</v>
      </c>
      <c r="AR339" s="1">
        <v>1024608</v>
      </c>
      <c r="AS339" s="1">
        <v>300000</v>
      </c>
      <c r="AT339" s="1">
        <f t="shared" si="34"/>
        <v>42308915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11074316</v>
      </c>
      <c r="G340" s="1">
        <v>9810831</v>
      </c>
      <c r="H340" s="1">
        <v>0</v>
      </c>
      <c r="I340" s="1">
        <v>8897569</v>
      </c>
      <c r="J340" s="1">
        <v>0</v>
      </c>
      <c r="K340" s="1">
        <v>4620000</v>
      </c>
      <c r="L340" s="1">
        <v>0</v>
      </c>
      <c r="M340" s="1">
        <v>400000</v>
      </c>
      <c r="N340" s="1">
        <v>1719029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1270000</v>
      </c>
      <c r="U340" s="1">
        <v>0</v>
      </c>
      <c r="V340" s="1">
        <v>6660819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1227878</v>
      </c>
      <c r="AF340" s="1">
        <v>1111269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2455756</v>
      </c>
      <c r="AM340" s="1">
        <v>0</v>
      </c>
      <c r="AN340" s="1">
        <v>50347467</v>
      </c>
      <c r="AO340" s="1">
        <v>18082870</v>
      </c>
      <c r="AP340" s="1">
        <v>32264597</v>
      </c>
      <c r="AQ340" s="1">
        <v>9593240</v>
      </c>
      <c r="AR340" s="1">
        <v>1438986</v>
      </c>
      <c r="AS340" s="1">
        <v>0</v>
      </c>
      <c r="AT340" s="1">
        <f t="shared" si="34"/>
        <v>61379693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8304114</v>
      </c>
      <c r="G341" s="1">
        <v>7496580</v>
      </c>
      <c r="H341" s="1">
        <v>0</v>
      </c>
      <c r="I341" s="1">
        <v>6145044</v>
      </c>
      <c r="J341" s="1">
        <v>0</v>
      </c>
      <c r="K341" s="1">
        <v>0</v>
      </c>
      <c r="L341" s="1">
        <v>3620700</v>
      </c>
      <c r="M341" s="1">
        <v>400000</v>
      </c>
      <c r="N341" s="1">
        <v>4428861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7739587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3374808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4233363</v>
      </c>
      <c r="AK341" s="1">
        <v>0</v>
      </c>
      <c r="AL341" s="1">
        <v>0</v>
      </c>
      <c r="AM341" s="1">
        <v>0</v>
      </c>
      <c r="AN341" s="1">
        <v>49065595</v>
      </c>
      <c r="AO341" s="1">
        <v>9648554</v>
      </c>
      <c r="AP341" s="1">
        <v>39417041</v>
      </c>
      <c r="AQ341" s="1">
        <v>9368611</v>
      </c>
      <c r="AR341" s="1">
        <v>1405292</v>
      </c>
      <c r="AS341" s="1">
        <v>600000</v>
      </c>
      <c r="AT341" s="1">
        <f t="shared" si="34"/>
        <v>60439498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14673125</v>
      </c>
      <c r="G342" s="1">
        <v>9073247</v>
      </c>
      <c r="H342" s="1">
        <v>0</v>
      </c>
      <c r="I342" s="1">
        <v>11004760</v>
      </c>
      <c r="J342" s="1">
        <v>0</v>
      </c>
      <c r="K342" s="1">
        <v>5500000</v>
      </c>
      <c r="L342" s="1">
        <v>0</v>
      </c>
      <c r="M342" s="1">
        <v>400000</v>
      </c>
      <c r="N342" s="1">
        <v>2307239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6615349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1648028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2636845</v>
      </c>
      <c r="AM342" s="1">
        <v>0</v>
      </c>
      <c r="AN342" s="1">
        <v>54958593</v>
      </c>
      <c r="AO342" s="1">
        <v>6863044</v>
      </c>
      <c r="AP342" s="1">
        <v>48095549</v>
      </c>
      <c r="AQ342" s="1">
        <v>10991719</v>
      </c>
      <c r="AR342" s="1">
        <v>1648758</v>
      </c>
      <c r="AS342" s="1">
        <v>0</v>
      </c>
      <c r="AT342" s="1">
        <f t="shared" si="34"/>
        <v>67599070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6418225</v>
      </c>
      <c r="G343" s="1">
        <v>7724612</v>
      </c>
      <c r="H343" s="1">
        <v>0</v>
      </c>
      <c r="I343" s="1">
        <v>4621122</v>
      </c>
      <c r="J343" s="1">
        <v>0</v>
      </c>
      <c r="K343" s="1">
        <v>0</v>
      </c>
      <c r="L343" s="1">
        <v>3620700</v>
      </c>
      <c r="M343" s="1">
        <v>400000</v>
      </c>
      <c r="N343" s="1">
        <v>3400384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4009888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31294931</v>
      </c>
      <c r="AO343" s="1">
        <v>6129620</v>
      </c>
      <c r="AP343" s="1">
        <v>25165311</v>
      </c>
      <c r="AQ343" s="1">
        <v>6258986</v>
      </c>
      <c r="AR343" s="1">
        <v>938848</v>
      </c>
      <c r="AS343" s="1">
        <v>530000</v>
      </c>
      <c r="AT343" s="1">
        <f t="shared" si="34"/>
        <v>39022765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6773175</v>
      </c>
      <c r="G344" s="1">
        <v>14393217</v>
      </c>
      <c r="H344" s="1">
        <v>0</v>
      </c>
      <c r="I344" s="1">
        <v>4944418</v>
      </c>
      <c r="J344" s="1">
        <v>0</v>
      </c>
      <c r="K344" s="1">
        <v>0</v>
      </c>
      <c r="L344" s="1">
        <v>4112001</v>
      </c>
      <c r="M344" s="1">
        <v>400000</v>
      </c>
      <c r="N344" s="1">
        <v>3564829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4387829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39675469</v>
      </c>
      <c r="AO344" s="1">
        <v>9768250</v>
      </c>
      <c r="AP344" s="1">
        <v>29907219</v>
      </c>
      <c r="AQ344" s="1">
        <v>7935094</v>
      </c>
      <c r="AR344" s="1">
        <v>1190264</v>
      </c>
      <c r="AS344" s="1">
        <v>600000</v>
      </c>
      <c r="AT344" s="1">
        <f t="shared" si="34"/>
        <v>49400827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17321175</v>
      </c>
      <c r="G345" s="1">
        <v>9868240</v>
      </c>
      <c r="H345" s="1">
        <v>2515800</v>
      </c>
      <c r="I345" s="1">
        <v>14714547</v>
      </c>
      <c r="J345" s="1">
        <v>0</v>
      </c>
      <c r="K345" s="1">
        <v>5500000</v>
      </c>
      <c r="L345" s="1">
        <v>0</v>
      </c>
      <c r="M345" s="1">
        <v>400000</v>
      </c>
      <c r="N345" s="1">
        <v>2362303</v>
      </c>
      <c r="O345" s="1">
        <v>0</v>
      </c>
      <c r="P345" s="1">
        <v>0</v>
      </c>
      <c r="Q345" s="1">
        <v>0</v>
      </c>
      <c r="R345" s="1">
        <v>0</v>
      </c>
      <c r="S345" s="1">
        <v>1017000</v>
      </c>
      <c r="T345" s="1">
        <v>0</v>
      </c>
      <c r="U345" s="1">
        <v>0</v>
      </c>
      <c r="V345" s="1">
        <v>3844768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1687359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2362303</v>
      </c>
      <c r="AM345" s="1">
        <v>0</v>
      </c>
      <c r="AN345" s="1">
        <v>64916033</v>
      </c>
      <c r="AO345" s="1">
        <v>12665548</v>
      </c>
      <c r="AP345" s="1">
        <v>52250485</v>
      </c>
      <c r="AQ345" s="1">
        <v>11832139</v>
      </c>
      <c r="AR345" s="1">
        <v>1774821</v>
      </c>
      <c r="AS345" s="1">
        <v>0</v>
      </c>
      <c r="AT345" s="1">
        <f t="shared" si="34"/>
        <v>78522993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6623398</v>
      </c>
      <c r="G346" s="1">
        <v>12906432</v>
      </c>
      <c r="H346" s="1">
        <v>0</v>
      </c>
      <c r="I346" s="1">
        <v>4768846</v>
      </c>
      <c r="J346" s="1">
        <v>0</v>
      </c>
      <c r="K346" s="1">
        <v>0</v>
      </c>
      <c r="L346" s="1">
        <v>4086111</v>
      </c>
      <c r="M346" s="1">
        <v>400000</v>
      </c>
      <c r="N346" s="1">
        <v>3509085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4302362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39918772</v>
      </c>
      <c r="AO346" s="1">
        <v>9559563</v>
      </c>
      <c r="AP346" s="1">
        <v>30359209</v>
      </c>
      <c r="AQ346" s="1">
        <v>7539247</v>
      </c>
      <c r="AR346" s="1">
        <v>1130887</v>
      </c>
      <c r="AS346" s="1">
        <v>1200000</v>
      </c>
      <c r="AT346" s="1">
        <f t="shared" si="34"/>
        <v>49788906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5889702</v>
      </c>
      <c r="G347" s="1">
        <v>11869212</v>
      </c>
      <c r="H347" s="1">
        <v>0</v>
      </c>
      <c r="I347" s="1">
        <v>3769409</v>
      </c>
      <c r="J347" s="1">
        <v>0</v>
      </c>
      <c r="K347" s="1">
        <v>0</v>
      </c>
      <c r="L347" s="1">
        <v>5315042</v>
      </c>
      <c r="M347" s="1">
        <v>400000</v>
      </c>
      <c r="N347" s="1">
        <v>2944851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4077991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38700014</v>
      </c>
      <c r="AO347" s="1">
        <v>9423009</v>
      </c>
      <c r="AP347" s="1">
        <v>29277005</v>
      </c>
      <c r="AQ347" s="1">
        <v>7073241</v>
      </c>
      <c r="AR347" s="1">
        <v>1060986</v>
      </c>
      <c r="AS347" s="1">
        <v>1325000</v>
      </c>
      <c r="AT347" s="1">
        <f t="shared" si="34"/>
        <v>48159241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18846193</v>
      </c>
      <c r="G348" s="1">
        <v>21136750</v>
      </c>
      <c r="H348" s="1">
        <v>0</v>
      </c>
      <c r="I348" s="1">
        <v>14075354</v>
      </c>
      <c r="J348" s="1">
        <v>0</v>
      </c>
      <c r="K348" s="1">
        <v>4125000</v>
      </c>
      <c r="L348" s="1">
        <v>0</v>
      </c>
      <c r="M348" s="1">
        <v>400000</v>
      </c>
      <c r="N348" s="1">
        <v>2740598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1270000</v>
      </c>
      <c r="U348" s="1">
        <v>0</v>
      </c>
      <c r="V348" s="1">
        <v>6377218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1957571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3523627</v>
      </c>
      <c r="AM348" s="1">
        <v>0</v>
      </c>
      <c r="AN348" s="1">
        <v>75552311</v>
      </c>
      <c r="AO348" s="1">
        <v>13860599</v>
      </c>
      <c r="AP348" s="1">
        <v>61691712</v>
      </c>
      <c r="AQ348" s="1">
        <v>14856462</v>
      </c>
      <c r="AR348" s="1">
        <v>2228469</v>
      </c>
      <c r="AS348" s="1">
        <v>0</v>
      </c>
      <c r="AT348" s="1">
        <f t="shared" si="34"/>
        <v>92637242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6974411</v>
      </c>
      <c r="G349" s="1">
        <v>3960417</v>
      </c>
      <c r="H349" s="1">
        <v>0</v>
      </c>
      <c r="I349" s="1">
        <v>5091320</v>
      </c>
      <c r="J349" s="1">
        <v>0</v>
      </c>
      <c r="K349" s="1">
        <v>0</v>
      </c>
      <c r="L349" s="1">
        <v>3620700</v>
      </c>
      <c r="M349" s="1">
        <v>400000</v>
      </c>
      <c r="N349" s="1">
        <v>3670742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9229299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2903576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4002106</v>
      </c>
      <c r="AK349" s="1">
        <v>0</v>
      </c>
      <c r="AL349" s="1">
        <v>0</v>
      </c>
      <c r="AM349" s="1">
        <v>0</v>
      </c>
      <c r="AN349" s="1">
        <v>43175109</v>
      </c>
      <c r="AO349" s="1">
        <v>9117138</v>
      </c>
      <c r="AP349" s="1">
        <v>34057971</v>
      </c>
      <c r="AQ349" s="1">
        <v>8190514</v>
      </c>
      <c r="AR349" s="1">
        <v>1228577</v>
      </c>
      <c r="AS349" s="1">
        <v>1060000</v>
      </c>
      <c r="AT349" s="1">
        <f t="shared" si="34"/>
        <v>53654200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11947414</v>
      </c>
      <c r="G350" s="1">
        <v>11802796</v>
      </c>
      <c r="H350" s="1">
        <v>0</v>
      </c>
      <c r="I350" s="1">
        <v>8810938</v>
      </c>
      <c r="J350" s="1">
        <v>0</v>
      </c>
      <c r="K350" s="1">
        <v>4620000</v>
      </c>
      <c r="L350" s="1">
        <v>0</v>
      </c>
      <c r="M350" s="1">
        <v>400000</v>
      </c>
      <c r="N350" s="1">
        <v>2232630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5395564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1594735</v>
      </c>
      <c r="AF350" s="1">
        <v>2222538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2392103</v>
      </c>
      <c r="AM350" s="1">
        <v>0</v>
      </c>
      <c r="AN350" s="1">
        <v>52518718</v>
      </c>
      <c r="AO350" s="1">
        <v>23338485</v>
      </c>
      <c r="AP350" s="1">
        <v>29180233</v>
      </c>
      <c r="AQ350" s="1">
        <v>10059236</v>
      </c>
      <c r="AR350" s="1">
        <v>1508885</v>
      </c>
      <c r="AS350" s="1">
        <v>0</v>
      </c>
      <c r="AT350" s="1">
        <f t="shared" si="34"/>
        <v>64086839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13802554</v>
      </c>
      <c r="G351" s="1">
        <v>3997317</v>
      </c>
      <c r="H351" s="1">
        <v>0</v>
      </c>
      <c r="I351" s="1">
        <v>10092288</v>
      </c>
      <c r="J351" s="1">
        <v>0</v>
      </c>
      <c r="K351" s="1">
        <v>4125000</v>
      </c>
      <c r="L351" s="1">
        <v>0</v>
      </c>
      <c r="M351" s="1">
        <v>400000</v>
      </c>
      <c r="N351" s="1">
        <v>2108110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2931569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1505792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1806952</v>
      </c>
      <c r="AM351" s="1">
        <v>0</v>
      </c>
      <c r="AN351" s="1">
        <v>41869582</v>
      </c>
      <c r="AO351" s="1">
        <v>8760795</v>
      </c>
      <c r="AP351" s="1">
        <v>33108787</v>
      </c>
      <c r="AQ351" s="1">
        <v>8373916</v>
      </c>
      <c r="AR351" s="1">
        <v>1256087</v>
      </c>
      <c r="AS351" s="1">
        <v>0</v>
      </c>
      <c r="AT351" s="1">
        <f t="shared" si="34"/>
        <v>51499585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5597534</v>
      </c>
      <c r="G352" s="1">
        <v>1618755</v>
      </c>
      <c r="H352" s="1">
        <v>0</v>
      </c>
      <c r="I352" s="1">
        <v>3974249</v>
      </c>
      <c r="J352" s="1">
        <v>0</v>
      </c>
      <c r="K352" s="1">
        <v>0</v>
      </c>
      <c r="L352" s="1">
        <v>3902803</v>
      </c>
      <c r="M352" s="1">
        <v>400000</v>
      </c>
      <c r="N352" s="1">
        <v>2946070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5779412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2463098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4144013</v>
      </c>
      <c r="AK352" s="1">
        <v>0</v>
      </c>
      <c r="AL352" s="1">
        <v>0</v>
      </c>
      <c r="AM352" s="1">
        <v>0</v>
      </c>
      <c r="AN352" s="1">
        <v>34148472</v>
      </c>
      <c r="AO352" s="1">
        <v>4486658</v>
      </c>
      <c r="AP352" s="1">
        <v>29661814</v>
      </c>
      <c r="AQ352" s="1">
        <v>6385187</v>
      </c>
      <c r="AR352" s="1">
        <v>957778</v>
      </c>
      <c r="AS352" s="1">
        <v>390000</v>
      </c>
      <c r="AT352" s="1">
        <f t="shared" si="34"/>
        <v>41881437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10136251</v>
      </c>
      <c r="G353" s="1">
        <v>6770022</v>
      </c>
      <c r="H353" s="1">
        <v>0</v>
      </c>
      <c r="I353" s="1">
        <v>8514451</v>
      </c>
      <c r="J353" s="1">
        <v>0</v>
      </c>
      <c r="K353" s="1">
        <v>0</v>
      </c>
      <c r="L353" s="1">
        <v>3460800</v>
      </c>
      <c r="M353" s="1">
        <v>400000</v>
      </c>
      <c r="N353" s="1">
        <v>5231614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6834491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1532400</v>
      </c>
      <c r="AD353" s="1">
        <v>4331327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4999401</v>
      </c>
      <c r="AK353" s="1">
        <v>0</v>
      </c>
      <c r="AL353" s="1">
        <v>0</v>
      </c>
      <c r="AM353" s="1">
        <v>0</v>
      </c>
      <c r="AN353" s="1">
        <v>57755833</v>
      </c>
      <c r="AO353" s="1">
        <v>10645872</v>
      </c>
      <c r="AP353" s="1">
        <v>47109961</v>
      </c>
      <c r="AQ353" s="1">
        <v>10662151</v>
      </c>
      <c r="AR353" s="1">
        <v>1599323</v>
      </c>
      <c r="AS353" s="1">
        <v>300000</v>
      </c>
      <c r="AT353" s="1">
        <f t="shared" si="34"/>
        <v>70317307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15001377</v>
      </c>
      <c r="G354" s="1">
        <v>7672032</v>
      </c>
      <c r="H354" s="1">
        <v>0</v>
      </c>
      <c r="I354" s="1">
        <v>12050168</v>
      </c>
      <c r="J354" s="1">
        <v>0</v>
      </c>
      <c r="K354" s="1">
        <v>5500000</v>
      </c>
      <c r="L354" s="1">
        <v>0</v>
      </c>
      <c r="M354" s="1">
        <v>400000</v>
      </c>
      <c r="N354" s="1">
        <v>2481080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12267546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1772200</v>
      </c>
      <c r="AF354" s="1">
        <v>1111269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4253281</v>
      </c>
      <c r="AM354" s="1">
        <v>0</v>
      </c>
      <c r="AN354" s="1">
        <v>63608953</v>
      </c>
      <c r="AO354" s="1">
        <v>11815404</v>
      </c>
      <c r="AP354" s="1">
        <v>51793549</v>
      </c>
      <c r="AQ354" s="1">
        <v>12499537</v>
      </c>
      <c r="AR354" s="1">
        <v>1874931</v>
      </c>
      <c r="AS354" s="1">
        <v>0</v>
      </c>
      <c r="AT354" s="1">
        <f t="shared" si="34"/>
        <v>77983421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17192605</v>
      </c>
      <c r="G355" s="1">
        <v>25043552</v>
      </c>
      <c r="H355" s="1">
        <v>0</v>
      </c>
      <c r="I355" s="1">
        <v>13639614</v>
      </c>
      <c r="J355" s="1">
        <v>0</v>
      </c>
      <c r="K355" s="1">
        <v>5500000</v>
      </c>
      <c r="L355" s="1">
        <v>0</v>
      </c>
      <c r="M355" s="1">
        <v>400000</v>
      </c>
      <c r="N355" s="1">
        <v>2929205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1270000</v>
      </c>
      <c r="U355" s="1">
        <v>0</v>
      </c>
      <c r="V355" s="1">
        <v>7428718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2092289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3766120</v>
      </c>
      <c r="AM355" s="1">
        <v>0</v>
      </c>
      <c r="AN355" s="1">
        <v>80362103</v>
      </c>
      <c r="AO355" s="1">
        <v>16896666</v>
      </c>
      <c r="AP355" s="1">
        <v>63465437</v>
      </c>
      <c r="AQ355" s="1">
        <v>15557766</v>
      </c>
      <c r="AR355" s="1">
        <v>2333665</v>
      </c>
      <c r="AS355" s="1">
        <v>0</v>
      </c>
      <c r="AT355" s="1">
        <f t="shared" si="34"/>
        <v>98253534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12728152</v>
      </c>
      <c r="G356" s="1">
        <v>1466719</v>
      </c>
      <c r="H356" s="1">
        <v>0</v>
      </c>
      <c r="I356" s="1">
        <v>8994416</v>
      </c>
      <c r="J356" s="1">
        <v>0</v>
      </c>
      <c r="K356" s="1">
        <v>4125000</v>
      </c>
      <c r="L356" s="1">
        <v>0</v>
      </c>
      <c r="M356" s="1">
        <v>400000</v>
      </c>
      <c r="N356" s="1">
        <v>1711424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2612337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1222446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1466935</v>
      </c>
      <c r="AM356" s="1">
        <v>0</v>
      </c>
      <c r="AN356" s="1">
        <v>35827429</v>
      </c>
      <c r="AO356" s="1">
        <v>5379007</v>
      </c>
      <c r="AP356" s="1">
        <v>30448422</v>
      </c>
      <c r="AQ356" s="1">
        <v>7165486</v>
      </c>
      <c r="AR356" s="1">
        <v>1074823</v>
      </c>
      <c r="AS356" s="1">
        <v>0</v>
      </c>
      <c r="AT356" s="1">
        <f t="shared" si="34"/>
        <v>44067738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11630916</v>
      </c>
      <c r="G357" s="1">
        <v>10366509</v>
      </c>
      <c r="H357" s="1">
        <v>0</v>
      </c>
      <c r="I357" s="1">
        <v>10933061</v>
      </c>
      <c r="J357" s="1">
        <v>0</v>
      </c>
      <c r="K357" s="1">
        <v>0</v>
      </c>
      <c r="L357" s="1">
        <v>3460800</v>
      </c>
      <c r="M357" s="1">
        <v>400000</v>
      </c>
      <c r="N357" s="1">
        <v>6978549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3450333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48320168</v>
      </c>
      <c r="AO357" s="1">
        <v>7727789</v>
      </c>
      <c r="AP357" s="1">
        <v>40592379</v>
      </c>
      <c r="AQ357" s="1">
        <v>9664034</v>
      </c>
      <c r="AR357" s="1">
        <v>1449605</v>
      </c>
      <c r="AS357" s="1">
        <v>600000</v>
      </c>
      <c r="AT357" s="1">
        <f t="shared" si="34"/>
        <v>60033807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6195946</v>
      </c>
      <c r="G358" s="1">
        <v>0</v>
      </c>
      <c r="H358" s="1">
        <v>0</v>
      </c>
      <c r="I358" s="1">
        <v>4770878</v>
      </c>
      <c r="J358" s="1">
        <v>0</v>
      </c>
      <c r="K358" s="1">
        <v>0</v>
      </c>
      <c r="L358" s="1">
        <v>4058844</v>
      </c>
      <c r="M358" s="1">
        <v>400000</v>
      </c>
      <c r="N358" s="1">
        <v>3261024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6331741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2743004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3446581</v>
      </c>
      <c r="AK358" s="1">
        <v>0</v>
      </c>
      <c r="AL358" s="1">
        <v>0</v>
      </c>
      <c r="AM358" s="1">
        <v>0</v>
      </c>
      <c r="AN358" s="1">
        <v>34530556</v>
      </c>
      <c r="AO358" s="1">
        <v>7481050</v>
      </c>
      <c r="AP358" s="1">
        <v>27049506</v>
      </c>
      <c r="AQ358" s="1">
        <v>6461604</v>
      </c>
      <c r="AR358" s="1">
        <v>969241</v>
      </c>
      <c r="AS358" s="1">
        <v>1060000</v>
      </c>
      <c r="AT358" s="1">
        <f t="shared" si="34"/>
        <v>43021401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7378506</v>
      </c>
      <c r="G359" s="1">
        <v>21040412</v>
      </c>
      <c r="H359" s="1">
        <v>0</v>
      </c>
      <c r="I359" s="1">
        <v>6050375</v>
      </c>
      <c r="J359" s="1">
        <v>0</v>
      </c>
      <c r="K359" s="1">
        <v>0</v>
      </c>
      <c r="L359" s="1">
        <v>3460800</v>
      </c>
      <c r="M359" s="1">
        <v>400000</v>
      </c>
      <c r="N359" s="1">
        <v>3935203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6920714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50286010</v>
      </c>
      <c r="AO359" s="1">
        <v>8773010</v>
      </c>
      <c r="AP359" s="1">
        <v>41513000</v>
      </c>
      <c r="AQ359" s="1">
        <v>10057202</v>
      </c>
      <c r="AR359" s="1">
        <v>1508580</v>
      </c>
      <c r="AS359" s="1">
        <v>600000</v>
      </c>
      <c r="AT359" s="1">
        <f t="shared" si="34"/>
        <v>62451792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7786043</v>
      </c>
      <c r="G360" s="1">
        <v>15633725</v>
      </c>
      <c r="H360" s="1">
        <v>0</v>
      </c>
      <c r="I360" s="1">
        <v>5761672</v>
      </c>
      <c r="J360" s="1">
        <v>0</v>
      </c>
      <c r="K360" s="1">
        <v>0</v>
      </c>
      <c r="L360" s="1">
        <v>3620700</v>
      </c>
      <c r="M360" s="1">
        <v>400000</v>
      </c>
      <c r="N360" s="1">
        <v>4125056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7293911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47943645</v>
      </c>
      <c r="AO360" s="1">
        <v>9435064</v>
      </c>
      <c r="AP360" s="1">
        <v>38508581</v>
      </c>
      <c r="AQ360" s="1">
        <v>9144221</v>
      </c>
      <c r="AR360" s="1">
        <v>1371633</v>
      </c>
      <c r="AS360" s="1">
        <v>795000</v>
      </c>
      <c r="AT360" s="1">
        <f t="shared" si="34"/>
        <v>59254499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6586572</v>
      </c>
      <c r="G361" s="1">
        <v>26755662</v>
      </c>
      <c r="H361" s="1">
        <v>0</v>
      </c>
      <c r="I361" s="1">
        <v>4874063</v>
      </c>
      <c r="J361" s="1">
        <v>0</v>
      </c>
      <c r="K361" s="1">
        <v>0</v>
      </c>
      <c r="L361" s="1">
        <v>3620700</v>
      </c>
      <c r="M361" s="1">
        <v>400000</v>
      </c>
      <c r="N361" s="1">
        <v>3489574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6221982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55271091</v>
      </c>
      <c r="AO361" s="1">
        <v>10893560</v>
      </c>
      <c r="AP361" s="1">
        <v>44377531</v>
      </c>
      <c r="AQ361" s="1">
        <v>10609711</v>
      </c>
      <c r="AR361" s="1">
        <v>1591457</v>
      </c>
      <c r="AS361" s="1">
        <v>530000</v>
      </c>
      <c r="AT361" s="1">
        <f t="shared" si="34"/>
        <v>68002259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8671469</v>
      </c>
      <c r="G362" s="1">
        <v>5553035</v>
      </c>
      <c r="H362" s="1">
        <v>0</v>
      </c>
      <c r="I362" s="1">
        <v>7110604</v>
      </c>
      <c r="J362" s="1">
        <v>0</v>
      </c>
      <c r="K362" s="1">
        <v>0</v>
      </c>
      <c r="L362" s="1">
        <v>3460800</v>
      </c>
      <c r="M362" s="1">
        <v>400000</v>
      </c>
      <c r="N362" s="1">
        <v>4624784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7863973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38784665</v>
      </c>
      <c r="AO362" s="1">
        <v>7826490</v>
      </c>
      <c r="AP362" s="1">
        <v>30958175</v>
      </c>
      <c r="AQ362" s="1">
        <v>7756933</v>
      </c>
      <c r="AR362" s="1">
        <v>1163540</v>
      </c>
      <c r="AS362" s="1">
        <v>530000</v>
      </c>
      <c r="AT362" s="1">
        <f t="shared" si="34"/>
        <v>48235138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6270085</v>
      </c>
      <c r="G363" s="1">
        <v>12464167</v>
      </c>
      <c r="H363" s="1">
        <v>0</v>
      </c>
      <c r="I363" s="1">
        <v>4577162</v>
      </c>
      <c r="J363" s="1">
        <v>0</v>
      </c>
      <c r="K363" s="1">
        <v>0</v>
      </c>
      <c r="L363" s="1">
        <v>3620700</v>
      </c>
      <c r="M363" s="1">
        <v>400000</v>
      </c>
      <c r="N363" s="1">
        <v>3300045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4431638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38386335</v>
      </c>
      <c r="AO363" s="1">
        <v>6548438</v>
      </c>
      <c r="AP363" s="1">
        <v>31837897</v>
      </c>
      <c r="AQ363" s="1">
        <v>7232759</v>
      </c>
      <c r="AR363" s="1">
        <v>1084914</v>
      </c>
      <c r="AS363" s="1">
        <v>530000</v>
      </c>
      <c r="AT363" s="1">
        <f t="shared" si="34"/>
        <v>47234008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7326787</v>
      </c>
      <c r="G364" s="1">
        <v>5081324</v>
      </c>
      <c r="H364" s="1">
        <v>0</v>
      </c>
      <c r="I364" s="1">
        <v>6007966</v>
      </c>
      <c r="J364" s="1">
        <v>0</v>
      </c>
      <c r="K364" s="1">
        <v>0</v>
      </c>
      <c r="L364" s="1">
        <v>3460800</v>
      </c>
      <c r="M364" s="1">
        <v>400000</v>
      </c>
      <c r="N364" s="1">
        <v>3907619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5106730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32391226</v>
      </c>
      <c r="AO364" s="1">
        <v>4025726</v>
      </c>
      <c r="AP364" s="1">
        <v>28365500</v>
      </c>
      <c r="AQ364" s="1">
        <v>6478245</v>
      </c>
      <c r="AR364" s="1">
        <v>971737</v>
      </c>
      <c r="AS364" s="1">
        <v>530000</v>
      </c>
      <c r="AT364" s="1">
        <f t="shared" si="34"/>
        <v>40371208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19705902</v>
      </c>
      <c r="G365" s="1">
        <v>4054379</v>
      </c>
      <c r="H365" s="1">
        <v>0</v>
      </c>
      <c r="I365" s="1">
        <v>17122175</v>
      </c>
      <c r="J365" s="1">
        <v>0</v>
      </c>
      <c r="K365" s="1">
        <v>0</v>
      </c>
      <c r="L365" s="1">
        <v>0</v>
      </c>
      <c r="M365" s="1">
        <v>400000</v>
      </c>
      <c r="N365" s="1">
        <v>3064873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14619934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2189195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5078933</v>
      </c>
      <c r="AM365" s="1">
        <v>0</v>
      </c>
      <c r="AN365" s="1">
        <v>69557929</v>
      </c>
      <c r="AO365" s="1">
        <v>14696891</v>
      </c>
      <c r="AP365" s="1">
        <v>54861038</v>
      </c>
      <c r="AQ365" s="1">
        <v>13467078</v>
      </c>
      <c r="AR365" s="1">
        <v>2020062</v>
      </c>
      <c r="AS365" s="1">
        <v>0</v>
      </c>
      <c r="AT365" s="1">
        <f t="shared" si="34"/>
        <v>85045069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8622517</v>
      </c>
      <c r="G366" s="1">
        <v>4018552</v>
      </c>
      <c r="H366" s="1">
        <v>0</v>
      </c>
      <c r="I366" s="1">
        <v>6208212</v>
      </c>
      <c r="J366" s="1">
        <v>0</v>
      </c>
      <c r="K366" s="1">
        <v>0</v>
      </c>
      <c r="L366" s="1">
        <v>3620700</v>
      </c>
      <c r="M366" s="1">
        <v>400000</v>
      </c>
      <c r="N366" s="1">
        <v>4568221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4536135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35296875</v>
      </c>
      <c r="AO366" s="1">
        <v>5316743</v>
      </c>
      <c r="AP366" s="1">
        <v>29980132</v>
      </c>
      <c r="AQ366" s="1">
        <v>6614867</v>
      </c>
      <c r="AR366" s="1">
        <v>992230</v>
      </c>
      <c r="AS366" s="1">
        <v>1060000</v>
      </c>
      <c r="AT366" s="1">
        <f t="shared" si="34"/>
        <v>43963972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7101507</v>
      </c>
      <c r="G367" s="1">
        <v>0</v>
      </c>
      <c r="H367" s="1">
        <v>0</v>
      </c>
      <c r="I367" s="1">
        <v>5113085</v>
      </c>
      <c r="J367" s="1">
        <v>0</v>
      </c>
      <c r="K367" s="1">
        <v>0</v>
      </c>
      <c r="L367" s="1">
        <v>3620700</v>
      </c>
      <c r="M367" s="1">
        <v>400000</v>
      </c>
      <c r="N367" s="1">
        <v>3737635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3793127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25977323</v>
      </c>
      <c r="AO367" s="1">
        <v>3370624</v>
      </c>
      <c r="AP367" s="1">
        <v>22606699</v>
      </c>
      <c r="AQ367" s="1">
        <v>4973211</v>
      </c>
      <c r="AR367" s="1">
        <v>745982</v>
      </c>
      <c r="AS367" s="1">
        <v>795000</v>
      </c>
      <c r="AT367" s="1">
        <f t="shared" si="34"/>
        <v>32491516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7880738</v>
      </c>
      <c r="G368" s="1">
        <v>9089627</v>
      </c>
      <c r="H368" s="1">
        <v>0</v>
      </c>
      <c r="I368" s="1">
        <v>5595324</v>
      </c>
      <c r="J368" s="1">
        <v>0</v>
      </c>
      <c r="K368" s="1">
        <v>0</v>
      </c>
      <c r="L368" s="1">
        <v>3620700</v>
      </c>
      <c r="M368" s="1">
        <v>400000</v>
      </c>
      <c r="N368" s="1">
        <v>4175226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7059316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41143469</v>
      </c>
      <c r="AO368" s="1">
        <v>8712640</v>
      </c>
      <c r="AP368" s="1">
        <v>32430829</v>
      </c>
      <c r="AQ368" s="1">
        <v>7784186</v>
      </c>
      <c r="AR368" s="1">
        <v>1167628</v>
      </c>
      <c r="AS368" s="1">
        <v>1060000</v>
      </c>
      <c r="AT368" s="1">
        <f t="shared" si="34"/>
        <v>51155283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7580870</v>
      </c>
      <c r="G369" s="1">
        <v>6346667</v>
      </c>
      <c r="H369" s="1">
        <v>0</v>
      </c>
      <c r="I369" s="1">
        <v>5534035</v>
      </c>
      <c r="J369" s="1">
        <v>0</v>
      </c>
      <c r="K369" s="1">
        <v>0</v>
      </c>
      <c r="L369" s="1">
        <v>3620700</v>
      </c>
      <c r="M369" s="1">
        <v>400000</v>
      </c>
      <c r="N369" s="1">
        <v>4016355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4116613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34937778</v>
      </c>
      <c r="AO369" s="1">
        <v>3448414</v>
      </c>
      <c r="AP369" s="1">
        <v>31489364</v>
      </c>
      <c r="AQ369" s="1">
        <v>6543048</v>
      </c>
      <c r="AR369" s="1">
        <v>981457</v>
      </c>
      <c r="AS369" s="1">
        <v>0</v>
      </c>
      <c r="AT369" s="1">
        <f t="shared" si="34"/>
        <v>42462283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9374817</v>
      </c>
      <c r="G370" s="1">
        <v>3931034</v>
      </c>
      <c r="H370" s="1">
        <v>0</v>
      </c>
      <c r="I370" s="1">
        <v>6656120</v>
      </c>
      <c r="J370" s="1">
        <v>0</v>
      </c>
      <c r="K370" s="1">
        <v>0</v>
      </c>
      <c r="L370" s="1">
        <v>3620700</v>
      </c>
      <c r="M370" s="1">
        <v>400000</v>
      </c>
      <c r="N370" s="1">
        <v>4966790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9076153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41348152</v>
      </c>
      <c r="AO370" s="1">
        <v>7723022</v>
      </c>
      <c r="AP370" s="1">
        <v>33625130</v>
      </c>
      <c r="AQ370" s="1">
        <v>7825123</v>
      </c>
      <c r="AR370" s="1">
        <v>1173768</v>
      </c>
      <c r="AS370" s="1">
        <v>795000</v>
      </c>
      <c r="AT370" s="1">
        <f t="shared" si="34"/>
        <v>51142043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5443959</v>
      </c>
      <c r="G371" s="1">
        <v>12133376</v>
      </c>
      <c r="H371" s="1">
        <v>0</v>
      </c>
      <c r="I371" s="1">
        <v>4137409</v>
      </c>
      <c r="J371" s="1">
        <v>0</v>
      </c>
      <c r="K371" s="1">
        <v>0</v>
      </c>
      <c r="L371" s="1">
        <v>3914864</v>
      </c>
      <c r="M371" s="1">
        <v>400000</v>
      </c>
      <c r="N371" s="1">
        <v>2865242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3215065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35432453</v>
      </c>
      <c r="AO371" s="1">
        <v>6052186</v>
      </c>
      <c r="AP371" s="1">
        <v>29380267</v>
      </c>
      <c r="AQ371" s="1">
        <v>6641983</v>
      </c>
      <c r="AR371" s="1">
        <v>996297</v>
      </c>
      <c r="AS371" s="1">
        <v>530000</v>
      </c>
      <c r="AT371" s="1">
        <f t="shared" si="34"/>
        <v>43600733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7060047</v>
      </c>
      <c r="G372" s="1">
        <v>11125641</v>
      </c>
      <c r="H372" s="1">
        <v>0</v>
      </c>
      <c r="I372" s="1">
        <v>5153835</v>
      </c>
      <c r="J372" s="1">
        <v>0</v>
      </c>
      <c r="K372" s="1">
        <v>0</v>
      </c>
      <c r="L372" s="1">
        <v>3620700</v>
      </c>
      <c r="M372" s="1">
        <v>400000</v>
      </c>
      <c r="N372" s="1">
        <v>3740422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3898876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38322059</v>
      </c>
      <c r="AO372" s="1">
        <v>4016974</v>
      </c>
      <c r="AP372" s="1">
        <v>34305085</v>
      </c>
      <c r="AQ372" s="1">
        <v>7219904</v>
      </c>
      <c r="AR372" s="1">
        <v>1082986</v>
      </c>
      <c r="AS372" s="1">
        <v>0</v>
      </c>
      <c r="AT372" s="1">
        <f t="shared" si="34"/>
        <v>46624949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8131297</v>
      </c>
      <c r="G373" s="1">
        <v>17823464</v>
      </c>
      <c r="H373" s="1">
        <v>0</v>
      </c>
      <c r="I373" s="1">
        <v>6017160</v>
      </c>
      <c r="J373" s="1">
        <v>0</v>
      </c>
      <c r="K373" s="1">
        <v>0</v>
      </c>
      <c r="L373" s="1">
        <v>3460800</v>
      </c>
      <c r="M373" s="1">
        <v>400000</v>
      </c>
      <c r="N373" s="1">
        <v>4336691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4337501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1111269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46718182</v>
      </c>
      <c r="AO373" s="1">
        <v>15006529</v>
      </c>
      <c r="AP373" s="1">
        <v>31711653</v>
      </c>
      <c r="AQ373" s="1">
        <v>9121383</v>
      </c>
      <c r="AR373" s="1">
        <v>1368207</v>
      </c>
      <c r="AS373" s="1">
        <v>600000</v>
      </c>
      <c r="AT373" s="1">
        <f t="shared" si="34"/>
        <v>57807772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6881179</v>
      </c>
      <c r="G374" s="1">
        <v>4711439</v>
      </c>
      <c r="H374" s="1">
        <v>0</v>
      </c>
      <c r="I374" s="1">
        <v>5092072</v>
      </c>
      <c r="J374" s="1">
        <v>0</v>
      </c>
      <c r="K374" s="1">
        <v>0</v>
      </c>
      <c r="L374" s="1">
        <v>3620700</v>
      </c>
      <c r="M374" s="1">
        <v>400000</v>
      </c>
      <c r="N374" s="1">
        <v>3645658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3836828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31510414</v>
      </c>
      <c r="AO374" s="1">
        <v>7578517</v>
      </c>
      <c r="AP374" s="1">
        <v>23931897</v>
      </c>
      <c r="AQ374" s="1">
        <v>5857575</v>
      </c>
      <c r="AR374" s="1">
        <v>878636</v>
      </c>
      <c r="AS374" s="1">
        <v>900000</v>
      </c>
      <c r="AT374" s="1">
        <f t="shared" si="34"/>
        <v>39146625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7895691</v>
      </c>
      <c r="G375" s="1">
        <v>12543728</v>
      </c>
      <c r="H375" s="1">
        <v>0</v>
      </c>
      <c r="I375" s="1">
        <v>6632380</v>
      </c>
      <c r="J375" s="1">
        <v>0</v>
      </c>
      <c r="K375" s="1">
        <v>0</v>
      </c>
      <c r="L375" s="1">
        <v>3460800</v>
      </c>
      <c r="M375" s="1">
        <v>400000</v>
      </c>
      <c r="N375" s="1">
        <v>4211034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4265983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40509616</v>
      </c>
      <c r="AO375" s="1">
        <v>8082282</v>
      </c>
      <c r="AP375" s="1">
        <v>32427334</v>
      </c>
      <c r="AQ375" s="1">
        <v>8101923</v>
      </c>
      <c r="AR375" s="1">
        <v>1215288</v>
      </c>
      <c r="AS375" s="1">
        <v>600000</v>
      </c>
      <c r="AT375" s="1">
        <f t="shared" si="34"/>
        <v>50426827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9860994</v>
      </c>
      <c r="G376" s="1">
        <v>26955416</v>
      </c>
      <c r="H376" s="1">
        <v>0</v>
      </c>
      <c r="I376" s="1">
        <v>7297136</v>
      </c>
      <c r="J376" s="1">
        <v>0</v>
      </c>
      <c r="K376" s="1">
        <v>0</v>
      </c>
      <c r="L376" s="1">
        <v>3460800</v>
      </c>
      <c r="M376" s="1">
        <v>400000</v>
      </c>
      <c r="N376" s="1">
        <v>5259197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4928063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62595413</v>
      </c>
      <c r="AO376" s="1">
        <v>10060783</v>
      </c>
      <c r="AP376" s="1">
        <v>52534630</v>
      </c>
      <c r="AQ376" s="1">
        <v>11852321</v>
      </c>
      <c r="AR376" s="1">
        <v>1777848</v>
      </c>
      <c r="AS376" s="1">
        <v>390000</v>
      </c>
      <c r="AT376" s="1">
        <f t="shared" si="34"/>
        <v>76615582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7498683</v>
      </c>
      <c r="G377" s="1">
        <v>15381511</v>
      </c>
      <c r="H377" s="1">
        <v>0</v>
      </c>
      <c r="I377" s="1">
        <v>5399052</v>
      </c>
      <c r="J377" s="1">
        <v>0</v>
      </c>
      <c r="K377" s="1">
        <v>0</v>
      </c>
      <c r="L377" s="1">
        <v>3620700</v>
      </c>
      <c r="M377" s="1">
        <v>400000</v>
      </c>
      <c r="N377" s="1">
        <v>3946675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4063545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42521435</v>
      </c>
      <c r="AO377" s="1">
        <v>8827147</v>
      </c>
      <c r="AP377" s="1">
        <v>33694288</v>
      </c>
      <c r="AQ377" s="1">
        <v>8282033</v>
      </c>
      <c r="AR377" s="1">
        <v>1242305</v>
      </c>
      <c r="AS377" s="1">
        <v>795000</v>
      </c>
      <c r="AT377" s="1">
        <f t="shared" si="34"/>
        <v>52840773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6439547</v>
      </c>
      <c r="G378" s="1">
        <v>9656142</v>
      </c>
      <c r="H378" s="1">
        <v>0</v>
      </c>
      <c r="I378" s="1">
        <v>4636474</v>
      </c>
      <c r="J378" s="1">
        <v>0</v>
      </c>
      <c r="K378" s="1">
        <v>0</v>
      </c>
      <c r="L378" s="1">
        <v>3620700</v>
      </c>
      <c r="M378" s="1">
        <v>400000</v>
      </c>
      <c r="N378" s="1">
        <v>3389235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3623402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36199307</v>
      </c>
      <c r="AO378" s="1">
        <v>3987931</v>
      </c>
      <c r="AP378" s="1">
        <v>32211376</v>
      </c>
      <c r="AQ378" s="1">
        <v>6573100</v>
      </c>
      <c r="AR378" s="1">
        <v>985965</v>
      </c>
      <c r="AS378" s="1">
        <v>0</v>
      </c>
      <c r="AT378" s="1">
        <f t="shared" si="34"/>
        <v>43758372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7578118</v>
      </c>
      <c r="G379" s="1">
        <v>13178887</v>
      </c>
      <c r="H379" s="1">
        <v>0</v>
      </c>
      <c r="I379" s="1">
        <v>5683589</v>
      </c>
      <c r="J379" s="1">
        <v>0</v>
      </c>
      <c r="K379" s="1">
        <v>0</v>
      </c>
      <c r="L379" s="1">
        <v>3699296</v>
      </c>
      <c r="M379" s="1">
        <v>400000</v>
      </c>
      <c r="N379" s="1">
        <v>3988483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4153155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43115335</v>
      </c>
      <c r="AO379" s="1">
        <v>7031678</v>
      </c>
      <c r="AP379" s="1">
        <v>36083657</v>
      </c>
      <c r="AQ379" s="1">
        <v>7956306</v>
      </c>
      <c r="AR379" s="1">
        <v>1193446</v>
      </c>
      <c r="AS379" s="1">
        <v>1325000</v>
      </c>
      <c r="AT379" s="1">
        <f t="shared" si="34"/>
        <v>53590087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7996477</v>
      </c>
      <c r="G380" s="1">
        <v>17225485</v>
      </c>
      <c r="H380" s="1">
        <v>0</v>
      </c>
      <c r="I380" s="1">
        <v>5917393</v>
      </c>
      <c r="J380" s="1">
        <v>0</v>
      </c>
      <c r="K380" s="1">
        <v>0</v>
      </c>
      <c r="L380" s="1">
        <v>3620700</v>
      </c>
      <c r="M380" s="1">
        <v>400000</v>
      </c>
      <c r="N380" s="1">
        <v>4236544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4188800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46907937</v>
      </c>
      <c r="AO380" s="1">
        <v>8669720</v>
      </c>
      <c r="AP380" s="1">
        <v>38238217</v>
      </c>
      <c r="AQ380" s="1">
        <v>8937080</v>
      </c>
      <c r="AR380" s="1">
        <v>1340562</v>
      </c>
      <c r="AS380" s="1">
        <v>585000</v>
      </c>
      <c r="AT380" s="1">
        <f t="shared" si="34"/>
        <v>57770579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7838652</v>
      </c>
      <c r="G381" s="1">
        <v>17891215</v>
      </c>
      <c r="H381" s="1">
        <v>0</v>
      </c>
      <c r="I381" s="1">
        <v>5722216</v>
      </c>
      <c r="J381" s="1">
        <v>0</v>
      </c>
      <c r="K381" s="1">
        <v>0</v>
      </c>
      <c r="L381" s="1">
        <v>3620700</v>
      </c>
      <c r="M381" s="1">
        <v>400000</v>
      </c>
      <c r="N381" s="1">
        <v>4152928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4224382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47172631</v>
      </c>
      <c r="AO381" s="1">
        <v>7915022</v>
      </c>
      <c r="AP381" s="1">
        <v>39257609</v>
      </c>
      <c r="AQ381" s="1">
        <v>8990019</v>
      </c>
      <c r="AR381" s="1">
        <v>1348503</v>
      </c>
      <c r="AS381" s="1">
        <v>1060000</v>
      </c>
      <c r="AT381" s="1">
        <f t="shared" si="34"/>
        <v>58571153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9645425</v>
      </c>
      <c r="G382" s="1">
        <v>9312863</v>
      </c>
      <c r="H382" s="1">
        <v>0</v>
      </c>
      <c r="I382" s="1">
        <v>8712125</v>
      </c>
      <c r="J382" s="1">
        <v>0</v>
      </c>
      <c r="K382" s="1">
        <v>0</v>
      </c>
      <c r="L382" s="1">
        <v>0</v>
      </c>
      <c r="M382" s="1">
        <v>400000</v>
      </c>
      <c r="N382" s="1">
        <v>1631454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1270000</v>
      </c>
      <c r="U382" s="1">
        <v>0</v>
      </c>
      <c r="V382" s="1">
        <v>4430954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1165323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2796777</v>
      </c>
      <c r="AM382" s="1">
        <v>0</v>
      </c>
      <c r="AN382" s="1">
        <v>42687459</v>
      </c>
      <c r="AO382" s="1">
        <v>8925666</v>
      </c>
      <c r="AP382" s="1">
        <v>33761793</v>
      </c>
      <c r="AQ382" s="1">
        <v>7838984</v>
      </c>
      <c r="AR382" s="1">
        <v>1175848</v>
      </c>
      <c r="AS382" s="1">
        <v>0</v>
      </c>
      <c r="AT382" s="1">
        <f t="shared" si="34"/>
        <v>51702291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8079579</v>
      </c>
      <c r="G383" s="1">
        <v>13344397</v>
      </c>
      <c r="H383" s="1">
        <v>0</v>
      </c>
      <c r="I383" s="1">
        <v>5978888</v>
      </c>
      <c r="J383" s="1">
        <v>0</v>
      </c>
      <c r="K383" s="1">
        <v>0</v>
      </c>
      <c r="L383" s="1">
        <v>3460800</v>
      </c>
      <c r="M383" s="1">
        <v>400000</v>
      </c>
      <c r="N383" s="1">
        <v>4309108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4315750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43211060</v>
      </c>
      <c r="AO383" s="1">
        <v>7218326</v>
      </c>
      <c r="AP383" s="1">
        <v>35992734</v>
      </c>
      <c r="AQ383" s="1">
        <v>8197704</v>
      </c>
      <c r="AR383" s="1">
        <v>1229656</v>
      </c>
      <c r="AS383" s="1">
        <v>600000</v>
      </c>
      <c r="AT383" s="1">
        <f t="shared" si="34"/>
        <v>53238420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9195948</v>
      </c>
      <c r="G384" s="1">
        <v>15953732</v>
      </c>
      <c r="H384" s="1">
        <v>0</v>
      </c>
      <c r="I384" s="1">
        <v>6805002</v>
      </c>
      <c r="J384" s="1">
        <v>0</v>
      </c>
      <c r="K384" s="1">
        <v>0</v>
      </c>
      <c r="L384" s="1">
        <v>3620700</v>
      </c>
      <c r="M384" s="1">
        <v>400000</v>
      </c>
      <c r="N384" s="1">
        <v>4872026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4678862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49960077</v>
      </c>
      <c r="AO384" s="1">
        <v>9443268</v>
      </c>
      <c r="AP384" s="1">
        <v>40516809</v>
      </c>
      <c r="AQ384" s="1">
        <v>9325254</v>
      </c>
      <c r="AR384" s="1">
        <v>1398788</v>
      </c>
      <c r="AS384" s="1">
        <v>600000</v>
      </c>
      <c r="AT384" s="1">
        <f t="shared" si="34"/>
        <v>61284119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6826132</v>
      </c>
      <c r="G385" s="1">
        <v>0</v>
      </c>
      <c r="H385" s="1">
        <v>0</v>
      </c>
      <c r="I385" s="1">
        <v>4232202</v>
      </c>
      <c r="J385" s="1">
        <v>0</v>
      </c>
      <c r="K385" s="1">
        <v>0</v>
      </c>
      <c r="L385" s="1">
        <v>3620700</v>
      </c>
      <c r="M385" s="1">
        <v>400000</v>
      </c>
      <c r="N385" s="1">
        <v>3592701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4498069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24269804</v>
      </c>
      <c r="AO385" s="1">
        <v>5071762</v>
      </c>
      <c r="AP385" s="1">
        <v>19198042</v>
      </c>
      <c r="AQ385" s="1">
        <v>4853961</v>
      </c>
      <c r="AR385" s="1">
        <v>728094</v>
      </c>
      <c r="AS385" s="1">
        <v>300000</v>
      </c>
      <c r="AT385" s="1">
        <f t="shared" si="34"/>
        <v>30151859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11136717</v>
      </c>
      <c r="G386" s="1">
        <v>4457928</v>
      </c>
      <c r="H386" s="1">
        <v>0</v>
      </c>
      <c r="I386" s="1">
        <v>9354842</v>
      </c>
      <c r="J386" s="1">
        <v>0</v>
      </c>
      <c r="K386" s="1">
        <v>0</v>
      </c>
      <c r="L386" s="1">
        <v>3460800</v>
      </c>
      <c r="M386" s="1">
        <v>400000</v>
      </c>
      <c r="N386" s="1">
        <v>5939584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8318865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46391274</v>
      </c>
      <c r="AO386" s="1">
        <v>8501464</v>
      </c>
      <c r="AP386" s="1">
        <v>37889810</v>
      </c>
      <c r="AQ386" s="1">
        <v>8833747</v>
      </c>
      <c r="AR386" s="1">
        <v>1325062</v>
      </c>
      <c r="AS386" s="1">
        <v>530000</v>
      </c>
      <c r="AT386" s="1">
        <f t="shared" si="34"/>
        <v>57080083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6466025</v>
      </c>
      <c r="G387" s="1">
        <v>3516112</v>
      </c>
      <c r="H387" s="1">
        <v>0</v>
      </c>
      <c r="I387" s="1">
        <v>4655538</v>
      </c>
      <c r="J387" s="1">
        <v>0</v>
      </c>
      <c r="K387" s="1">
        <v>0</v>
      </c>
      <c r="L387" s="1">
        <v>3620700</v>
      </c>
      <c r="M387" s="1">
        <v>400000</v>
      </c>
      <c r="N387" s="1">
        <v>3403171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8643991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2721815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2500346</v>
      </c>
      <c r="AK387" s="1">
        <v>0</v>
      </c>
      <c r="AL387" s="1">
        <v>0</v>
      </c>
      <c r="AM387" s="1">
        <v>0</v>
      </c>
      <c r="AN387" s="1">
        <v>40361505</v>
      </c>
      <c r="AO387" s="1">
        <v>8933284</v>
      </c>
      <c r="AP387" s="1">
        <v>31428221</v>
      </c>
      <c r="AQ387" s="1">
        <v>7405540</v>
      </c>
      <c r="AR387" s="1">
        <v>1110831</v>
      </c>
      <c r="AS387" s="1">
        <v>975000</v>
      </c>
      <c r="AT387" s="1">
        <f t="shared" ref="AT387:AT450" si="42">AS387+AR387+AQ387+AN387</f>
        <v>49852876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6084736</v>
      </c>
      <c r="G388" s="1">
        <v>5048602</v>
      </c>
      <c r="H388" s="1">
        <v>0</v>
      </c>
      <c r="I388" s="1">
        <v>4441858</v>
      </c>
      <c r="J388" s="1">
        <v>0</v>
      </c>
      <c r="K388" s="1">
        <v>0</v>
      </c>
      <c r="L388" s="1">
        <v>3620700</v>
      </c>
      <c r="M388" s="1">
        <v>400000</v>
      </c>
      <c r="N388" s="1">
        <v>3202493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8293906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2602468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3590117</v>
      </c>
      <c r="AK388" s="1">
        <v>0</v>
      </c>
      <c r="AL388" s="1">
        <v>0</v>
      </c>
      <c r="AM388" s="1">
        <v>0</v>
      </c>
      <c r="AN388" s="1">
        <v>40607418</v>
      </c>
      <c r="AO388" s="1">
        <v>7981580</v>
      </c>
      <c r="AP388" s="1">
        <v>32625838</v>
      </c>
      <c r="AQ388" s="1">
        <v>7676976</v>
      </c>
      <c r="AR388" s="1">
        <v>1151546</v>
      </c>
      <c r="AS388" s="1">
        <v>530000</v>
      </c>
      <c r="AT388" s="1">
        <f t="shared" si="42"/>
        <v>49965940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7609056</v>
      </c>
      <c r="G389" s="1">
        <v>5944736</v>
      </c>
      <c r="H389" s="1">
        <v>0</v>
      </c>
      <c r="I389" s="1">
        <v>5326339</v>
      </c>
      <c r="J389" s="1">
        <v>0</v>
      </c>
      <c r="K389" s="1">
        <v>0</v>
      </c>
      <c r="L389" s="1">
        <v>3620700</v>
      </c>
      <c r="M389" s="1">
        <v>400000</v>
      </c>
      <c r="N389" s="1">
        <v>4058163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4091138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33261401</v>
      </c>
      <c r="AO389" s="1">
        <v>7779025</v>
      </c>
      <c r="AP389" s="1">
        <v>25482376</v>
      </c>
      <c r="AQ389" s="1">
        <v>6430026</v>
      </c>
      <c r="AR389" s="1">
        <v>964504</v>
      </c>
      <c r="AS389" s="1">
        <v>1325000</v>
      </c>
      <c r="AT389" s="1">
        <f t="shared" si="42"/>
        <v>41980931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17427306</v>
      </c>
      <c r="G390" s="1">
        <v>7426290</v>
      </c>
      <c r="H390" s="1">
        <v>0</v>
      </c>
      <c r="I390" s="1">
        <v>13615270</v>
      </c>
      <c r="J390" s="1">
        <v>0</v>
      </c>
      <c r="K390" s="1">
        <v>5500000</v>
      </c>
      <c r="L390" s="1">
        <v>0</v>
      </c>
      <c r="M390" s="1">
        <v>400000</v>
      </c>
      <c r="N390" s="1">
        <v>3033426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10346931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2166733</v>
      </c>
      <c r="AF390" s="1">
        <v>1111269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4333466</v>
      </c>
      <c r="AM390" s="1">
        <v>0</v>
      </c>
      <c r="AN390" s="1">
        <v>66460691</v>
      </c>
      <c r="AO390" s="1">
        <v>18164543</v>
      </c>
      <c r="AP390" s="1">
        <v>48296148</v>
      </c>
      <c r="AQ390" s="1">
        <v>13069884</v>
      </c>
      <c r="AR390" s="1">
        <v>1960483</v>
      </c>
      <c r="AS390" s="1">
        <v>0</v>
      </c>
      <c r="AT390" s="1">
        <f t="shared" si="42"/>
        <v>81491058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0</v>
      </c>
      <c r="G391" s="1">
        <v>8399617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3333807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11733424</v>
      </c>
      <c r="AO391" s="1">
        <v>11733424</v>
      </c>
      <c r="AP391" s="1">
        <v>0</v>
      </c>
      <c r="AQ391" s="1">
        <v>0</v>
      </c>
      <c r="AR391" s="1">
        <v>0</v>
      </c>
      <c r="AS391" s="1">
        <v>0</v>
      </c>
      <c r="AT391" s="1">
        <f t="shared" si="42"/>
        <v>11733424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11980382</v>
      </c>
      <c r="G392" s="1">
        <v>2379746</v>
      </c>
      <c r="H392" s="1">
        <v>0</v>
      </c>
      <c r="I392" s="1">
        <v>11127971</v>
      </c>
      <c r="J392" s="1">
        <v>0</v>
      </c>
      <c r="K392" s="1">
        <v>4620000</v>
      </c>
      <c r="L392" s="1">
        <v>0</v>
      </c>
      <c r="M392" s="1">
        <v>400000</v>
      </c>
      <c r="N392" s="1">
        <v>2306477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1270000</v>
      </c>
      <c r="U392" s="1">
        <v>0</v>
      </c>
      <c r="V392" s="1">
        <v>8718233</v>
      </c>
      <c r="W392" s="1">
        <v>1100000</v>
      </c>
      <c r="X392" s="1">
        <v>1797057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1647484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10843044</v>
      </c>
      <c r="AM392" s="1">
        <v>0</v>
      </c>
      <c r="AN392" s="1">
        <v>58190394</v>
      </c>
      <c r="AO392" s="1">
        <v>15012626</v>
      </c>
      <c r="AP392" s="1">
        <v>43177768</v>
      </c>
      <c r="AQ392" s="1">
        <v>11384079</v>
      </c>
      <c r="AR392" s="1">
        <v>1707612</v>
      </c>
      <c r="AS392" s="1">
        <v>0</v>
      </c>
      <c r="AT392" s="1">
        <f t="shared" si="42"/>
        <v>71282085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10785159</v>
      </c>
      <c r="G393" s="1">
        <v>0</v>
      </c>
      <c r="H393" s="1">
        <v>0</v>
      </c>
      <c r="I393" s="1">
        <v>7751644</v>
      </c>
      <c r="J393" s="1">
        <v>0</v>
      </c>
      <c r="K393" s="1">
        <v>4620000</v>
      </c>
      <c r="L393" s="1">
        <v>0</v>
      </c>
      <c r="M393" s="1">
        <v>400000</v>
      </c>
      <c r="N393" s="1">
        <v>1837255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1270000</v>
      </c>
      <c r="U393" s="1">
        <v>0</v>
      </c>
      <c r="V393" s="1">
        <v>9096783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1312324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4304424</v>
      </c>
      <c r="AM393" s="1">
        <v>0</v>
      </c>
      <c r="AN393" s="1">
        <v>42477589</v>
      </c>
      <c r="AO393" s="1">
        <v>5912874</v>
      </c>
      <c r="AP393" s="1">
        <v>36564715</v>
      </c>
      <c r="AQ393" s="1">
        <v>8241518</v>
      </c>
      <c r="AR393" s="1">
        <v>1236228</v>
      </c>
      <c r="AS393" s="1">
        <v>0</v>
      </c>
      <c r="AT393" s="1">
        <f t="shared" si="42"/>
        <v>51955335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15704773</v>
      </c>
      <c r="G394" s="1">
        <v>8634139</v>
      </c>
      <c r="H394" s="1">
        <v>0</v>
      </c>
      <c r="I394" s="1">
        <v>11890242</v>
      </c>
      <c r="J394" s="1">
        <v>0</v>
      </c>
      <c r="K394" s="1">
        <v>5500000</v>
      </c>
      <c r="L394" s="1">
        <v>0</v>
      </c>
      <c r="M394" s="1">
        <v>400000</v>
      </c>
      <c r="N394" s="1">
        <v>2723963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11208374</v>
      </c>
      <c r="W394" s="1">
        <v>1100000</v>
      </c>
      <c r="X394" s="1">
        <v>2355716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1945688</v>
      </c>
      <c r="AF394" s="1">
        <v>2222538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3891377</v>
      </c>
      <c r="AM394" s="1">
        <v>0</v>
      </c>
      <c r="AN394" s="1">
        <v>67576810</v>
      </c>
      <c r="AO394" s="1">
        <v>17789538</v>
      </c>
      <c r="AP394" s="1">
        <v>49787272</v>
      </c>
      <c r="AQ394" s="1">
        <v>13070854</v>
      </c>
      <c r="AR394" s="1">
        <v>1960628</v>
      </c>
      <c r="AS394" s="1">
        <v>0</v>
      </c>
      <c r="AT394" s="1">
        <f t="shared" si="42"/>
        <v>82608292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11837313</v>
      </c>
      <c r="G395" s="1">
        <v>4741391</v>
      </c>
      <c r="H395" s="1">
        <v>0</v>
      </c>
      <c r="I395" s="1">
        <v>8481846</v>
      </c>
      <c r="J395" s="1">
        <v>0</v>
      </c>
      <c r="K395" s="1">
        <v>4620000</v>
      </c>
      <c r="L395" s="1">
        <v>0</v>
      </c>
      <c r="M395" s="1">
        <v>400000</v>
      </c>
      <c r="N395" s="1">
        <v>2194655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6079554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1567612</v>
      </c>
      <c r="AF395" s="1">
        <v>1111269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2351417</v>
      </c>
      <c r="AM395" s="1">
        <v>0</v>
      </c>
      <c r="AN395" s="1">
        <v>45755057</v>
      </c>
      <c r="AO395" s="1">
        <v>7955923</v>
      </c>
      <c r="AP395" s="1">
        <v>37799134</v>
      </c>
      <c r="AQ395" s="1">
        <v>8674758</v>
      </c>
      <c r="AR395" s="1">
        <v>1301214</v>
      </c>
      <c r="AS395" s="1">
        <v>0</v>
      </c>
      <c r="AT395" s="1">
        <f t="shared" si="42"/>
        <v>55731029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11824303</v>
      </c>
      <c r="G396" s="1">
        <v>5258959</v>
      </c>
      <c r="H396" s="1">
        <v>0</v>
      </c>
      <c r="I396" s="1">
        <v>10885402</v>
      </c>
      <c r="J396" s="1">
        <v>0</v>
      </c>
      <c r="K396" s="1">
        <v>4620000</v>
      </c>
      <c r="L396" s="1">
        <v>0</v>
      </c>
      <c r="M396" s="1">
        <v>400000</v>
      </c>
      <c r="N396" s="1">
        <v>2244927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8428994</v>
      </c>
      <c r="W396" s="1">
        <v>1100000</v>
      </c>
      <c r="X396" s="1">
        <v>1773645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1603519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10089647</v>
      </c>
      <c r="AM396" s="1">
        <v>0</v>
      </c>
      <c r="AN396" s="1">
        <v>59499396</v>
      </c>
      <c r="AO396" s="1">
        <v>11071314</v>
      </c>
      <c r="AP396" s="1">
        <v>48428082</v>
      </c>
      <c r="AQ396" s="1">
        <v>11645879</v>
      </c>
      <c r="AR396" s="1">
        <v>1746882</v>
      </c>
      <c r="AS396" s="1">
        <v>0</v>
      </c>
      <c r="AT396" s="1">
        <f t="shared" si="42"/>
        <v>72892157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14746144</v>
      </c>
      <c r="G397" s="1">
        <v>7317036</v>
      </c>
      <c r="H397" s="1">
        <v>0</v>
      </c>
      <c r="I397" s="1">
        <v>9886495</v>
      </c>
      <c r="J397" s="1">
        <v>0</v>
      </c>
      <c r="K397" s="1">
        <v>5500000</v>
      </c>
      <c r="L397" s="1">
        <v>0</v>
      </c>
      <c r="M397" s="1">
        <v>400000</v>
      </c>
      <c r="N397" s="1">
        <v>2341061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8282686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1672186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3210598</v>
      </c>
      <c r="AM397" s="1">
        <v>0</v>
      </c>
      <c r="AN397" s="1">
        <v>55726206</v>
      </c>
      <c r="AO397" s="1">
        <v>10733308</v>
      </c>
      <c r="AP397" s="1">
        <v>44992898</v>
      </c>
      <c r="AQ397" s="1">
        <v>10891241</v>
      </c>
      <c r="AR397" s="1">
        <v>1633686</v>
      </c>
      <c r="AS397" s="1">
        <v>0</v>
      </c>
      <c r="AT397" s="1">
        <f t="shared" si="42"/>
        <v>68251133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11899447</v>
      </c>
      <c r="G398" s="1">
        <v>5477790</v>
      </c>
      <c r="H398" s="1">
        <v>0</v>
      </c>
      <c r="I398" s="1">
        <v>9565952</v>
      </c>
      <c r="J398" s="1">
        <v>0</v>
      </c>
      <c r="K398" s="1">
        <v>4620000</v>
      </c>
      <c r="L398" s="1">
        <v>0</v>
      </c>
      <c r="M398" s="1">
        <v>400000</v>
      </c>
      <c r="N398" s="1">
        <v>2256257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7804207</v>
      </c>
      <c r="W398" s="1">
        <v>1100000</v>
      </c>
      <c r="X398" s="1">
        <v>1784917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1611612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8598065</v>
      </c>
      <c r="AM398" s="1">
        <v>0</v>
      </c>
      <c r="AN398" s="1">
        <v>56388247</v>
      </c>
      <c r="AO398" s="1">
        <v>7835048</v>
      </c>
      <c r="AP398" s="1">
        <v>48553199</v>
      </c>
      <c r="AQ398" s="1">
        <v>11023649</v>
      </c>
      <c r="AR398" s="1">
        <v>1653547</v>
      </c>
      <c r="AS398" s="1">
        <v>0</v>
      </c>
      <c r="AT398" s="1">
        <f t="shared" si="42"/>
        <v>69065443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15061505</v>
      </c>
      <c r="G399" s="1">
        <v>4955445</v>
      </c>
      <c r="H399" s="1">
        <v>0</v>
      </c>
      <c r="I399" s="1">
        <v>10892453</v>
      </c>
      <c r="J399" s="1">
        <v>0</v>
      </c>
      <c r="K399" s="1">
        <v>5500000</v>
      </c>
      <c r="L399" s="1">
        <v>0</v>
      </c>
      <c r="M399" s="1">
        <v>400000</v>
      </c>
      <c r="N399" s="1">
        <v>2485321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11683975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1775230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3408440</v>
      </c>
      <c r="AM399" s="1">
        <v>0</v>
      </c>
      <c r="AN399" s="1">
        <v>57262369</v>
      </c>
      <c r="AO399" s="1">
        <v>15448019</v>
      </c>
      <c r="AP399" s="1">
        <v>41814350</v>
      </c>
      <c r="AQ399" s="1">
        <v>11452474</v>
      </c>
      <c r="AR399" s="1">
        <v>1717871</v>
      </c>
      <c r="AS399" s="1">
        <v>0</v>
      </c>
      <c r="AT399" s="1">
        <f t="shared" si="42"/>
        <v>70432714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12090599</v>
      </c>
      <c r="G400" s="1">
        <v>9761014</v>
      </c>
      <c r="H400" s="1">
        <v>0</v>
      </c>
      <c r="I400" s="1">
        <v>10204120</v>
      </c>
      <c r="J400" s="1">
        <v>0</v>
      </c>
      <c r="K400" s="1">
        <v>4620000</v>
      </c>
      <c r="L400" s="1">
        <v>0</v>
      </c>
      <c r="M400" s="1">
        <v>400000</v>
      </c>
      <c r="N400" s="1">
        <v>2329710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8074751</v>
      </c>
      <c r="W400" s="1">
        <v>1100000</v>
      </c>
      <c r="X400" s="1">
        <v>1813590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1664079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8819105</v>
      </c>
      <c r="AM400" s="1">
        <v>0</v>
      </c>
      <c r="AN400" s="1">
        <v>62146968</v>
      </c>
      <c r="AO400" s="1">
        <v>8825599</v>
      </c>
      <c r="AP400" s="1">
        <v>53321369</v>
      </c>
      <c r="AQ400" s="1">
        <v>12175394</v>
      </c>
      <c r="AR400" s="1">
        <v>1826309</v>
      </c>
      <c r="AS400" s="1">
        <v>0</v>
      </c>
      <c r="AT400" s="1">
        <f t="shared" si="42"/>
        <v>76148671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10708242</v>
      </c>
      <c r="G401" s="1">
        <v>4378354</v>
      </c>
      <c r="H401" s="1">
        <v>0</v>
      </c>
      <c r="I401" s="1">
        <v>4743992</v>
      </c>
      <c r="J401" s="1">
        <v>0</v>
      </c>
      <c r="K401" s="1">
        <v>4620000</v>
      </c>
      <c r="L401" s="1">
        <v>0</v>
      </c>
      <c r="M401" s="1">
        <v>400000</v>
      </c>
      <c r="N401" s="1">
        <v>1789002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8028128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1277859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3475776</v>
      </c>
      <c r="AM401" s="1">
        <v>0</v>
      </c>
      <c r="AN401" s="1">
        <v>40521353</v>
      </c>
      <c r="AO401" s="1">
        <v>10712545</v>
      </c>
      <c r="AP401" s="1">
        <v>29808808</v>
      </c>
      <c r="AQ401" s="1">
        <v>8104271</v>
      </c>
      <c r="AR401" s="1">
        <v>1215641</v>
      </c>
      <c r="AS401" s="1">
        <v>0</v>
      </c>
      <c r="AT401" s="1">
        <f t="shared" si="42"/>
        <v>49841265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11571733</v>
      </c>
      <c r="G402" s="1">
        <v>12960839</v>
      </c>
      <c r="H402" s="1">
        <v>0</v>
      </c>
      <c r="I402" s="1">
        <v>9262500</v>
      </c>
      <c r="J402" s="1">
        <v>0</v>
      </c>
      <c r="K402" s="1">
        <v>4620000</v>
      </c>
      <c r="L402" s="1">
        <v>0</v>
      </c>
      <c r="M402" s="1">
        <v>400000</v>
      </c>
      <c r="N402" s="1">
        <v>2164198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14122585</v>
      </c>
      <c r="W402" s="1">
        <v>1100000</v>
      </c>
      <c r="X402" s="1">
        <v>1735760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1545857</v>
      </c>
      <c r="AF402" s="1">
        <v>1111269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8109088</v>
      </c>
      <c r="AM402" s="1">
        <v>0</v>
      </c>
      <c r="AN402" s="1">
        <v>69973829</v>
      </c>
      <c r="AO402" s="1">
        <v>11918676</v>
      </c>
      <c r="AP402" s="1">
        <v>58055153</v>
      </c>
      <c r="AQ402" s="1">
        <v>13518512</v>
      </c>
      <c r="AR402" s="1">
        <v>2027777</v>
      </c>
      <c r="AS402" s="1">
        <v>0</v>
      </c>
      <c r="AT402" s="1">
        <f t="shared" si="42"/>
        <v>85520118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11508885</v>
      </c>
      <c r="G403" s="1">
        <v>0</v>
      </c>
      <c r="H403" s="1">
        <v>0</v>
      </c>
      <c r="I403" s="1">
        <v>9122390</v>
      </c>
      <c r="J403" s="1">
        <v>0</v>
      </c>
      <c r="K403" s="1">
        <v>3465000</v>
      </c>
      <c r="L403" s="1">
        <v>0</v>
      </c>
      <c r="M403" s="1">
        <v>400000</v>
      </c>
      <c r="N403" s="1">
        <v>2118064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1270000</v>
      </c>
      <c r="U403" s="1">
        <v>0</v>
      </c>
      <c r="V403" s="1">
        <v>12645792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1512903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4478192</v>
      </c>
      <c r="AM403" s="1">
        <v>0</v>
      </c>
      <c r="AN403" s="1">
        <v>47621226</v>
      </c>
      <c r="AO403" s="1">
        <v>9001005</v>
      </c>
      <c r="AP403" s="1">
        <v>38620221</v>
      </c>
      <c r="AQ403" s="1">
        <v>9270245</v>
      </c>
      <c r="AR403" s="1">
        <v>1390537</v>
      </c>
      <c r="AS403" s="1">
        <v>0</v>
      </c>
      <c r="AT403" s="1">
        <f t="shared" si="42"/>
        <v>58282008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11270600</v>
      </c>
      <c r="G404" s="1">
        <v>5589039</v>
      </c>
      <c r="H404" s="1">
        <v>0</v>
      </c>
      <c r="I404" s="1">
        <v>9084448</v>
      </c>
      <c r="J404" s="1">
        <v>0</v>
      </c>
      <c r="K404" s="1">
        <v>4620000</v>
      </c>
      <c r="L404" s="1">
        <v>0</v>
      </c>
      <c r="M404" s="1">
        <v>400000</v>
      </c>
      <c r="N404" s="1">
        <v>2039904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11386704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1457074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7344422</v>
      </c>
      <c r="AM404" s="1">
        <v>0</v>
      </c>
      <c r="AN404" s="1">
        <v>55403460</v>
      </c>
      <c r="AO404" s="1">
        <v>17675079</v>
      </c>
      <c r="AP404" s="1">
        <v>37728381</v>
      </c>
      <c r="AQ404" s="1">
        <v>10858438</v>
      </c>
      <c r="AR404" s="1">
        <v>1628766</v>
      </c>
      <c r="AS404" s="1">
        <v>0</v>
      </c>
      <c r="AT404" s="1">
        <f t="shared" si="42"/>
        <v>67890664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12105237</v>
      </c>
      <c r="G405" s="1">
        <v>2779760</v>
      </c>
      <c r="H405" s="1">
        <v>0</v>
      </c>
      <c r="I405" s="1">
        <v>9909253</v>
      </c>
      <c r="J405" s="1">
        <v>0</v>
      </c>
      <c r="K405" s="1">
        <v>4620000</v>
      </c>
      <c r="L405" s="1">
        <v>0</v>
      </c>
      <c r="M405" s="1">
        <v>400000</v>
      </c>
      <c r="N405" s="1">
        <v>2331091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7920649</v>
      </c>
      <c r="W405" s="1">
        <v>1100000</v>
      </c>
      <c r="X405" s="1">
        <v>1815786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1665065</v>
      </c>
      <c r="AF405" s="1">
        <v>1111269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8426958</v>
      </c>
      <c r="AM405" s="1">
        <v>0</v>
      </c>
      <c r="AN405" s="1">
        <v>55455068</v>
      </c>
      <c r="AO405" s="1">
        <v>12591651</v>
      </c>
      <c r="AP405" s="1">
        <v>42863417</v>
      </c>
      <c r="AQ405" s="1">
        <v>10614760</v>
      </c>
      <c r="AR405" s="1">
        <v>1592214</v>
      </c>
      <c r="AS405" s="1">
        <v>0</v>
      </c>
      <c r="AT405" s="1">
        <f t="shared" si="42"/>
        <v>67662042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12992310</v>
      </c>
      <c r="G406" s="1">
        <v>12212659</v>
      </c>
      <c r="H406" s="1">
        <v>0</v>
      </c>
      <c r="I406" s="1">
        <v>10861658</v>
      </c>
      <c r="J406" s="1">
        <v>0</v>
      </c>
      <c r="K406" s="1">
        <v>4620000</v>
      </c>
      <c r="L406" s="1">
        <v>0</v>
      </c>
      <c r="M406" s="1">
        <v>400000</v>
      </c>
      <c r="N406" s="1">
        <v>2478063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12948390</v>
      </c>
      <c r="W406" s="1">
        <v>1100000</v>
      </c>
      <c r="X406" s="1">
        <v>1948847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1770045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9703441</v>
      </c>
      <c r="AM406" s="1">
        <v>0</v>
      </c>
      <c r="AN406" s="1">
        <v>72305413</v>
      </c>
      <c r="AO406" s="1">
        <v>13771950</v>
      </c>
      <c r="AP406" s="1">
        <v>58533463</v>
      </c>
      <c r="AQ406" s="1">
        <v>14207083</v>
      </c>
      <c r="AR406" s="1">
        <v>2131062</v>
      </c>
      <c r="AS406" s="1">
        <v>0</v>
      </c>
      <c r="AT406" s="1">
        <f t="shared" si="42"/>
        <v>88643558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11586248</v>
      </c>
      <c r="G407" s="1">
        <v>2293657</v>
      </c>
      <c r="H407" s="1">
        <v>0</v>
      </c>
      <c r="I407" s="1">
        <v>9407935</v>
      </c>
      <c r="J407" s="1">
        <v>0</v>
      </c>
      <c r="K407" s="1">
        <v>4620000</v>
      </c>
      <c r="L407" s="1">
        <v>0</v>
      </c>
      <c r="M407" s="1">
        <v>400000</v>
      </c>
      <c r="N407" s="1">
        <v>2135972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10514095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1525695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4149890</v>
      </c>
      <c r="AM407" s="1">
        <v>0</v>
      </c>
      <c r="AN407" s="1">
        <v>50114761</v>
      </c>
      <c r="AO407" s="1">
        <v>14814268</v>
      </c>
      <c r="AP407" s="1">
        <v>35300493</v>
      </c>
      <c r="AQ407" s="1">
        <v>9546698</v>
      </c>
      <c r="AR407" s="1">
        <v>1432005</v>
      </c>
      <c r="AS407" s="1">
        <v>0</v>
      </c>
      <c r="AT407" s="1">
        <f t="shared" si="42"/>
        <v>61093464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12110638</v>
      </c>
      <c r="G408" s="1">
        <v>2676017</v>
      </c>
      <c r="H408" s="1">
        <v>0</v>
      </c>
      <c r="I408" s="1">
        <v>9300561</v>
      </c>
      <c r="J408" s="1">
        <v>0</v>
      </c>
      <c r="K408" s="1">
        <v>4620000</v>
      </c>
      <c r="L408" s="1">
        <v>0</v>
      </c>
      <c r="M408" s="1">
        <v>400000</v>
      </c>
      <c r="N408" s="1">
        <v>2326058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7625044</v>
      </c>
      <c r="W408" s="1">
        <v>1100000</v>
      </c>
      <c r="X408" s="1">
        <v>1816596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1661470</v>
      </c>
      <c r="AF408" s="1">
        <v>1111269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7753637</v>
      </c>
      <c r="AM408" s="1">
        <v>0</v>
      </c>
      <c r="AN408" s="1">
        <v>53771290</v>
      </c>
      <c r="AO408" s="1">
        <v>9196650</v>
      </c>
      <c r="AP408" s="1">
        <v>44574640</v>
      </c>
      <c r="AQ408" s="1">
        <v>10278004</v>
      </c>
      <c r="AR408" s="1">
        <v>1541701</v>
      </c>
      <c r="AS408" s="1">
        <v>0</v>
      </c>
      <c r="AT408" s="1">
        <f t="shared" si="42"/>
        <v>65590995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11948221</v>
      </c>
      <c r="G409" s="1">
        <v>8006301</v>
      </c>
      <c r="H409" s="1">
        <v>0</v>
      </c>
      <c r="I409" s="1">
        <v>9404887</v>
      </c>
      <c r="J409" s="1">
        <v>0</v>
      </c>
      <c r="K409" s="1">
        <v>3465000</v>
      </c>
      <c r="L409" s="1">
        <v>0</v>
      </c>
      <c r="M409" s="1">
        <v>400000</v>
      </c>
      <c r="N409" s="1">
        <v>2245823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6623174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1604160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3593317</v>
      </c>
      <c r="AM409" s="1">
        <v>0</v>
      </c>
      <c r="AN409" s="1">
        <v>48390883</v>
      </c>
      <c r="AO409" s="1">
        <v>6688238</v>
      </c>
      <c r="AP409" s="1">
        <v>41702645</v>
      </c>
      <c r="AQ409" s="1">
        <v>9678177</v>
      </c>
      <c r="AR409" s="1">
        <v>1451726</v>
      </c>
      <c r="AS409" s="1">
        <v>0</v>
      </c>
      <c r="AT409" s="1">
        <f t="shared" si="42"/>
        <v>59520786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13709722</v>
      </c>
      <c r="G410" s="1">
        <v>1914453</v>
      </c>
      <c r="H410" s="1">
        <v>0</v>
      </c>
      <c r="I410" s="1">
        <v>11538278</v>
      </c>
      <c r="J410" s="1">
        <v>0</v>
      </c>
      <c r="K410" s="1">
        <v>4620000</v>
      </c>
      <c r="L410" s="1">
        <v>0</v>
      </c>
      <c r="M410" s="1">
        <v>400000</v>
      </c>
      <c r="N410" s="1">
        <v>2697705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8182562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1926932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5703718</v>
      </c>
      <c r="AM410" s="1">
        <v>0</v>
      </c>
      <c r="AN410" s="1">
        <v>51793370</v>
      </c>
      <c r="AO410" s="1">
        <v>12908574</v>
      </c>
      <c r="AP410" s="1">
        <v>38884796</v>
      </c>
      <c r="AQ410" s="1">
        <v>10358674</v>
      </c>
      <c r="AR410" s="1">
        <v>1553801</v>
      </c>
      <c r="AS410" s="1">
        <v>0</v>
      </c>
      <c r="AT410" s="1">
        <f t="shared" si="42"/>
        <v>63705845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11620101</v>
      </c>
      <c r="G411" s="1">
        <v>1980512</v>
      </c>
      <c r="H411" s="1">
        <v>0</v>
      </c>
      <c r="I411" s="1">
        <v>8961235</v>
      </c>
      <c r="J411" s="1">
        <v>0</v>
      </c>
      <c r="K411" s="1">
        <v>3465000</v>
      </c>
      <c r="L411" s="1">
        <v>0</v>
      </c>
      <c r="M411" s="1">
        <v>400000</v>
      </c>
      <c r="N411" s="1">
        <v>2145576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7255633</v>
      </c>
      <c r="W411" s="1">
        <v>1100000</v>
      </c>
      <c r="X411" s="1">
        <v>1743015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1532554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7286766</v>
      </c>
      <c r="AM411" s="1">
        <v>0</v>
      </c>
      <c r="AN411" s="1">
        <v>48760392</v>
      </c>
      <c r="AO411" s="1">
        <v>5898386</v>
      </c>
      <c r="AP411" s="1">
        <v>42862006</v>
      </c>
      <c r="AQ411" s="1">
        <v>9498078</v>
      </c>
      <c r="AR411" s="1">
        <v>1424712</v>
      </c>
      <c r="AS411" s="1">
        <v>0</v>
      </c>
      <c r="AT411" s="1">
        <f t="shared" si="42"/>
        <v>59683182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12219514</v>
      </c>
      <c r="G412" s="1">
        <v>5300926</v>
      </c>
      <c r="H412" s="1">
        <v>0</v>
      </c>
      <c r="I412" s="1">
        <v>9932477</v>
      </c>
      <c r="J412" s="1">
        <v>0</v>
      </c>
      <c r="K412" s="1">
        <v>3465000</v>
      </c>
      <c r="L412" s="1">
        <v>0</v>
      </c>
      <c r="M412" s="1">
        <v>400000</v>
      </c>
      <c r="N412" s="1">
        <v>2372960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7996478</v>
      </c>
      <c r="W412" s="1">
        <v>1100000</v>
      </c>
      <c r="X412" s="1">
        <v>1832927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1694971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8547370</v>
      </c>
      <c r="AM412" s="1">
        <v>0</v>
      </c>
      <c r="AN412" s="1">
        <v>56132623</v>
      </c>
      <c r="AO412" s="1">
        <v>12248387</v>
      </c>
      <c r="AP412" s="1">
        <v>43884236</v>
      </c>
      <c r="AQ412" s="1">
        <v>10972525</v>
      </c>
      <c r="AR412" s="1">
        <v>1645879</v>
      </c>
      <c r="AS412" s="1">
        <v>0</v>
      </c>
      <c r="AT412" s="1">
        <f t="shared" si="42"/>
        <v>68751027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11720036</v>
      </c>
      <c r="G413" s="1">
        <v>0</v>
      </c>
      <c r="H413" s="1">
        <v>0</v>
      </c>
      <c r="I413" s="1">
        <v>10141658</v>
      </c>
      <c r="J413" s="1">
        <v>0</v>
      </c>
      <c r="K413" s="1">
        <v>4620000</v>
      </c>
      <c r="L413" s="1">
        <v>0</v>
      </c>
      <c r="M413" s="1">
        <v>400000</v>
      </c>
      <c r="N413" s="1">
        <v>2194025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11074740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1567161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5140287</v>
      </c>
      <c r="AM413" s="1">
        <v>0</v>
      </c>
      <c r="AN413" s="1">
        <v>47957907</v>
      </c>
      <c r="AO413" s="1">
        <v>14963341</v>
      </c>
      <c r="AP413" s="1">
        <v>32994566</v>
      </c>
      <c r="AQ413" s="1">
        <v>9591581</v>
      </c>
      <c r="AR413" s="1">
        <v>1438737</v>
      </c>
      <c r="AS413" s="1">
        <v>0</v>
      </c>
      <c r="AT413" s="1">
        <f t="shared" si="42"/>
        <v>58988225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10468284</v>
      </c>
      <c r="G414" s="1">
        <v>4385287</v>
      </c>
      <c r="H414" s="1">
        <v>0</v>
      </c>
      <c r="I414" s="1">
        <v>7840759</v>
      </c>
      <c r="J414" s="1">
        <v>0</v>
      </c>
      <c r="K414" s="1">
        <v>4620000</v>
      </c>
      <c r="L414" s="1">
        <v>0</v>
      </c>
      <c r="M414" s="1">
        <v>400000</v>
      </c>
      <c r="N414" s="1">
        <v>1748240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12250960</v>
      </c>
      <c r="W414" s="1">
        <v>1100000</v>
      </c>
      <c r="X414" s="1">
        <v>877057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1248743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6537065</v>
      </c>
      <c r="AM414" s="1">
        <v>0</v>
      </c>
      <c r="AN414" s="1">
        <v>53857664</v>
      </c>
      <c r="AO414" s="1">
        <v>11405234</v>
      </c>
      <c r="AP414" s="1">
        <v>42452430</v>
      </c>
      <c r="AQ414" s="1">
        <v>10295279</v>
      </c>
      <c r="AR414" s="1">
        <v>1544292</v>
      </c>
      <c r="AS414" s="1">
        <v>0</v>
      </c>
      <c r="AT414" s="1">
        <f t="shared" si="42"/>
        <v>65697235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11132885</v>
      </c>
      <c r="G415" s="1">
        <v>10620515</v>
      </c>
      <c r="H415" s="1">
        <v>0</v>
      </c>
      <c r="I415" s="1">
        <v>8482656</v>
      </c>
      <c r="J415" s="1">
        <v>0</v>
      </c>
      <c r="K415" s="1">
        <v>4620000</v>
      </c>
      <c r="L415" s="1">
        <v>0</v>
      </c>
      <c r="M415" s="1">
        <v>400000</v>
      </c>
      <c r="N415" s="1">
        <v>1987400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10028682</v>
      </c>
      <c r="W415" s="1">
        <v>1100000</v>
      </c>
      <c r="X415" s="1">
        <v>1669933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1419571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8563887</v>
      </c>
      <c r="AM415" s="1">
        <v>0</v>
      </c>
      <c r="AN415" s="1">
        <v>61295529</v>
      </c>
      <c r="AO415" s="1">
        <v>14612367</v>
      </c>
      <c r="AP415" s="1">
        <v>46683162</v>
      </c>
      <c r="AQ415" s="1">
        <v>12005106</v>
      </c>
      <c r="AR415" s="1">
        <v>1800766</v>
      </c>
      <c r="AS415" s="1">
        <v>0</v>
      </c>
      <c r="AT415" s="1">
        <f t="shared" si="42"/>
        <v>75101401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11819359</v>
      </c>
      <c r="G416" s="1">
        <v>9959122</v>
      </c>
      <c r="H416" s="1">
        <v>0</v>
      </c>
      <c r="I416" s="1">
        <v>9297692</v>
      </c>
      <c r="J416" s="1">
        <v>0</v>
      </c>
      <c r="K416" s="1">
        <v>4620000</v>
      </c>
      <c r="L416" s="1">
        <v>0</v>
      </c>
      <c r="M416" s="1">
        <v>400000</v>
      </c>
      <c r="N416" s="1">
        <v>2221304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7511697</v>
      </c>
      <c r="W416" s="1">
        <v>1100000</v>
      </c>
      <c r="X416" s="1">
        <v>1757492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1586645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7734552</v>
      </c>
      <c r="AM416" s="1">
        <v>0</v>
      </c>
      <c r="AN416" s="1">
        <v>59277863</v>
      </c>
      <c r="AO416" s="1">
        <v>11511957</v>
      </c>
      <c r="AP416" s="1">
        <v>47765906</v>
      </c>
      <c r="AQ416" s="1">
        <v>11601573</v>
      </c>
      <c r="AR416" s="1">
        <v>1740236</v>
      </c>
      <c r="AS416" s="1">
        <v>0</v>
      </c>
      <c r="AT416" s="1">
        <f t="shared" si="42"/>
        <v>72619672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14460459</v>
      </c>
      <c r="G417" s="1">
        <v>2727055</v>
      </c>
      <c r="H417" s="1">
        <v>0</v>
      </c>
      <c r="I417" s="1">
        <v>10986301</v>
      </c>
      <c r="J417" s="1">
        <v>0</v>
      </c>
      <c r="K417" s="1">
        <v>5500000</v>
      </c>
      <c r="L417" s="1">
        <v>0</v>
      </c>
      <c r="M417" s="1">
        <v>400000</v>
      </c>
      <c r="N417" s="1">
        <v>2306360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16130970</v>
      </c>
      <c r="W417" s="1">
        <v>1100000</v>
      </c>
      <c r="X417" s="1">
        <v>2169069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1647400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7896521</v>
      </c>
      <c r="AM417" s="1">
        <v>0</v>
      </c>
      <c r="AN417" s="1">
        <v>66594135</v>
      </c>
      <c r="AO417" s="1">
        <v>14684455</v>
      </c>
      <c r="AP417" s="1">
        <v>51909680</v>
      </c>
      <c r="AQ417" s="1">
        <v>13064827</v>
      </c>
      <c r="AR417" s="1">
        <v>1959724</v>
      </c>
      <c r="AS417" s="1">
        <v>0</v>
      </c>
      <c r="AT417" s="1">
        <f t="shared" si="42"/>
        <v>81618686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11988074</v>
      </c>
      <c r="G418" s="1">
        <v>5043845</v>
      </c>
      <c r="H418" s="1">
        <v>0</v>
      </c>
      <c r="I418" s="1">
        <v>9278644</v>
      </c>
      <c r="J418" s="1">
        <v>0</v>
      </c>
      <c r="K418" s="1">
        <v>4620000</v>
      </c>
      <c r="L418" s="1">
        <v>0</v>
      </c>
      <c r="M418" s="1">
        <v>400000</v>
      </c>
      <c r="N418" s="1">
        <v>2282786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7608670</v>
      </c>
      <c r="W418" s="1">
        <v>1100000</v>
      </c>
      <c r="X418" s="1">
        <v>1780181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1630562</v>
      </c>
      <c r="AF418" s="1">
        <v>1111269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7901106</v>
      </c>
      <c r="AM418" s="1">
        <v>0</v>
      </c>
      <c r="AN418" s="1">
        <v>56015137</v>
      </c>
      <c r="AO418" s="1">
        <v>12735617</v>
      </c>
      <c r="AP418" s="1">
        <v>43279520</v>
      </c>
      <c r="AQ418" s="1">
        <v>10726774</v>
      </c>
      <c r="AR418" s="1">
        <v>1609016</v>
      </c>
      <c r="AS418" s="1">
        <v>0</v>
      </c>
      <c r="AT418" s="1">
        <f t="shared" si="42"/>
        <v>68350927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11521691</v>
      </c>
      <c r="G419" s="1">
        <v>7008909</v>
      </c>
      <c r="H419" s="1">
        <v>0</v>
      </c>
      <c r="I419" s="1">
        <v>8247962</v>
      </c>
      <c r="J419" s="1">
        <v>0</v>
      </c>
      <c r="K419" s="1">
        <v>3465000</v>
      </c>
      <c r="L419" s="1">
        <v>0</v>
      </c>
      <c r="M419" s="1">
        <v>400000</v>
      </c>
      <c r="N419" s="1">
        <v>2097286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9988716</v>
      </c>
      <c r="W419" s="1">
        <v>1100000</v>
      </c>
      <c r="X419" s="1">
        <v>0</v>
      </c>
      <c r="Y419" s="1">
        <v>5451374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1498062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2247092</v>
      </c>
      <c r="AM419" s="1">
        <v>0</v>
      </c>
      <c r="AN419" s="1">
        <v>53026092</v>
      </c>
      <c r="AO419" s="1">
        <v>9159048</v>
      </c>
      <c r="AP419" s="1">
        <v>43867044</v>
      </c>
      <c r="AQ419" s="1">
        <v>10605218</v>
      </c>
      <c r="AR419" s="1">
        <v>1590783</v>
      </c>
      <c r="AS419" s="1">
        <v>0</v>
      </c>
      <c r="AT419" s="1">
        <f t="shared" si="42"/>
        <v>65222093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11754117</v>
      </c>
      <c r="G420" s="1">
        <v>4999649</v>
      </c>
      <c r="H420" s="1">
        <v>0</v>
      </c>
      <c r="I420" s="1">
        <v>9749156</v>
      </c>
      <c r="J420" s="1">
        <v>0</v>
      </c>
      <c r="K420" s="1">
        <v>4620000</v>
      </c>
      <c r="L420" s="1">
        <v>0</v>
      </c>
      <c r="M420" s="1">
        <v>400000</v>
      </c>
      <c r="N420" s="1">
        <v>2223168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11661857</v>
      </c>
      <c r="W420" s="1">
        <v>1100000</v>
      </c>
      <c r="X420" s="1">
        <v>1763118</v>
      </c>
      <c r="Y420" s="1">
        <v>9332678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1587976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8734800</v>
      </c>
      <c r="AM420" s="1">
        <v>0</v>
      </c>
      <c r="AN420" s="1">
        <v>69196519</v>
      </c>
      <c r="AO420" s="1">
        <v>9001655</v>
      </c>
      <c r="AP420" s="1">
        <v>60194864</v>
      </c>
      <c r="AQ420" s="1">
        <v>13585304</v>
      </c>
      <c r="AR420" s="1">
        <v>2037796</v>
      </c>
      <c r="AS420" s="1">
        <v>0</v>
      </c>
      <c r="AT420" s="1">
        <f t="shared" si="42"/>
        <v>84819619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10955329</v>
      </c>
      <c r="G421" s="1">
        <v>2423129</v>
      </c>
      <c r="H421" s="1">
        <v>0</v>
      </c>
      <c r="I421" s="1">
        <v>8158038</v>
      </c>
      <c r="J421" s="1">
        <v>0</v>
      </c>
      <c r="K421" s="1">
        <v>4620000</v>
      </c>
      <c r="L421" s="1">
        <v>0</v>
      </c>
      <c r="M421" s="1">
        <v>400000</v>
      </c>
      <c r="N421" s="1">
        <v>1904859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6904463</v>
      </c>
      <c r="W421" s="1">
        <v>1100000</v>
      </c>
      <c r="X421" s="1">
        <v>1346183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1360614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7640563</v>
      </c>
      <c r="AM421" s="1">
        <v>0</v>
      </c>
      <c r="AN421" s="1">
        <v>48083178</v>
      </c>
      <c r="AO421" s="1">
        <v>9407603</v>
      </c>
      <c r="AP421" s="1">
        <v>38675575</v>
      </c>
      <c r="AQ421" s="1">
        <v>9362636</v>
      </c>
      <c r="AR421" s="1">
        <v>1404395</v>
      </c>
      <c r="AS421" s="1">
        <v>0</v>
      </c>
      <c r="AT421" s="1">
        <f t="shared" si="42"/>
        <v>58850209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15187743</v>
      </c>
      <c r="G422" s="1">
        <v>0</v>
      </c>
      <c r="H422" s="1">
        <v>0</v>
      </c>
      <c r="I422" s="1">
        <v>11600662</v>
      </c>
      <c r="J422" s="1">
        <v>0</v>
      </c>
      <c r="K422" s="1">
        <v>5500000</v>
      </c>
      <c r="L422" s="1">
        <v>0</v>
      </c>
      <c r="M422" s="1">
        <v>400000</v>
      </c>
      <c r="N422" s="1">
        <v>2546585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12343045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1818989</v>
      </c>
      <c r="AF422" s="1">
        <v>2222538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4365574</v>
      </c>
      <c r="AM422" s="1">
        <v>0</v>
      </c>
      <c r="AN422" s="1">
        <v>58355136</v>
      </c>
      <c r="AO422" s="1">
        <v>8733170</v>
      </c>
      <c r="AP422" s="1">
        <v>49621966</v>
      </c>
      <c r="AQ422" s="1">
        <v>10972520</v>
      </c>
      <c r="AR422" s="1">
        <v>1645878</v>
      </c>
      <c r="AS422" s="1">
        <v>0</v>
      </c>
      <c r="AT422" s="1">
        <f t="shared" si="42"/>
        <v>70973534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11732227</v>
      </c>
      <c r="G423" s="1">
        <v>2552055</v>
      </c>
      <c r="H423" s="1">
        <v>0</v>
      </c>
      <c r="I423" s="1">
        <v>8747769</v>
      </c>
      <c r="J423" s="1">
        <v>0</v>
      </c>
      <c r="K423" s="1">
        <v>4620000</v>
      </c>
      <c r="L423" s="1">
        <v>0</v>
      </c>
      <c r="M423" s="1">
        <v>400000</v>
      </c>
      <c r="N423" s="1">
        <v>2185194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7271825</v>
      </c>
      <c r="W423" s="1">
        <v>1100000</v>
      </c>
      <c r="X423" s="1">
        <v>1759834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1560853</v>
      </c>
      <c r="AF423" s="1">
        <v>1111269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7390584</v>
      </c>
      <c r="AM423" s="1">
        <v>0</v>
      </c>
      <c r="AN423" s="1">
        <v>51701610</v>
      </c>
      <c r="AO423" s="1">
        <v>9802944</v>
      </c>
      <c r="AP423" s="1">
        <v>41898666</v>
      </c>
      <c r="AQ423" s="1">
        <v>9864068</v>
      </c>
      <c r="AR423" s="1">
        <v>1479610</v>
      </c>
      <c r="AS423" s="1">
        <v>0</v>
      </c>
      <c r="AT423" s="1">
        <f t="shared" si="42"/>
        <v>63045288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14956101</v>
      </c>
      <c r="G424" s="1">
        <v>6942711</v>
      </c>
      <c r="H424" s="1">
        <v>0</v>
      </c>
      <c r="I424" s="1">
        <v>11061688</v>
      </c>
      <c r="J424" s="1">
        <v>0</v>
      </c>
      <c r="K424" s="1">
        <v>5500000</v>
      </c>
      <c r="L424" s="1">
        <v>0</v>
      </c>
      <c r="M424" s="1">
        <v>400000</v>
      </c>
      <c r="N424" s="1">
        <v>2463581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14198627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1759701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3167461</v>
      </c>
      <c r="AM424" s="1">
        <v>0</v>
      </c>
      <c r="AN424" s="1">
        <v>62819870</v>
      </c>
      <c r="AO424" s="1">
        <v>9460379</v>
      </c>
      <c r="AP424" s="1">
        <v>53359491</v>
      </c>
      <c r="AQ424" s="1">
        <v>12309974</v>
      </c>
      <c r="AR424" s="1">
        <v>1846496</v>
      </c>
      <c r="AS424" s="1">
        <v>0</v>
      </c>
      <c r="AT424" s="1">
        <f t="shared" si="42"/>
        <v>76976340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15078532</v>
      </c>
      <c r="G425" s="1">
        <v>7283169</v>
      </c>
      <c r="H425" s="1">
        <v>0</v>
      </c>
      <c r="I425" s="1">
        <v>11004646</v>
      </c>
      <c r="J425" s="1">
        <v>0</v>
      </c>
      <c r="K425" s="1">
        <v>5500000</v>
      </c>
      <c r="L425" s="1">
        <v>0</v>
      </c>
      <c r="M425" s="1">
        <v>400000</v>
      </c>
      <c r="N425" s="1">
        <v>2466763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7782248</v>
      </c>
      <c r="W425" s="1">
        <v>1100000</v>
      </c>
      <c r="X425" s="1">
        <v>2261780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1761973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3523947</v>
      </c>
      <c r="AM425" s="1">
        <v>0</v>
      </c>
      <c r="AN425" s="1">
        <v>58163058</v>
      </c>
      <c r="AO425" s="1">
        <v>15007209</v>
      </c>
      <c r="AP425" s="1">
        <v>43155849</v>
      </c>
      <c r="AQ425" s="1">
        <v>11632612</v>
      </c>
      <c r="AR425" s="1">
        <v>1744892</v>
      </c>
      <c r="AS425" s="1">
        <v>0</v>
      </c>
      <c r="AT425" s="1">
        <f t="shared" si="42"/>
        <v>71540562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11416399</v>
      </c>
      <c r="G426" s="1">
        <v>2246410</v>
      </c>
      <c r="H426" s="1">
        <v>0</v>
      </c>
      <c r="I426" s="1">
        <v>9214143</v>
      </c>
      <c r="J426" s="1">
        <v>0</v>
      </c>
      <c r="K426" s="1">
        <v>3465000</v>
      </c>
      <c r="L426" s="1">
        <v>0</v>
      </c>
      <c r="M426" s="1">
        <v>400000</v>
      </c>
      <c r="N426" s="1">
        <v>2073158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10297518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1480827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4027849</v>
      </c>
      <c r="AM426" s="1">
        <v>0</v>
      </c>
      <c r="AN426" s="1">
        <v>45721304</v>
      </c>
      <c r="AO426" s="1">
        <v>14181808</v>
      </c>
      <c r="AP426" s="1">
        <v>31539496</v>
      </c>
      <c r="AQ426" s="1">
        <v>9144261</v>
      </c>
      <c r="AR426" s="1">
        <v>1371639</v>
      </c>
      <c r="AS426" s="1">
        <v>0</v>
      </c>
      <c r="AT426" s="1">
        <f t="shared" si="42"/>
        <v>56237204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12054745</v>
      </c>
      <c r="G427" s="1">
        <v>620324</v>
      </c>
      <c r="H427" s="1">
        <v>0</v>
      </c>
      <c r="I427" s="1">
        <v>9786897</v>
      </c>
      <c r="J427" s="1">
        <v>0</v>
      </c>
      <c r="K427" s="1">
        <v>3465000</v>
      </c>
      <c r="L427" s="1">
        <v>0</v>
      </c>
      <c r="M427" s="1">
        <v>400000</v>
      </c>
      <c r="N427" s="1">
        <v>2314167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7953973</v>
      </c>
      <c r="W427" s="1">
        <v>1100000</v>
      </c>
      <c r="X427" s="1">
        <v>620324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1652977</v>
      </c>
      <c r="AF427" s="1">
        <v>3333807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8773710</v>
      </c>
      <c r="AM427" s="1">
        <v>0</v>
      </c>
      <c r="AN427" s="1">
        <v>53345924</v>
      </c>
      <c r="AO427" s="1">
        <v>10852685</v>
      </c>
      <c r="AP427" s="1">
        <v>42493239</v>
      </c>
      <c r="AQ427" s="1">
        <v>9748423</v>
      </c>
      <c r="AR427" s="1">
        <v>1462264</v>
      </c>
      <c r="AS427" s="1">
        <v>0</v>
      </c>
      <c r="AT427" s="1">
        <f t="shared" si="42"/>
        <v>64556611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11878000</v>
      </c>
      <c r="G428" s="1">
        <v>5055368</v>
      </c>
      <c r="H428" s="1">
        <v>0</v>
      </c>
      <c r="I428" s="1">
        <v>9787622</v>
      </c>
      <c r="J428" s="1">
        <v>0</v>
      </c>
      <c r="K428" s="1">
        <v>3465000</v>
      </c>
      <c r="L428" s="1">
        <v>0</v>
      </c>
      <c r="M428" s="1">
        <v>400000</v>
      </c>
      <c r="N428" s="1">
        <v>2268772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11138528</v>
      </c>
      <c r="W428" s="1">
        <v>1100000</v>
      </c>
      <c r="X428" s="1">
        <v>1781700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1620552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9527031</v>
      </c>
      <c r="AM428" s="1">
        <v>0</v>
      </c>
      <c r="AN428" s="1">
        <v>59292573</v>
      </c>
      <c r="AO428" s="1">
        <v>11685284</v>
      </c>
      <c r="AP428" s="1">
        <v>47607289</v>
      </c>
      <c r="AQ428" s="1">
        <v>11604515</v>
      </c>
      <c r="AR428" s="1">
        <v>1740677</v>
      </c>
      <c r="AS428" s="1">
        <v>0</v>
      </c>
      <c r="AT428" s="1">
        <f t="shared" si="42"/>
        <v>72637765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12226614</v>
      </c>
      <c r="G429" s="1">
        <v>12209416</v>
      </c>
      <c r="H429" s="1">
        <v>0</v>
      </c>
      <c r="I429" s="1">
        <v>11042359</v>
      </c>
      <c r="J429" s="1">
        <v>0</v>
      </c>
      <c r="K429" s="1">
        <v>4620000</v>
      </c>
      <c r="L429" s="1">
        <v>0</v>
      </c>
      <c r="M429" s="1">
        <v>400000</v>
      </c>
      <c r="N429" s="1">
        <v>2404633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11868130</v>
      </c>
      <c r="W429" s="1">
        <v>1100000</v>
      </c>
      <c r="X429" s="1">
        <v>1795502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1717595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9988735</v>
      </c>
      <c r="AM429" s="1">
        <v>0</v>
      </c>
      <c r="AN429" s="1">
        <v>71754253</v>
      </c>
      <c r="AO429" s="1">
        <v>10985789</v>
      </c>
      <c r="AP429" s="1">
        <v>60768464</v>
      </c>
      <c r="AQ429" s="1">
        <v>13874597</v>
      </c>
      <c r="AR429" s="1">
        <v>2081190</v>
      </c>
      <c r="AS429" s="1">
        <v>0</v>
      </c>
      <c r="AT429" s="1">
        <f t="shared" si="42"/>
        <v>87710040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11414881</v>
      </c>
      <c r="G430" s="1">
        <v>4442837</v>
      </c>
      <c r="H430" s="1">
        <v>0</v>
      </c>
      <c r="I430" s="1">
        <v>9080511</v>
      </c>
      <c r="J430" s="1">
        <v>0</v>
      </c>
      <c r="K430" s="1">
        <v>4620000</v>
      </c>
      <c r="L430" s="1">
        <v>0</v>
      </c>
      <c r="M430" s="1">
        <v>400000</v>
      </c>
      <c r="N430" s="1">
        <v>2094706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11103294</v>
      </c>
      <c r="W430" s="1">
        <v>1100000</v>
      </c>
      <c r="X430" s="1">
        <v>1712232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1496219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8332060</v>
      </c>
      <c r="AM430" s="1">
        <v>0</v>
      </c>
      <c r="AN430" s="1">
        <v>57066740</v>
      </c>
      <c r="AO430" s="1">
        <v>10023852</v>
      </c>
      <c r="AP430" s="1">
        <v>47042888</v>
      </c>
      <c r="AQ430" s="1">
        <v>11159348</v>
      </c>
      <c r="AR430" s="1">
        <v>1673902</v>
      </c>
      <c r="AS430" s="1">
        <v>0</v>
      </c>
      <c r="AT430" s="1">
        <f t="shared" si="42"/>
        <v>69899990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11518178</v>
      </c>
      <c r="G431" s="1">
        <v>2325087</v>
      </c>
      <c r="H431" s="1">
        <v>0</v>
      </c>
      <c r="I431" s="1">
        <v>8973444</v>
      </c>
      <c r="J431" s="1">
        <v>0</v>
      </c>
      <c r="K431" s="1">
        <v>4620000</v>
      </c>
      <c r="L431" s="1">
        <v>0</v>
      </c>
      <c r="M431" s="1">
        <v>400000</v>
      </c>
      <c r="N431" s="1">
        <v>2114581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7453241</v>
      </c>
      <c r="W431" s="1">
        <v>1100000</v>
      </c>
      <c r="X431" s="1">
        <v>1727727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1510414</v>
      </c>
      <c r="AF431" s="1">
        <v>1111269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8288781</v>
      </c>
      <c r="AM431" s="1">
        <v>0</v>
      </c>
      <c r="AN431" s="1">
        <v>51142722</v>
      </c>
      <c r="AO431" s="1">
        <v>11016982</v>
      </c>
      <c r="AP431" s="1">
        <v>40125740</v>
      </c>
      <c r="AQ431" s="1">
        <v>10006291</v>
      </c>
      <c r="AR431" s="1">
        <v>1500944</v>
      </c>
      <c r="AS431" s="1">
        <v>0</v>
      </c>
      <c r="AT431" s="1">
        <f t="shared" si="42"/>
        <v>62649957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13152243</v>
      </c>
      <c r="G432" s="1">
        <v>9570876</v>
      </c>
      <c r="H432" s="1">
        <v>0</v>
      </c>
      <c r="I432" s="1">
        <v>11747654</v>
      </c>
      <c r="J432" s="1">
        <v>0</v>
      </c>
      <c r="K432" s="1">
        <v>4620000</v>
      </c>
      <c r="L432" s="1">
        <v>0</v>
      </c>
      <c r="M432" s="1">
        <v>400000</v>
      </c>
      <c r="N432" s="1">
        <v>2534040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12652547</v>
      </c>
      <c r="W432" s="1">
        <v>1100000</v>
      </c>
      <c r="X432" s="1">
        <v>1972836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1810028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10606577</v>
      </c>
      <c r="AM432" s="1">
        <v>0</v>
      </c>
      <c r="AN432" s="1">
        <v>71436801</v>
      </c>
      <c r="AO432" s="1">
        <v>13738929</v>
      </c>
      <c r="AP432" s="1">
        <v>57697872</v>
      </c>
      <c r="AQ432" s="1">
        <v>14033360</v>
      </c>
      <c r="AR432" s="1">
        <v>2105004</v>
      </c>
      <c r="AS432" s="1">
        <v>0</v>
      </c>
      <c r="AT432" s="1">
        <f t="shared" si="42"/>
        <v>87575165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12141186</v>
      </c>
      <c r="G433" s="1">
        <v>6507656</v>
      </c>
      <c r="H433" s="1">
        <v>0</v>
      </c>
      <c r="I433" s="1">
        <v>9836047</v>
      </c>
      <c r="J433" s="1">
        <v>0</v>
      </c>
      <c r="K433" s="1">
        <v>4620000</v>
      </c>
      <c r="L433" s="1">
        <v>0</v>
      </c>
      <c r="M433" s="1">
        <v>400000</v>
      </c>
      <c r="N433" s="1">
        <v>2353777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13635088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1681270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4976557</v>
      </c>
      <c r="AM433" s="1">
        <v>0</v>
      </c>
      <c r="AN433" s="1">
        <v>57251581</v>
      </c>
      <c r="AO433" s="1">
        <v>16067261</v>
      </c>
      <c r="AP433" s="1">
        <v>41184320</v>
      </c>
      <c r="AQ433" s="1">
        <v>11450316</v>
      </c>
      <c r="AR433" s="1">
        <v>1717547</v>
      </c>
      <c r="AS433" s="1">
        <v>0</v>
      </c>
      <c r="AT433" s="1">
        <f t="shared" si="42"/>
        <v>70419444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15540024</v>
      </c>
      <c r="G434" s="1">
        <v>7716433</v>
      </c>
      <c r="H434" s="1">
        <v>0</v>
      </c>
      <c r="I434" s="1">
        <v>11997270</v>
      </c>
      <c r="J434" s="1">
        <v>0</v>
      </c>
      <c r="K434" s="1">
        <v>4125000</v>
      </c>
      <c r="L434" s="1">
        <v>0</v>
      </c>
      <c r="M434" s="1">
        <v>400000</v>
      </c>
      <c r="N434" s="1">
        <v>2644539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8245201</v>
      </c>
      <c r="W434" s="1">
        <v>1100000</v>
      </c>
      <c r="X434" s="1">
        <v>2331004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1888956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3777912</v>
      </c>
      <c r="AM434" s="1">
        <v>0</v>
      </c>
      <c r="AN434" s="1">
        <v>59766339</v>
      </c>
      <c r="AO434" s="1">
        <v>9814006</v>
      </c>
      <c r="AP434" s="1">
        <v>49952333</v>
      </c>
      <c r="AQ434" s="1">
        <v>11953268</v>
      </c>
      <c r="AR434" s="1">
        <v>1792990</v>
      </c>
      <c r="AS434" s="1">
        <v>0</v>
      </c>
      <c r="AT434" s="1">
        <f t="shared" si="42"/>
        <v>73512597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11894347</v>
      </c>
      <c r="G435" s="1">
        <v>5964509</v>
      </c>
      <c r="H435" s="1">
        <v>0</v>
      </c>
      <c r="I435" s="1">
        <v>9349324</v>
      </c>
      <c r="J435" s="1">
        <v>0</v>
      </c>
      <c r="K435" s="1">
        <v>4620000</v>
      </c>
      <c r="L435" s="1">
        <v>0</v>
      </c>
      <c r="M435" s="1">
        <v>400000</v>
      </c>
      <c r="N435" s="1">
        <v>2260273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13154807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1614481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4778864</v>
      </c>
      <c r="AM435" s="1">
        <v>0</v>
      </c>
      <c r="AN435" s="1">
        <v>56406605</v>
      </c>
      <c r="AO435" s="1">
        <v>11703615</v>
      </c>
      <c r="AP435" s="1">
        <v>44702990</v>
      </c>
      <c r="AQ435" s="1">
        <v>11027321</v>
      </c>
      <c r="AR435" s="1">
        <v>1654098</v>
      </c>
      <c r="AS435" s="1">
        <v>0</v>
      </c>
      <c r="AT435" s="1">
        <f t="shared" si="42"/>
        <v>69088024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15673434</v>
      </c>
      <c r="G436" s="1">
        <v>14965539</v>
      </c>
      <c r="H436" s="1">
        <v>0</v>
      </c>
      <c r="I436" s="1">
        <v>11740033</v>
      </c>
      <c r="J436" s="1">
        <v>0</v>
      </c>
      <c r="K436" s="1">
        <v>5500000</v>
      </c>
      <c r="L436" s="1">
        <v>0</v>
      </c>
      <c r="M436" s="1">
        <v>400000</v>
      </c>
      <c r="N436" s="1">
        <v>2730901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1270000</v>
      </c>
      <c r="U436" s="1">
        <v>0</v>
      </c>
      <c r="V436" s="1">
        <v>9360616</v>
      </c>
      <c r="W436" s="1">
        <v>1100000</v>
      </c>
      <c r="X436" s="1">
        <v>2351015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1950644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8603317</v>
      </c>
      <c r="AM436" s="1">
        <v>0</v>
      </c>
      <c r="AN436" s="1">
        <v>75645499</v>
      </c>
      <c r="AO436" s="1">
        <v>14696787</v>
      </c>
      <c r="AP436" s="1">
        <v>60948712</v>
      </c>
      <c r="AQ436" s="1">
        <v>14875100</v>
      </c>
      <c r="AR436" s="1">
        <v>2231265</v>
      </c>
      <c r="AS436" s="1">
        <v>0</v>
      </c>
      <c r="AT436" s="1">
        <f t="shared" si="42"/>
        <v>92751864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13463717</v>
      </c>
      <c r="G437" s="1">
        <v>10802631</v>
      </c>
      <c r="H437" s="1">
        <v>0</v>
      </c>
      <c r="I437" s="1">
        <v>9803292</v>
      </c>
      <c r="J437" s="1">
        <v>0</v>
      </c>
      <c r="K437" s="1">
        <v>5500000</v>
      </c>
      <c r="L437" s="1">
        <v>0</v>
      </c>
      <c r="M437" s="1">
        <v>400000</v>
      </c>
      <c r="N437" s="1">
        <v>1985336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2865578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1418097</v>
      </c>
      <c r="AF437" s="1">
        <v>2222538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1985336</v>
      </c>
      <c r="AM437" s="1">
        <v>0</v>
      </c>
      <c r="AN437" s="1">
        <v>52816525</v>
      </c>
      <c r="AO437" s="1">
        <v>9777149</v>
      </c>
      <c r="AP437" s="1">
        <v>43039376</v>
      </c>
      <c r="AQ437" s="1">
        <v>9864797</v>
      </c>
      <c r="AR437" s="1">
        <v>1479720</v>
      </c>
      <c r="AS437" s="1">
        <v>0</v>
      </c>
      <c r="AT437" s="1">
        <f t="shared" si="42"/>
        <v>64161042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11892691</v>
      </c>
      <c r="G438" s="1">
        <v>10835609</v>
      </c>
      <c r="H438" s="1">
        <v>0</v>
      </c>
      <c r="I438" s="1">
        <v>9906647</v>
      </c>
      <c r="J438" s="1">
        <v>0</v>
      </c>
      <c r="K438" s="1">
        <v>4620000</v>
      </c>
      <c r="L438" s="1">
        <v>0</v>
      </c>
      <c r="M438" s="1">
        <v>400000</v>
      </c>
      <c r="N438" s="1">
        <v>2275037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11191019</v>
      </c>
      <c r="W438" s="1">
        <v>1100000</v>
      </c>
      <c r="X438" s="1">
        <v>1783904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1625026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9547904</v>
      </c>
      <c r="AM438" s="1">
        <v>0</v>
      </c>
      <c r="AN438" s="1">
        <v>67559106</v>
      </c>
      <c r="AO438" s="1">
        <v>13243004</v>
      </c>
      <c r="AP438" s="1">
        <v>54316102</v>
      </c>
      <c r="AQ438" s="1">
        <v>13035567</v>
      </c>
      <c r="AR438" s="1">
        <v>1955335</v>
      </c>
      <c r="AS438" s="1">
        <v>0</v>
      </c>
      <c r="AT438" s="1">
        <f t="shared" si="42"/>
        <v>82550008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15225542</v>
      </c>
      <c r="G439" s="1">
        <v>7054725</v>
      </c>
      <c r="H439" s="1">
        <v>5031600</v>
      </c>
      <c r="I439" s="1">
        <v>11886624</v>
      </c>
      <c r="J439" s="1">
        <v>0</v>
      </c>
      <c r="K439" s="1">
        <v>5500000</v>
      </c>
      <c r="L439" s="1">
        <v>0</v>
      </c>
      <c r="M439" s="1">
        <v>400000</v>
      </c>
      <c r="N439" s="1">
        <v>2563120</v>
      </c>
      <c r="O439" s="1">
        <v>0</v>
      </c>
      <c r="P439" s="1">
        <v>0</v>
      </c>
      <c r="Q439" s="1">
        <v>0</v>
      </c>
      <c r="R439" s="1">
        <v>0</v>
      </c>
      <c r="S439" s="1">
        <v>1017000</v>
      </c>
      <c r="T439" s="1">
        <v>0</v>
      </c>
      <c r="U439" s="1">
        <v>0</v>
      </c>
      <c r="V439" s="1">
        <v>12475252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1830800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4393920</v>
      </c>
      <c r="AM439" s="1">
        <v>0</v>
      </c>
      <c r="AN439" s="1">
        <v>68478583</v>
      </c>
      <c r="AO439" s="1">
        <v>16244903</v>
      </c>
      <c r="AP439" s="1">
        <v>52233680</v>
      </c>
      <c r="AQ439" s="1">
        <v>12485997</v>
      </c>
      <c r="AR439" s="1">
        <v>1872899</v>
      </c>
      <c r="AS439" s="1">
        <v>0</v>
      </c>
      <c r="AT439" s="1">
        <f t="shared" si="42"/>
        <v>82837479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12099484</v>
      </c>
      <c r="G440" s="1">
        <v>7972446</v>
      </c>
      <c r="H440" s="1">
        <v>0</v>
      </c>
      <c r="I440" s="1">
        <v>10135888</v>
      </c>
      <c r="J440" s="1">
        <v>0</v>
      </c>
      <c r="K440" s="1">
        <v>4620000</v>
      </c>
      <c r="L440" s="1">
        <v>0</v>
      </c>
      <c r="M440" s="1">
        <v>400000</v>
      </c>
      <c r="N440" s="1">
        <v>2352467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11455923</v>
      </c>
      <c r="W440" s="1">
        <v>1100000</v>
      </c>
      <c r="X440" s="1">
        <v>1814923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1680334</v>
      </c>
      <c r="AF440" s="1">
        <v>1111269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9813471</v>
      </c>
      <c r="AM440" s="1">
        <v>0</v>
      </c>
      <c r="AN440" s="1">
        <v>65826205</v>
      </c>
      <c r="AO440" s="1">
        <v>14136321</v>
      </c>
      <c r="AP440" s="1">
        <v>51689884</v>
      </c>
      <c r="AQ440" s="1">
        <v>12688987</v>
      </c>
      <c r="AR440" s="1">
        <v>1903348</v>
      </c>
      <c r="AS440" s="1">
        <v>0</v>
      </c>
      <c r="AT440" s="1">
        <f t="shared" si="42"/>
        <v>80418540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11555472</v>
      </c>
      <c r="G441" s="1">
        <v>2681236</v>
      </c>
      <c r="H441" s="1">
        <v>0</v>
      </c>
      <c r="I441" s="1">
        <v>9666413</v>
      </c>
      <c r="J441" s="1">
        <v>0</v>
      </c>
      <c r="K441" s="1">
        <v>3465000</v>
      </c>
      <c r="L441" s="1">
        <v>0</v>
      </c>
      <c r="M441" s="1">
        <v>400000</v>
      </c>
      <c r="N441" s="1">
        <v>2132124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7639915</v>
      </c>
      <c r="W441" s="1">
        <v>1100000</v>
      </c>
      <c r="X441" s="1">
        <v>1733321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1522946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8340067</v>
      </c>
      <c r="AM441" s="1">
        <v>0</v>
      </c>
      <c r="AN441" s="1">
        <v>51506494</v>
      </c>
      <c r="AO441" s="1">
        <v>10392276</v>
      </c>
      <c r="AP441" s="1">
        <v>41114218</v>
      </c>
      <c r="AQ441" s="1">
        <v>10047299</v>
      </c>
      <c r="AR441" s="1">
        <v>1507095</v>
      </c>
      <c r="AS441" s="1">
        <v>0</v>
      </c>
      <c r="AT441" s="1">
        <f t="shared" si="42"/>
        <v>63060888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14725319</v>
      </c>
      <c r="G442" s="1">
        <v>6984503</v>
      </c>
      <c r="H442" s="1">
        <v>0</v>
      </c>
      <c r="I442" s="1">
        <v>10649223</v>
      </c>
      <c r="J442" s="1">
        <v>0</v>
      </c>
      <c r="K442" s="1">
        <v>5500000</v>
      </c>
      <c r="L442" s="1">
        <v>0</v>
      </c>
      <c r="M442" s="1">
        <v>400000</v>
      </c>
      <c r="N442" s="1">
        <v>2384735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14342959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1703383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4088118</v>
      </c>
      <c r="AM442" s="1">
        <v>0</v>
      </c>
      <c r="AN442" s="1">
        <v>61878240</v>
      </c>
      <c r="AO442" s="1">
        <v>12536959</v>
      </c>
      <c r="AP442" s="1">
        <v>49341281</v>
      </c>
      <c r="AQ442" s="1">
        <v>12375648</v>
      </c>
      <c r="AR442" s="1">
        <v>1856347</v>
      </c>
      <c r="AS442" s="1">
        <v>0</v>
      </c>
      <c r="AT442" s="1">
        <f t="shared" si="42"/>
        <v>76110235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14830179</v>
      </c>
      <c r="G443" s="1">
        <v>9641618</v>
      </c>
      <c r="H443" s="1">
        <v>0</v>
      </c>
      <c r="I443" s="1">
        <v>10883234</v>
      </c>
      <c r="J443" s="1">
        <v>0</v>
      </c>
      <c r="K443" s="1">
        <v>4125000</v>
      </c>
      <c r="L443" s="1">
        <v>0</v>
      </c>
      <c r="M443" s="1">
        <v>400000</v>
      </c>
      <c r="N443" s="1">
        <v>2377911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7726733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1698508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3804657</v>
      </c>
      <c r="AM443" s="1">
        <v>0</v>
      </c>
      <c r="AN443" s="1">
        <v>56587840</v>
      </c>
      <c r="AO443" s="1">
        <v>8758757</v>
      </c>
      <c r="AP443" s="1">
        <v>47829083</v>
      </c>
      <c r="AQ443" s="1">
        <v>11317568</v>
      </c>
      <c r="AR443" s="1">
        <v>1697635</v>
      </c>
      <c r="AS443" s="1">
        <v>0</v>
      </c>
      <c r="AT443" s="1">
        <f t="shared" si="42"/>
        <v>69603043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11441896</v>
      </c>
      <c r="G444" s="1">
        <v>12595115</v>
      </c>
      <c r="H444" s="1">
        <v>0</v>
      </c>
      <c r="I444" s="1">
        <v>8453234</v>
      </c>
      <c r="J444" s="1">
        <v>0</v>
      </c>
      <c r="K444" s="1">
        <v>3465000</v>
      </c>
      <c r="L444" s="1">
        <v>0</v>
      </c>
      <c r="M444" s="1">
        <v>400000</v>
      </c>
      <c r="N444" s="1">
        <v>2081520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11353343</v>
      </c>
      <c r="W444" s="1">
        <v>1100000</v>
      </c>
      <c r="X444" s="1">
        <v>0</v>
      </c>
      <c r="Y444" s="1">
        <v>4478263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1486800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3568320</v>
      </c>
      <c r="AM444" s="1">
        <v>0</v>
      </c>
      <c r="AN444" s="1">
        <v>60423491</v>
      </c>
      <c r="AO444" s="1">
        <v>14269657</v>
      </c>
      <c r="AP444" s="1">
        <v>46153834</v>
      </c>
      <c r="AQ444" s="1">
        <v>12084698</v>
      </c>
      <c r="AR444" s="1">
        <v>1812705</v>
      </c>
      <c r="AS444" s="1">
        <v>0</v>
      </c>
      <c r="AT444" s="1">
        <f t="shared" si="42"/>
        <v>74320894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11752776</v>
      </c>
      <c r="G445" s="1">
        <v>4550011</v>
      </c>
      <c r="H445" s="1">
        <v>0</v>
      </c>
      <c r="I445" s="1">
        <v>8784795</v>
      </c>
      <c r="J445" s="1">
        <v>0</v>
      </c>
      <c r="K445" s="1">
        <v>4620000</v>
      </c>
      <c r="L445" s="1">
        <v>0</v>
      </c>
      <c r="M445" s="1">
        <v>400000</v>
      </c>
      <c r="N445" s="1">
        <v>2192948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7292701</v>
      </c>
      <c r="W445" s="1">
        <v>1100000</v>
      </c>
      <c r="X445" s="1">
        <v>1421878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1566391</v>
      </c>
      <c r="AF445" s="1">
        <v>3333807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7410484</v>
      </c>
      <c r="AM445" s="1">
        <v>0</v>
      </c>
      <c r="AN445" s="1">
        <v>55695791</v>
      </c>
      <c r="AO445" s="1">
        <v>8714834</v>
      </c>
      <c r="AP445" s="1">
        <v>46980957</v>
      </c>
      <c r="AQ445" s="1">
        <v>10218397</v>
      </c>
      <c r="AR445" s="1">
        <v>1532760</v>
      </c>
      <c r="AS445" s="1">
        <v>0</v>
      </c>
      <c r="AT445" s="1">
        <f t="shared" si="42"/>
        <v>67446948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11494788</v>
      </c>
      <c r="G446" s="1">
        <v>20647123</v>
      </c>
      <c r="H446" s="1">
        <v>0</v>
      </c>
      <c r="I446" s="1">
        <v>9850373</v>
      </c>
      <c r="J446" s="1">
        <v>0</v>
      </c>
      <c r="K446" s="1">
        <v>4620000</v>
      </c>
      <c r="L446" s="1">
        <v>0</v>
      </c>
      <c r="M446" s="1">
        <v>400000</v>
      </c>
      <c r="N446" s="1">
        <v>2114252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1270000</v>
      </c>
      <c r="U446" s="1">
        <v>0</v>
      </c>
      <c r="V446" s="1">
        <v>7786577</v>
      </c>
      <c r="W446" s="1">
        <v>1100000</v>
      </c>
      <c r="X446" s="1">
        <v>1724218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1510181</v>
      </c>
      <c r="AF446" s="1">
        <v>1111269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8885086</v>
      </c>
      <c r="AM446" s="1">
        <v>0</v>
      </c>
      <c r="AN446" s="1">
        <v>72513867</v>
      </c>
      <c r="AO446" s="1">
        <v>16042192</v>
      </c>
      <c r="AP446" s="1">
        <v>56471675</v>
      </c>
      <c r="AQ446" s="1">
        <v>14026520</v>
      </c>
      <c r="AR446" s="1">
        <v>2103978</v>
      </c>
      <c r="AS446" s="1">
        <v>0</v>
      </c>
      <c r="AT446" s="1">
        <f t="shared" si="42"/>
        <v>88644365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12907618</v>
      </c>
      <c r="G447" s="1">
        <v>8378030</v>
      </c>
      <c r="H447" s="1">
        <v>0</v>
      </c>
      <c r="I447" s="1">
        <v>10024390</v>
      </c>
      <c r="J447" s="1">
        <v>0</v>
      </c>
      <c r="K447" s="1">
        <v>4620000</v>
      </c>
      <c r="L447" s="1">
        <v>0</v>
      </c>
      <c r="M447" s="1">
        <v>400000</v>
      </c>
      <c r="N447" s="1">
        <v>2419244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8263508</v>
      </c>
      <c r="W447" s="1">
        <v>1100000</v>
      </c>
      <c r="X447" s="1">
        <v>1936143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1728031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8849016</v>
      </c>
      <c r="AM447" s="1">
        <v>0</v>
      </c>
      <c r="AN447" s="1">
        <v>61895980</v>
      </c>
      <c r="AO447" s="1">
        <v>14769721</v>
      </c>
      <c r="AP447" s="1">
        <v>47126259</v>
      </c>
      <c r="AQ447" s="1">
        <v>12125196</v>
      </c>
      <c r="AR447" s="1">
        <v>1818779</v>
      </c>
      <c r="AS447" s="1">
        <v>0</v>
      </c>
      <c r="AT447" s="1">
        <f t="shared" si="42"/>
        <v>75839955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11540087</v>
      </c>
      <c r="G448" s="1">
        <v>16649875</v>
      </c>
      <c r="H448" s="1">
        <v>0</v>
      </c>
      <c r="I448" s="1">
        <v>9226577</v>
      </c>
      <c r="J448" s="1">
        <v>0</v>
      </c>
      <c r="K448" s="1">
        <v>4620000</v>
      </c>
      <c r="L448" s="1">
        <v>0</v>
      </c>
      <c r="M448" s="1">
        <v>400000</v>
      </c>
      <c r="N448" s="1">
        <v>2152374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14069530</v>
      </c>
      <c r="W448" s="1">
        <v>1100000</v>
      </c>
      <c r="X448" s="1">
        <v>1731013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1537409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8074256</v>
      </c>
      <c r="AM448" s="1">
        <v>0</v>
      </c>
      <c r="AN448" s="1">
        <v>72371121</v>
      </c>
      <c r="AO448" s="1">
        <v>15669579</v>
      </c>
      <c r="AP448" s="1">
        <v>56701542</v>
      </c>
      <c r="AQ448" s="1">
        <v>14220224</v>
      </c>
      <c r="AR448" s="1">
        <v>2133034</v>
      </c>
      <c r="AS448" s="1">
        <v>0</v>
      </c>
      <c r="AT448" s="1">
        <f t="shared" si="42"/>
        <v>88724379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11340367</v>
      </c>
      <c r="G449" s="1">
        <v>8306648</v>
      </c>
      <c r="H449" s="1">
        <v>0</v>
      </c>
      <c r="I449" s="1">
        <v>9112872</v>
      </c>
      <c r="J449" s="1">
        <v>0</v>
      </c>
      <c r="K449" s="1">
        <v>3465000</v>
      </c>
      <c r="L449" s="1">
        <v>0</v>
      </c>
      <c r="M449" s="1">
        <v>400000</v>
      </c>
      <c r="N449" s="1">
        <v>2049727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7345539</v>
      </c>
      <c r="W449" s="1">
        <v>1100000</v>
      </c>
      <c r="X449" s="1">
        <v>1701055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1464090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7970073</v>
      </c>
      <c r="AM449" s="1">
        <v>0</v>
      </c>
      <c r="AN449" s="1">
        <v>55525371</v>
      </c>
      <c r="AO449" s="1">
        <v>9753197</v>
      </c>
      <c r="AP449" s="1">
        <v>45772174</v>
      </c>
      <c r="AQ449" s="1">
        <v>10851074</v>
      </c>
      <c r="AR449" s="1">
        <v>1627661</v>
      </c>
      <c r="AS449" s="1">
        <v>0</v>
      </c>
      <c r="AT449" s="1">
        <f t="shared" si="42"/>
        <v>68004106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12295131</v>
      </c>
      <c r="G450" s="1">
        <v>8451247</v>
      </c>
      <c r="H450" s="1">
        <v>0</v>
      </c>
      <c r="I450" s="1">
        <v>10247279</v>
      </c>
      <c r="J450" s="1">
        <v>0</v>
      </c>
      <c r="K450" s="1">
        <v>4620000</v>
      </c>
      <c r="L450" s="1">
        <v>0</v>
      </c>
      <c r="M450" s="1">
        <v>400000</v>
      </c>
      <c r="N450" s="1">
        <v>2198666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8026995</v>
      </c>
      <c r="W450" s="1">
        <v>1100000</v>
      </c>
      <c r="X450" s="1">
        <v>1844270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1570476</v>
      </c>
      <c r="AF450" s="1">
        <v>2222538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8588424</v>
      </c>
      <c r="AM450" s="1">
        <v>0</v>
      </c>
      <c r="AN450" s="1">
        <v>62835026</v>
      </c>
      <c r="AO450" s="1">
        <v>13067981</v>
      </c>
      <c r="AP450" s="1">
        <v>49767045</v>
      </c>
      <c r="AQ450" s="1">
        <v>11868498</v>
      </c>
      <c r="AR450" s="1">
        <v>1780275</v>
      </c>
      <c r="AS450" s="1">
        <v>0</v>
      </c>
      <c r="AT450" s="1">
        <f t="shared" si="42"/>
        <v>76483799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13101173</v>
      </c>
      <c r="G451" s="1">
        <v>4151648</v>
      </c>
      <c r="H451" s="1">
        <v>0</v>
      </c>
      <c r="I451" s="1">
        <v>10741843</v>
      </c>
      <c r="J451" s="1">
        <v>950000</v>
      </c>
      <c r="K451" s="1">
        <v>4125000</v>
      </c>
      <c r="L451" s="1">
        <v>0</v>
      </c>
      <c r="M451" s="1">
        <v>400000</v>
      </c>
      <c r="N451" s="1">
        <v>1858968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2875600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1327834</v>
      </c>
      <c r="AF451" s="1">
        <v>1111269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1726185</v>
      </c>
      <c r="AM451" s="1">
        <v>0</v>
      </c>
      <c r="AN451" s="1">
        <v>43469520</v>
      </c>
      <c r="AO451" s="1">
        <v>11203713</v>
      </c>
      <c r="AP451" s="1">
        <v>32265807</v>
      </c>
      <c r="AQ451" s="1">
        <v>8281650</v>
      </c>
      <c r="AR451" s="1">
        <v>1242248</v>
      </c>
      <c r="AS451" s="1">
        <v>0</v>
      </c>
      <c r="AT451" s="1">
        <f t="shared" ref="AT451:AT514" si="47">AS451+AR451+AQ451+AN451</f>
        <v>52993418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13152407</v>
      </c>
      <c r="G452" s="1">
        <v>231003</v>
      </c>
      <c r="H452" s="1">
        <v>0</v>
      </c>
      <c r="I452" s="1">
        <v>10686951</v>
      </c>
      <c r="J452" s="1">
        <v>0</v>
      </c>
      <c r="K452" s="1">
        <v>4125000</v>
      </c>
      <c r="L452" s="1">
        <v>0</v>
      </c>
      <c r="M452" s="1">
        <v>400000</v>
      </c>
      <c r="N452" s="1">
        <v>1877161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2880043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1340829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1743079</v>
      </c>
      <c r="AM452" s="1">
        <v>0</v>
      </c>
      <c r="AN452" s="1">
        <v>37536473</v>
      </c>
      <c r="AO452" s="1">
        <v>10459833</v>
      </c>
      <c r="AP452" s="1">
        <v>27076640</v>
      </c>
      <c r="AQ452" s="1">
        <v>7507295</v>
      </c>
      <c r="AR452" s="1">
        <v>1126094</v>
      </c>
      <c r="AS452" s="1">
        <v>0</v>
      </c>
      <c r="AT452" s="1">
        <f t="shared" si="47"/>
        <v>46169862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10185474</v>
      </c>
      <c r="G453" s="1">
        <v>40779812</v>
      </c>
      <c r="H453" s="1">
        <v>0</v>
      </c>
      <c r="I453" s="1">
        <v>8555798</v>
      </c>
      <c r="J453" s="1">
        <v>0</v>
      </c>
      <c r="K453" s="1">
        <v>0</v>
      </c>
      <c r="L453" s="1">
        <v>3620700</v>
      </c>
      <c r="M453" s="1">
        <v>400000</v>
      </c>
      <c r="N453" s="1">
        <v>5432253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9297218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696800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81179324</v>
      </c>
      <c r="AO453" s="1">
        <v>15016548</v>
      </c>
      <c r="AP453" s="1">
        <v>66162776</v>
      </c>
      <c r="AQ453" s="1">
        <v>15557766</v>
      </c>
      <c r="AR453" s="1">
        <v>2333665</v>
      </c>
      <c r="AS453" s="1">
        <v>900000</v>
      </c>
      <c r="AT453" s="1">
        <f t="shared" si="47"/>
        <v>99970755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10602293</v>
      </c>
      <c r="G454" s="1">
        <v>44510175</v>
      </c>
      <c r="H454" s="1">
        <v>0</v>
      </c>
      <c r="I454" s="1">
        <v>9223994</v>
      </c>
      <c r="J454" s="1">
        <v>0</v>
      </c>
      <c r="K454" s="1">
        <v>0</v>
      </c>
      <c r="L454" s="1">
        <v>3460800</v>
      </c>
      <c r="M454" s="1">
        <v>400000</v>
      </c>
      <c r="N454" s="1">
        <v>5654557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9674431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766200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85392450</v>
      </c>
      <c r="AO454" s="1">
        <v>16867697</v>
      </c>
      <c r="AP454" s="1">
        <v>68524753</v>
      </c>
      <c r="AQ454" s="1">
        <v>15557766</v>
      </c>
      <c r="AR454" s="1">
        <v>2333665</v>
      </c>
      <c r="AS454" s="1">
        <v>300000</v>
      </c>
      <c r="AT454" s="1">
        <f t="shared" si="47"/>
        <v>103583881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17978985</v>
      </c>
      <c r="G455" s="1">
        <v>412267</v>
      </c>
      <c r="H455" s="1">
        <v>0</v>
      </c>
      <c r="I455" s="1">
        <v>22638561</v>
      </c>
      <c r="J455" s="1">
        <v>0</v>
      </c>
      <c r="K455" s="1">
        <v>5500000</v>
      </c>
      <c r="L455" s="1">
        <v>0</v>
      </c>
      <c r="M455" s="1">
        <v>400000</v>
      </c>
      <c r="N455" s="1">
        <v>2660458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5139955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3180690</v>
      </c>
      <c r="AD455" s="1">
        <v>0</v>
      </c>
      <c r="AE455" s="1">
        <v>1900328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3040524</v>
      </c>
      <c r="AM455" s="1">
        <v>0</v>
      </c>
      <c r="AN455" s="1">
        <v>65063037</v>
      </c>
      <c r="AO455" s="1">
        <v>14208006</v>
      </c>
      <c r="AP455" s="1">
        <v>50855031</v>
      </c>
      <c r="AQ455" s="1">
        <v>12790354</v>
      </c>
      <c r="AR455" s="1">
        <v>1918553</v>
      </c>
      <c r="AS455" s="1">
        <v>0</v>
      </c>
      <c r="AT455" s="1">
        <f t="shared" si="47"/>
        <v>79771944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15406649</v>
      </c>
      <c r="G456" s="1">
        <v>13565637</v>
      </c>
      <c r="H456" s="1">
        <v>0</v>
      </c>
      <c r="I456" s="1">
        <v>11843193</v>
      </c>
      <c r="J456" s="1">
        <v>0</v>
      </c>
      <c r="K456" s="1">
        <v>5500000</v>
      </c>
      <c r="L456" s="1">
        <v>0</v>
      </c>
      <c r="M456" s="1">
        <v>400000</v>
      </c>
      <c r="N456" s="1">
        <v>2599234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8282984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1856596</v>
      </c>
      <c r="AF456" s="1">
        <v>1111269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4307303</v>
      </c>
      <c r="AM456" s="1">
        <v>0</v>
      </c>
      <c r="AN456" s="1">
        <v>65972865</v>
      </c>
      <c r="AO456" s="1">
        <v>11830357</v>
      </c>
      <c r="AP456" s="1">
        <v>54142508</v>
      </c>
      <c r="AQ456" s="1">
        <v>12972319</v>
      </c>
      <c r="AR456" s="1">
        <v>1945848</v>
      </c>
      <c r="AS456" s="1">
        <v>0</v>
      </c>
      <c r="AT456" s="1">
        <f t="shared" si="47"/>
        <v>80891032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15676283</v>
      </c>
      <c r="G457" s="1">
        <v>5417633</v>
      </c>
      <c r="H457" s="1">
        <v>0</v>
      </c>
      <c r="I457" s="1">
        <v>12180457</v>
      </c>
      <c r="J457" s="1">
        <v>0</v>
      </c>
      <c r="K457" s="1">
        <v>5500000</v>
      </c>
      <c r="L457" s="1">
        <v>0</v>
      </c>
      <c r="M457" s="1">
        <v>400000</v>
      </c>
      <c r="N457" s="1">
        <v>2728867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12007913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1949192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4989930</v>
      </c>
      <c r="AM457" s="1">
        <v>0</v>
      </c>
      <c r="AN457" s="1">
        <v>61950275</v>
      </c>
      <c r="AO457" s="1">
        <v>11097646</v>
      </c>
      <c r="AP457" s="1">
        <v>50852629</v>
      </c>
      <c r="AQ457" s="1">
        <v>12390055</v>
      </c>
      <c r="AR457" s="1">
        <v>1858508</v>
      </c>
      <c r="AS457" s="1">
        <v>0</v>
      </c>
      <c r="AT457" s="1">
        <f t="shared" si="47"/>
        <v>76198838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15095340</v>
      </c>
      <c r="G458" s="1">
        <v>15859188</v>
      </c>
      <c r="H458" s="1">
        <v>0</v>
      </c>
      <c r="I458" s="1">
        <v>11536463</v>
      </c>
      <c r="J458" s="1">
        <v>0</v>
      </c>
      <c r="K458" s="1">
        <v>4620000</v>
      </c>
      <c r="L458" s="1">
        <v>0</v>
      </c>
      <c r="M458" s="1">
        <v>400000</v>
      </c>
      <c r="N458" s="1">
        <v>2911978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11717034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2079985</v>
      </c>
      <c r="AF458" s="1">
        <v>1111269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4991963</v>
      </c>
      <c r="AM458" s="1">
        <v>0</v>
      </c>
      <c r="AN458" s="1">
        <v>71423220</v>
      </c>
      <c r="AO458" s="1">
        <v>13964820</v>
      </c>
      <c r="AP458" s="1">
        <v>57458400</v>
      </c>
      <c r="AQ458" s="1">
        <v>14062390</v>
      </c>
      <c r="AR458" s="1">
        <v>2109359</v>
      </c>
      <c r="AS458" s="1">
        <v>0</v>
      </c>
      <c r="AT458" s="1">
        <f t="shared" si="47"/>
        <v>87594969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12126937</v>
      </c>
      <c r="G459" s="1">
        <v>7389057</v>
      </c>
      <c r="H459" s="1">
        <v>0</v>
      </c>
      <c r="I459" s="1">
        <v>9924169</v>
      </c>
      <c r="J459" s="1">
        <v>0</v>
      </c>
      <c r="K459" s="1">
        <v>4620000</v>
      </c>
      <c r="L459" s="1">
        <v>0</v>
      </c>
      <c r="M459" s="1">
        <v>400000</v>
      </c>
      <c r="N459" s="1">
        <v>2330640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1270000</v>
      </c>
      <c r="U459" s="1">
        <v>0</v>
      </c>
      <c r="V459" s="1">
        <v>9826486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1664743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4661280</v>
      </c>
      <c r="AM459" s="1">
        <v>0</v>
      </c>
      <c r="AN459" s="1">
        <v>55313312</v>
      </c>
      <c r="AO459" s="1">
        <v>10743951</v>
      </c>
      <c r="AP459" s="1">
        <v>44569361</v>
      </c>
      <c r="AQ459" s="1">
        <v>10808662</v>
      </c>
      <c r="AR459" s="1">
        <v>1621299</v>
      </c>
      <c r="AS459" s="1">
        <v>0</v>
      </c>
      <c r="AT459" s="1">
        <f t="shared" si="47"/>
        <v>67743273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30455556</v>
      </c>
      <c r="G460" s="1">
        <v>19225184</v>
      </c>
      <c r="H460" s="1">
        <v>0</v>
      </c>
      <c r="I460" s="1">
        <v>37613362</v>
      </c>
      <c r="J460" s="1">
        <v>0</v>
      </c>
      <c r="K460" s="1">
        <v>5500000</v>
      </c>
      <c r="L460" s="1">
        <v>0</v>
      </c>
      <c r="M460" s="1">
        <v>400000</v>
      </c>
      <c r="N460" s="1">
        <v>4349818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1270000</v>
      </c>
      <c r="U460" s="1">
        <v>0</v>
      </c>
      <c r="V460" s="1">
        <v>8265193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2776365</v>
      </c>
      <c r="AD460" s="1">
        <v>0</v>
      </c>
      <c r="AE460" s="1">
        <v>3107013</v>
      </c>
      <c r="AF460" s="1">
        <v>1111269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4349818</v>
      </c>
      <c r="AM460" s="1">
        <v>0</v>
      </c>
      <c r="AN460" s="1">
        <v>119523578</v>
      </c>
      <c r="AO460" s="1">
        <v>21698050</v>
      </c>
      <c r="AP460" s="1">
        <v>97825528</v>
      </c>
      <c r="AQ460" s="1">
        <v>15557766</v>
      </c>
      <c r="AR460" s="1">
        <v>2333665</v>
      </c>
      <c r="AS460" s="1">
        <v>0</v>
      </c>
      <c r="AT460" s="1">
        <f t="shared" si="47"/>
        <v>137415009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14637858</v>
      </c>
      <c r="G461" s="1">
        <v>699947</v>
      </c>
      <c r="H461" s="1">
        <v>0</v>
      </c>
      <c r="I461" s="1">
        <v>10561068</v>
      </c>
      <c r="J461" s="1">
        <v>0</v>
      </c>
      <c r="K461" s="1">
        <v>4125000</v>
      </c>
      <c r="L461" s="1">
        <v>0</v>
      </c>
      <c r="M461" s="1">
        <v>400000</v>
      </c>
      <c r="N461" s="1">
        <v>2354951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1270000</v>
      </c>
      <c r="U461" s="1">
        <v>0</v>
      </c>
      <c r="V461" s="1">
        <v>14723321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1682108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4037058</v>
      </c>
      <c r="AM461" s="1">
        <v>0</v>
      </c>
      <c r="AN461" s="1">
        <v>55591311</v>
      </c>
      <c r="AO461" s="1">
        <v>8886040</v>
      </c>
      <c r="AP461" s="1">
        <v>46705271</v>
      </c>
      <c r="AQ461" s="1">
        <v>10864262</v>
      </c>
      <c r="AR461" s="1">
        <v>1629639</v>
      </c>
      <c r="AS461" s="1">
        <v>0</v>
      </c>
      <c r="AT461" s="1">
        <f t="shared" si="47"/>
        <v>68085212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15217276</v>
      </c>
      <c r="G462" s="1">
        <v>5205348</v>
      </c>
      <c r="H462" s="1">
        <v>0</v>
      </c>
      <c r="I462" s="1">
        <v>11010056</v>
      </c>
      <c r="J462" s="1">
        <v>0</v>
      </c>
      <c r="K462" s="1">
        <v>5500000</v>
      </c>
      <c r="L462" s="1">
        <v>0</v>
      </c>
      <c r="M462" s="1">
        <v>400000</v>
      </c>
      <c r="N462" s="1">
        <v>2517803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1270000</v>
      </c>
      <c r="U462" s="1">
        <v>0</v>
      </c>
      <c r="V462" s="1">
        <v>7852299</v>
      </c>
      <c r="W462" s="1">
        <v>1100000</v>
      </c>
      <c r="X462" s="1">
        <v>2282591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1798431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3596861</v>
      </c>
      <c r="AM462" s="1">
        <v>0</v>
      </c>
      <c r="AN462" s="1">
        <v>57750665</v>
      </c>
      <c r="AO462" s="1">
        <v>10853418</v>
      </c>
      <c r="AP462" s="1">
        <v>46897247</v>
      </c>
      <c r="AQ462" s="1">
        <v>11296133</v>
      </c>
      <c r="AR462" s="1">
        <v>1694420</v>
      </c>
      <c r="AS462" s="1">
        <v>0</v>
      </c>
      <c r="AT462" s="1">
        <f t="shared" si="47"/>
        <v>70741218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11994616</v>
      </c>
      <c r="G463" s="1">
        <v>7505681</v>
      </c>
      <c r="H463" s="1">
        <v>0</v>
      </c>
      <c r="I463" s="1">
        <v>10941565</v>
      </c>
      <c r="J463" s="1">
        <v>0</v>
      </c>
      <c r="K463" s="1">
        <v>4620000</v>
      </c>
      <c r="L463" s="1">
        <v>0</v>
      </c>
      <c r="M463" s="1">
        <v>400000</v>
      </c>
      <c r="N463" s="1">
        <v>2280211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7403084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1628722</v>
      </c>
      <c r="AF463" s="1">
        <v>1111269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5342209</v>
      </c>
      <c r="AM463" s="1">
        <v>0</v>
      </c>
      <c r="AN463" s="1">
        <v>55597357</v>
      </c>
      <c r="AO463" s="1">
        <v>11571315</v>
      </c>
      <c r="AP463" s="1">
        <v>44026042</v>
      </c>
      <c r="AQ463" s="1">
        <v>10643218</v>
      </c>
      <c r="AR463" s="1">
        <v>1596483</v>
      </c>
      <c r="AS463" s="1">
        <v>0</v>
      </c>
      <c r="AT463" s="1">
        <f t="shared" si="47"/>
        <v>67837058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4333189</v>
      </c>
      <c r="G464" s="1">
        <v>0</v>
      </c>
      <c r="H464" s="1">
        <v>0</v>
      </c>
      <c r="I464" s="1">
        <v>3178568</v>
      </c>
      <c r="J464" s="1">
        <v>0</v>
      </c>
      <c r="K464" s="1">
        <v>1270500</v>
      </c>
      <c r="L464" s="1">
        <v>0</v>
      </c>
      <c r="M464" s="1">
        <v>146667</v>
      </c>
      <c r="N464" s="1">
        <v>797124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973232</v>
      </c>
      <c r="W464" s="1">
        <v>403333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569374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854062</v>
      </c>
      <c r="AM464" s="1">
        <v>0</v>
      </c>
      <c r="AN464" s="1">
        <v>13796049</v>
      </c>
      <c r="AO464" s="1">
        <v>8135842</v>
      </c>
      <c r="AP464" s="1">
        <v>5660207</v>
      </c>
      <c r="AQ464" s="1">
        <v>2505210</v>
      </c>
      <c r="AR464" s="1">
        <v>375781</v>
      </c>
      <c r="AS464" s="1">
        <v>0</v>
      </c>
      <c r="AT464" s="1">
        <f t="shared" si="47"/>
        <v>16677040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5380411</v>
      </c>
      <c r="G465" s="1">
        <v>9660120</v>
      </c>
      <c r="H465" s="1">
        <v>0</v>
      </c>
      <c r="I465" s="1">
        <v>4089112</v>
      </c>
      <c r="J465" s="1">
        <v>0</v>
      </c>
      <c r="K465" s="1">
        <v>0</v>
      </c>
      <c r="L465" s="1">
        <v>3620700</v>
      </c>
      <c r="M465" s="1">
        <v>400000</v>
      </c>
      <c r="N465" s="1">
        <v>2831795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1742202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28824340</v>
      </c>
      <c r="AO465" s="1">
        <v>3174489</v>
      </c>
      <c r="AP465" s="1">
        <v>25649851</v>
      </c>
      <c r="AQ465" s="1">
        <v>5764868</v>
      </c>
      <c r="AR465" s="1">
        <v>864730</v>
      </c>
      <c r="AS465" s="1">
        <v>390000</v>
      </c>
      <c r="AT465" s="1">
        <f t="shared" si="47"/>
        <v>35843938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8" si="51">"قراردادي بهره بردار"</f>
        <v>قراردادي بهره بردار</v>
      </c>
      <c r="E466" s="1" t="str">
        <f t="shared" ref="E466:E497" si="52">"پروژه بهره برداري نيروگاه بوشهر"</f>
        <v>پروژه بهره برداري نيروگاه بوشهر</v>
      </c>
      <c r="F466" s="1">
        <v>11393167</v>
      </c>
      <c r="G466" s="1">
        <v>2482098</v>
      </c>
      <c r="H466" s="1">
        <v>0</v>
      </c>
      <c r="I466" s="1">
        <v>8433442</v>
      </c>
      <c r="J466" s="1">
        <v>0</v>
      </c>
      <c r="K466" s="1">
        <v>0</v>
      </c>
      <c r="L466" s="1">
        <v>0</v>
      </c>
      <c r="M466" s="1">
        <v>400000</v>
      </c>
      <c r="N466" s="1">
        <v>2082802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10855463</v>
      </c>
      <c r="W466" s="1">
        <v>1100000</v>
      </c>
      <c r="X466" s="1">
        <v>930787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1487715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8297658</v>
      </c>
      <c r="AM466" s="1">
        <v>0</v>
      </c>
      <c r="AN466" s="1">
        <v>48733132</v>
      </c>
      <c r="AO466" s="1">
        <v>6265806</v>
      </c>
      <c r="AP466" s="1">
        <v>42467326</v>
      </c>
      <c r="AQ466" s="1">
        <v>9492626</v>
      </c>
      <c r="AR466" s="1">
        <v>1423894</v>
      </c>
      <c r="AS466" s="1">
        <v>0</v>
      </c>
      <c r="AT466" s="1">
        <f t="shared" si="47"/>
        <v>59649652</v>
      </c>
    </row>
    <row r="467" spans="1:46">
      <c r="A467" s="1" t="str">
        <f>"00530"</f>
        <v>00530</v>
      </c>
      <c r="B467" s="1" t="str">
        <f>"مهدي"</f>
        <v>مهدي</v>
      </c>
      <c r="C467" s="1" t="str">
        <f>"حسامي سعيدلو"</f>
        <v>حسامي سعيدلو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47"/>
        <v>0</v>
      </c>
    </row>
    <row r="468" spans="1:46">
      <c r="A468" s="1" t="str">
        <f>"00531"</f>
        <v>00531</v>
      </c>
      <c r="B468" s="1" t="str">
        <f>"مسعود"</f>
        <v>مسعود</v>
      </c>
      <c r="C468" s="1" t="str">
        <f>"حسين آبادي"</f>
        <v>حسين آبادي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12082044</v>
      </c>
      <c r="G468" s="1">
        <v>12016616</v>
      </c>
      <c r="H468" s="1">
        <v>0</v>
      </c>
      <c r="I468" s="1">
        <v>10875212</v>
      </c>
      <c r="J468" s="1">
        <v>0</v>
      </c>
      <c r="K468" s="1">
        <v>4620000</v>
      </c>
      <c r="L468" s="1">
        <v>0</v>
      </c>
      <c r="M468" s="1">
        <v>400000</v>
      </c>
      <c r="N468" s="1">
        <v>2350479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11680719</v>
      </c>
      <c r="W468" s="1">
        <v>1100000</v>
      </c>
      <c r="X468" s="1">
        <v>1812307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1678914</v>
      </c>
      <c r="AF468" s="1">
        <v>1111269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9803015</v>
      </c>
      <c r="AM468" s="1">
        <v>0</v>
      </c>
      <c r="AN468" s="1">
        <v>70800575</v>
      </c>
      <c r="AO468" s="1">
        <v>12876236</v>
      </c>
      <c r="AP468" s="1">
        <v>57924339</v>
      </c>
      <c r="AQ468" s="1">
        <v>13683861</v>
      </c>
      <c r="AR468" s="1">
        <v>2052579</v>
      </c>
      <c r="AS468" s="1">
        <v>0</v>
      </c>
      <c r="AT468" s="1">
        <f t="shared" si="47"/>
        <v>86537015</v>
      </c>
    </row>
    <row r="469" spans="1:46">
      <c r="A469" s="1" t="str">
        <f>"00533"</f>
        <v>00533</v>
      </c>
      <c r="B469" s="1" t="str">
        <f>"نيما"</f>
        <v>نيما</v>
      </c>
      <c r="C469" s="1" t="str">
        <f>"درست کار"</f>
        <v>درست کار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14931273</v>
      </c>
      <c r="G469" s="1">
        <v>11381890</v>
      </c>
      <c r="H469" s="1">
        <v>0</v>
      </c>
      <c r="I469" s="1">
        <v>11260342</v>
      </c>
      <c r="J469" s="1">
        <v>0</v>
      </c>
      <c r="K469" s="1">
        <v>5500000</v>
      </c>
      <c r="L469" s="1">
        <v>0</v>
      </c>
      <c r="M469" s="1">
        <v>400000</v>
      </c>
      <c r="N469" s="1">
        <v>2471145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1270000</v>
      </c>
      <c r="U469" s="1">
        <v>0</v>
      </c>
      <c r="V469" s="1">
        <v>11915610</v>
      </c>
      <c r="W469" s="1">
        <v>1100000</v>
      </c>
      <c r="X469" s="1">
        <v>2239691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1765103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8009588</v>
      </c>
      <c r="AM469" s="1">
        <v>0</v>
      </c>
      <c r="AN469" s="1">
        <v>72244642</v>
      </c>
      <c r="AO469" s="1">
        <v>14716084</v>
      </c>
      <c r="AP469" s="1">
        <v>57528558</v>
      </c>
      <c r="AQ469" s="1">
        <v>14194928</v>
      </c>
      <c r="AR469" s="1">
        <v>2129239</v>
      </c>
      <c r="AS469" s="1">
        <v>0</v>
      </c>
      <c r="AT469" s="1">
        <f t="shared" si="47"/>
        <v>88568809</v>
      </c>
    </row>
    <row r="470" spans="1:46">
      <c r="A470" s="1" t="str">
        <f>"00534"</f>
        <v>00534</v>
      </c>
      <c r="B470" s="1" t="str">
        <f>"اكرم"</f>
        <v>اكرم</v>
      </c>
      <c r="C470" s="1" t="str">
        <f>"درويشي"</f>
        <v>درويشي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10917235</v>
      </c>
      <c r="G470" s="1">
        <v>391021</v>
      </c>
      <c r="H470" s="1">
        <v>0</v>
      </c>
      <c r="I470" s="1">
        <v>7689041</v>
      </c>
      <c r="J470" s="1">
        <v>0</v>
      </c>
      <c r="K470" s="1">
        <v>3465000</v>
      </c>
      <c r="L470" s="1">
        <v>0</v>
      </c>
      <c r="M470" s="1">
        <v>400000</v>
      </c>
      <c r="N470" s="1">
        <v>2070941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1270000</v>
      </c>
      <c r="U470" s="1">
        <v>0</v>
      </c>
      <c r="V470" s="1">
        <v>2437533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1479244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2218866</v>
      </c>
      <c r="AM470" s="1">
        <v>0</v>
      </c>
      <c r="AN470" s="1">
        <v>33438881</v>
      </c>
      <c r="AO470" s="1">
        <v>11356831</v>
      </c>
      <c r="AP470" s="1">
        <v>22082050</v>
      </c>
      <c r="AQ470" s="1">
        <v>6433776</v>
      </c>
      <c r="AR470" s="1">
        <v>965066</v>
      </c>
      <c r="AS470" s="1">
        <v>0</v>
      </c>
      <c r="AT470" s="1">
        <f t="shared" si="47"/>
        <v>40837723</v>
      </c>
    </row>
    <row r="471" spans="1:46">
      <c r="A471" s="1" t="str">
        <f>"00535"</f>
        <v>00535</v>
      </c>
      <c r="B471" s="1" t="str">
        <f>"اسماء"</f>
        <v>اسماء</v>
      </c>
      <c r="C471" s="1" t="str">
        <f>"دولتي"</f>
        <v>دولتي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10677821</v>
      </c>
      <c r="G471" s="1">
        <v>553783</v>
      </c>
      <c r="H471" s="1">
        <v>0</v>
      </c>
      <c r="I471" s="1">
        <v>7059869</v>
      </c>
      <c r="J471" s="1">
        <v>0</v>
      </c>
      <c r="K471" s="1">
        <v>3465000</v>
      </c>
      <c r="L471" s="1">
        <v>0</v>
      </c>
      <c r="M471" s="1">
        <v>400000</v>
      </c>
      <c r="N471" s="1">
        <v>1758896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2301438</v>
      </c>
      <c r="W471" s="1">
        <v>1100000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1256354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2261437</v>
      </c>
      <c r="AM471" s="1">
        <v>0</v>
      </c>
      <c r="AN471" s="1">
        <v>30834598</v>
      </c>
      <c r="AO471" s="1">
        <v>10150878</v>
      </c>
      <c r="AP471" s="1">
        <v>20683720</v>
      </c>
      <c r="AQ471" s="1">
        <v>6166920</v>
      </c>
      <c r="AR471" s="1">
        <v>925038</v>
      </c>
      <c r="AS471" s="1">
        <v>0</v>
      </c>
      <c r="AT471" s="1">
        <f t="shared" si="47"/>
        <v>37926556</v>
      </c>
    </row>
    <row r="472" spans="1:46">
      <c r="A472" s="1" t="str">
        <f>"00536"</f>
        <v>00536</v>
      </c>
      <c r="B472" s="1" t="str">
        <f>"سجاد"</f>
        <v>سجاد</v>
      </c>
      <c r="C472" s="1" t="str">
        <f>"دهقاني فتح ابادي"</f>
        <v>دهقاني فتح ابادي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11737749</v>
      </c>
      <c r="G472" s="1">
        <v>2081353</v>
      </c>
      <c r="H472" s="1">
        <v>0</v>
      </c>
      <c r="I472" s="1">
        <v>9236658</v>
      </c>
      <c r="J472" s="1">
        <v>0</v>
      </c>
      <c r="K472" s="1">
        <v>4620000</v>
      </c>
      <c r="L472" s="1">
        <v>0</v>
      </c>
      <c r="M472" s="1">
        <v>400000</v>
      </c>
      <c r="N472" s="1">
        <v>2195547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1270000</v>
      </c>
      <c r="U472" s="1">
        <v>0</v>
      </c>
      <c r="V472" s="1">
        <v>7625066</v>
      </c>
      <c r="W472" s="1">
        <v>1100000</v>
      </c>
      <c r="X472" s="1">
        <v>892008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1568248</v>
      </c>
      <c r="AF472" s="1">
        <v>2222538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8414258</v>
      </c>
      <c r="AM472" s="1">
        <v>0</v>
      </c>
      <c r="AN472" s="1">
        <v>53363425</v>
      </c>
      <c r="AO472" s="1">
        <v>8098563</v>
      </c>
      <c r="AP472" s="1">
        <v>45264862</v>
      </c>
      <c r="AQ472" s="1">
        <v>9974177</v>
      </c>
      <c r="AR472" s="1">
        <v>1496127</v>
      </c>
      <c r="AS472" s="1">
        <v>0</v>
      </c>
      <c r="AT472" s="1">
        <f t="shared" si="47"/>
        <v>64833729</v>
      </c>
    </row>
    <row r="473" spans="1:46">
      <c r="A473" s="1" t="str">
        <f>"00537"</f>
        <v>00537</v>
      </c>
      <c r="B473" s="1" t="str">
        <f>"حمزه"</f>
        <v>حمزه</v>
      </c>
      <c r="C473" s="1" t="str">
        <f>"ذبيحي"</f>
        <v>ذبيحي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15470373</v>
      </c>
      <c r="G473" s="1">
        <v>8496937</v>
      </c>
      <c r="H473" s="1">
        <v>0</v>
      </c>
      <c r="I473" s="1">
        <v>11962578</v>
      </c>
      <c r="J473" s="1">
        <v>0</v>
      </c>
      <c r="K473" s="1">
        <v>4125000</v>
      </c>
      <c r="L473" s="1">
        <v>0</v>
      </c>
      <c r="M473" s="1">
        <v>400000</v>
      </c>
      <c r="N473" s="1">
        <v>2659830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12534393</v>
      </c>
      <c r="W473" s="1">
        <v>1100000</v>
      </c>
      <c r="X473" s="1">
        <v>2320556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1899878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8440868</v>
      </c>
      <c r="AM473" s="1">
        <v>0</v>
      </c>
      <c r="AN473" s="1">
        <v>69410413</v>
      </c>
      <c r="AO473" s="1">
        <v>9290949</v>
      </c>
      <c r="AP473" s="1">
        <v>60119464</v>
      </c>
      <c r="AQ473" s="1">
        <v>13882083</v>
      </c>
      <c r="AR473" s="1">
        <v>2082312</v>
      </c>
      <c r="AS473" s="1">
        <v>0</v>
      </c>
      <c r="AT473" s="1">
        <f t="shared" si="47"/>
        <v>85374808</v>
      </c>
    </row>
    <row r="474" spans="1:46">
      <c r="A474" s="1" t="str">
        <f>"00538"</f>
        <v>00538</v>
      </c>
      <c r="B474" s="1" t="str">
        <f>"مهرزاد"</f>
        <v>مهرزاد</v>
      </c>
      <c r="C474" s="1" t="str">
        <f>"رزمجوئي"</f>
        <v>رزمجوئي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15743946</v>
      </c>
      <c r="G474" s="1">
        <v>3922105</v>
      </c>
      <c r="H474" s="1">
        <v>0</v>
      </c>
      <c r="I474" s="1">
        <v>8006980</v>
      </c>
      <c r="J474" s="1">
        <v>0</v>
      </c>
      <c r="K474" s="1">
        <v>0</v>
      </c>
      <c r="L474" s="1">
        <v>0</v>
      </c>
      <c r="M474" s="1">
        <v>400000</v>
      </c>
      <c r="N474" s="1">
        <v>2648694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3056185</v>
      </c>
      <c r="W474" s="1">
        <v>1100000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1891925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2270309</v>
      </c>
      <c r="AM474" s="1">
        <v>0</v>
      </c>
      <c r="AN474" s="1">
        <v>39040144</v>
      </c>
      <c r="AO474" s="1">
        <v>27734048</v>
      </c>
      <c r="AP474" s="1">
        <v>11306096</v>
      </c>
      <c r="AQ474" s="1">
        <v>7808029</v>
      </c>
      <c r="AR474" s="1">
        <v>1171204</v>
      </c>
      <c r="AS474" s="1">
        <v>0</v>
      </c>
      <c r="AT474" s="1">
        <f t="shared" si="47"/>
        <v>48019377</v>
      </c>
    </row>
    <row r="475" spans="1:46">
      <c r="A475" s="1" t="str">
        <f>"00539"</f>
        <v>00539</v>
      </c>
      <c r="B475" s="1" t="str">
        <f>"صابر"</f>
        <v>صابر</v>
      </c>
      <c r="C475" s="1" t="str">
        <f>"رفيعي"</f>
        <v>رفيعي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15094614</v>
      </c>
      <c r="G475" s="1">
        <v>7614390</v>
      </c>
      <c r="H475" s="1">
        <v>0</v>
      </c>
      <c r="I475" s="1">
        <v>11091198</v>
      </c>
      <c r="J475" s="1">
        <v>0</v>
      </c>
      <c r="K475" s="1">
        <v>5500000</v>
      </c>
      <c r="L475" s="1">
        <v>0</v>
      </c>
      <c r="M475" s="1">
        <v>400000</v>
      </c>
      <c r="N475" s="1">
        <v>2473493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7810720</v>
      </c>
      <c r="W475" s="1">
        <v>1100000</v>
      </c>
      <c r="X475" s="1">
        <v>2264192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1766781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3533562</v>
      </c>
      <c r="AM475" s="1">
        <v>0</v>
      </c>
      <c r="AN475" s="1">
        <v>58648950</v>
      </c>
      <c r="AO475" s="1">
        <v>10536291</v>
      </c>
      <c r="AP475" s="1">
        <v>48112659</v>
      </c>
      <c r="AQ475" s="1">
        <v>11729790</v>
      </c>
      <c r="AR475" s="1">
        <v>1759469</v>
      </c>
      <c r="AS475" s="1">
        <v>0</v>
      </c>
      <c r="AT475" s="1">
        <f t="shared" si="47"/>
        <v>72138209</v>
      </c>
    </row>
    <row r="476" spans="1:46">
      <c r="A476" s="1" t="str">
        <f>"00540"</f>
        <v>00540</v>
      </c>
      <c r="B476" s="1" t="str">
        <f>"قنبر"</f>
        <v>قنبر</v>
      </c>
      <c r="C476" s="1" t="str">
        <f>"رئيسي"</f>
        <v>رئيسي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10939186</v>
      </c>
      <c r="G476" s="1">
        <v>2412378</v>
      </c>
      <c r="H476" s="1">
        <v>0</v>
      </c>
      <c r="I476" s="1">
        <v>8132295</v>
      </c>
      <c r="J476" s="1">
        <v>0</v>
      </c>
      <c r="K476" s="1">
        <v>4620000</v>
      </c>
      <c r="L476" s="1">
        <v>0</v>
      </c>
      <c r="M476" s="1">
        <v>400000</v>
      </c>
      <c r="N476" s="1">
        <v>1898462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1270000</v>
      </c>
      <c r="U476" s="1">
        <v>0</v>
      </c>
      <c r="V476" s="1">
        <v>6812962</v>
      </c>
      <c r="W476" s="1">
        <v>1100000</v>
      </c>
      <c r="X476" s="1">
        <v>1340210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1356044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7621097</v>
      </c>
      <c r="AM476" s="1">
        <v>0</v>
      </c>
      <c r="AN476" s="1">
        <v>49013903</v>
      </c>
      <c r="AO476" s="1">
        <v>11739071</v>
      </c>
      <c r="AP476" s="1">
        <v>37274832</v>
      </c>
      <c r="AQ476" s="1">
        <v>9326527</v>
      </c>
      <c r="AR476" s="1">
        <v>1398979</v>
      </c>
      <c r="AS476" s="1">
        <v>0</v>
      </c>
      <c r="AT476" s="1">
        <f t="shared" si="47"/>
        <v>59739409</v>
      </c>
    </row>
    <row r="477" spans="1:46">
      <c r="A477" s="1" t="str">
        <f>"00541"</f>
        <v>00541</v>
      </c>
      <c r="B477" s="1" t="str">
        <f>"وحيد"</f>
        <v>وحيد</v>
      </c>
      <c r="C477" s="1" t="str">
        <f>"زارعي"</f>
        <v>زارعي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14943318</v>
      </c>
      <c r="G477" s="1">
        <v>6706304</v>
      </c>
      <c r="H477" s="1">
        <v>0</v>
      </c>
      <c r="I477" s="1">
        <v>10771454</v>
      </c>
      <c r="J477" s="1">
        <v>0</v>
      </c>
      <c r="K477" s="1">
        <v>5500000</v>
      </c>
      <c r="L477" s="1">
        <v>0</v>
      </c>
      <c r="M477" s="1">
        <v>400000</v>
      </c>
      <c r="N477" s="1">
        <v>2448363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12296646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1748831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3777475</v>
      </c>
      <c r="AM477" s="1">
        <v>0</v>
      </c>
      <c r="AN477" s="1">
        <v>60962391</v>
      </c>
      <c r="AO477" s="1">
        <v>13144322</v>
      </c>
      <c r="AP477" s="1">
        <v>47818069</v>
      </c>
      <c r="AQ477" s="1">
        <v>11938478</v>
      </c>
      <c r="AR477" s="1">
        <v>1790772</v>
      </c>
      <c r="AS477" s="1">
        <v>0</v>
      </c>
      <c r="AT477" s="1">
        <f t="shared" si="47"/>
        <v>74691641</v>
      </c>
    </row>
    <row r="478" spans="1:46">
      <c r="A478" s="1" t="str">
        <f>"00542"</f>
        <v>00542</v>
      </c>
      <c r="B478" s="1" t="str">
        <f>"سجاد"</f>
        <v>سجاد</v>
      </c>
      <c r="C478" s="1" t="str">
        <f>"سالميان"</f>
        <v>سالميان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14940257</v>
      </c>
      <c r="G478" s="1">
        <v>14439694</v>
      </c>
      <c r="H478" s="1">
        <v>0</v>
      </c>
      <c r="I478" s="1">
        <v>11140198</v>
      </c>
      <c r="J478" s="1">
        <v>0</v>
      </c>
      <c r="K478" s="1">
        <v>5500000</v>
      </c>
      <c r="L478" s="1">
        <v>0</v>
      </c>
      <c r="M478" s="1">
        <v>400000</v>
      </c>
      <c r="N478" s="1">
        <v>2400460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6061979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1714614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2571921</v>
      </c>
      <c r="AM478" s="1">
        <v>0</v>
      </c>
      <c r="AN478" s="1">
        <v>60269123</v>
      </c>
      <c r="AO478" s="1">
        <v>14965325</v>
      </c>
      <c r="AP478" s="1">
        <v>45303798</v>
      </c>
      <c r="AQ478" s="1">
        <v>12053825</v>
      </c>
      <c r="AR478" s="1">
        <v>1808074</v>
      </c>
      <c r="AS478" s="1">
        <v>0</v>
      </c>
      <c r="AT478" s="1">
        <f t="shared" si="47"/>
        <v>74131022</v>
      </c>
    </row>
    <row r="479" spans="1:46">
      <c r="A479" s="1" t="str">
        <f>"00545"</f>
        <v>00545</v>
      </c>
      <c r="B479" s="1" t="str">
        <f>"ميثم"</f>
        <v>ميثم</v>
      </c>
      <c r="C479" s="1" t="str">
        <f>"شاپورجاني"</f>
        <v>شاپورجاني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11860510</v>
      </c>
      <c r="G479" s="1">
        <v>6738830</v>
      </c>
      <c r="H479" s="1">
        <v>0</v>
      </c>
      <c r="I479" s="1">
        <v>9200285</v>
      </c>
      <c r="J479" s="1">
        <v>0</v>
      </c>
      <c r="K479" s="1">
        <v>4620000</v>
      </c>
      <c r="L479" s="1">
        <v>0</v>
      </c>
      <c r="M479" s="1">
        <v>400000</v>
      </c>
      <c r="N479" s="1">
        <v>2235893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7513678</v>
      </c>
      <c r="W479" s="1">
        <v>1100000</v>
      </c>
      <c r="X479" s="1">
        <v>1779077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1597067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7774410</v>
      </c>
      <c r="AM479" s="1">
        <v>0</v>
      </c>
      <c r="AN479" s="1">
        <v>57201019</v>
      </c>
      <c r="AO479" s="1">
        <v>12304221</v>
      </c>
      <c r="AP479" s="1">
        <v>44896798</v>
      </c>
      <c r="AQ479" s="1">
        <v>10963950</v>
      </c>
      <c r="AR479" s="1">
        <v>1644593</v>
      </c>
      <c r="AS479" s="1">
        <v>0</v>
      </c>
      <c r="AT479" s="1">
        <f t="shared" si="47"/>
        <v>69809562</v>
      </c>
    </row>
    <row r="480" spans="1:46">
      <c r="A480" s="1" t="str">
        <f>"00546"</f>
        <v>00546</v>
      </c>
      <c r="B480" s="1" t="str">
        <f>"عليرضا"</f>
        <v>عليرضا</v>
      </c>
      <c r="C480" s="1" t="str">
        <f>"شفيعي"</f>
        <v>شفيعي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12088506</v>
      </c>
      <c r="G480" s="1">
        <v>19637987</v>
      </c>
      <c r="H480" s="1">
        <v>0</v>
      </c>
      <c r="I480" s="1">
        <v>9066460</v>
      </c>
      <c r="J480" s="1">
        <v>0</v>
      </c>
      <c r="K480" s="1">
        <v>4620000</v>
      </c>
      <c r="L480" s="1">
        <v>0</v>
      </c>
      <c r="M480" s="1">
        <v>400000</v>
      </c>
      <c r="N480" s="1">
        <v>2075858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5065770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1482755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2668960</v>
      </c>
      <c r="AM480" s="1">
        <v>0</v>
      </c>
      <c r="AN480" s="1">
        <v>60587565</v>
      </c>
      <c r="AO480" s="1">
        <v>10004165</v>
      </c>
      <c r="AP480" s="1">
        <v>50583400</v>
      </c>
      <c r="AQ480" s="1">
        <v>11641259</v>
      </c>
      <c r="AR480" s="1">
        <v>1746189</v>
      </c>
      <c r="AS480" s="1">
        <v>0</v>
      </c>
      <c r="AT480" s="1">
        <f t="shared" si="47"/>
        <v>73975013</v>
      </c>
    </row>
    <row r="481" spans="1:46">
      <c r="A481" s="1" t="str">
        <f>"00547"</f>
        <v>00547</v>
      </c>
      <c r="B481" s="1" t="str">
        <f>"حبيب اله"</f>
        <v>حبيب اله</v>
      </c>
      <c r="C481" s="1" t="str">
        <f>"صالحي"</f>
        <v>صالحي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11018810</v>
      </c>
      <c r="G481" s="1">
        <v>9203371</v>
      </c>
      <c r="H481" s="1">
        <v>0</v>
      </c>
      <c r="I481" s="1">
        <v>8746413</v>
      </c>
      <c r="J481" s="1">
        <v>0</v>
      </c>
      <c r="K481" s="1">
        <v>4620000</v>
      </c>
      <c r="L481" s="1">
        <v>0</v>
      </c>
      <c r="M481" s="1">
        <v>400000</v>
      </c>
      <c r="N481" s="1">
        <v>1956081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13298795</v>
      </c>
      <c r="W481" s="1">
        <v>1100000</v>
      </c>
      <c r="X481" s="1">
        <v>1652822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1397201</v>
      </c>
      <c r="AF481" s="1">
        <v>1111269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7106029</v>
      </c>
      <c r="AM481" s="1">
        <v>0</v>
      </c>
      <c r="AN481" s="1">
        <v>62880791</v>
      </c>
      <c r="AO481" s="1">
        <v>12782927</v>
      </c>
      <c r="AP481" s="1">
        <v>50097864</v>
      </c>
      <c r="AQ481" s="1">
        <v>12099904</v>
      </c>
      <c r="AR481" s="1">
        <v>1814986</v>
      </c>
      <c r="AS481" s="1">
        <v>0</v>
      </c>
      <c r="AT481" s="1">
        <f t="shared" si="47"/>
        <v>76795681</v>
      </c>
    </row>
    <row r="482" spans="1:46">
      <c r="A482" s="1" t="str">
        <f>"00548"</f>
        <v>00548</v>
      </c>
      <c r="B482" s="1" t="str">
        <f>"خالد"</f>
        <v>خالد</v>
      </c>
      <c r="C482" s="1" t="str">
        <f>"طاهرپور"</f>
        <v>طاهرپور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15236158</v>
      </c>
      <c r="G482" s="1">
        <v>8766379</v>
      </c>
      <c r="H482" s="1">
        <v>0</v>
      </c>
      <c r="I482" s="1">
        <v>11229296</v>
      </c>
      <c r="J482" s="1">
        <v>0</v>
      </c>
      <c r="K482" s="1">
        <v>5500000</v>
      </c>
      <c r="L482" s="1">
        <v>0</v>
      </c>
      <c r="M482" s="1">
        <v>400000</v>
      </c>
      <c r="N482" s="1">
        <v>2564907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1270000</v>
      </c>
      <c r="U482" s="1">
        <v>0</v>
      </c>
      <c r="V482" s="1">
        <v>8992411</v>
      </c>
      <c r="W482" s="1">
        <v>1100000</v>
      </c>
      <c r="X482" s="1">
        <v>2285424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1832076</v>
      </c>
      <c r="AF482" s="1">
        <v>1111269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8235000</v>
      </c>
      <c r="AM482" s="1">
        <v>0</v>
      </c>
      <c r="AN482" s="1">
        <v>68522920</v>
      </c>
      <c r="AO482" s="1">
        <v>13234435</v>
      </c>
      <c r="AP482" s="1">
        <v>55288485</v>
      </c>
      <c r="AQ482" s="1">
        <v>13228330</v>
      </c>
      <c r="AR482" s="1">
        <v>1984250</v>
      </c>
      <c r="AS482" s="1">
        <v>0</v>
      </c>
      <c r="AT482" s="1">
        <f t="shared" si="47"/>
        <v>83735500</v>
      </c>
    </row>
    <row r="483" spans="1:46">
      <c r="A483" s="1" t="str">
        <f>"00549"</f>
        <v>00549</v>
      </c>
      <c r="B483" s="1" t="str">
        <f>"مسعود"</f>
        <v>مسعود</v>
      </c>
      <c r="C483" s="1" t="str">
        <f>"ظاهري حقيقي"</f>
        <v>ظاهري حقيقي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11014419</v>
      </c>
      <c r="G483" s="1">
        <v>10784031</v>
      </c>
      <c r="H483" s="1">
        <v>0</v>
      </c>
      <c r="I483" s="1">
        <v>8741265</v>
      </c>
      <c r="J483" s="1">
        <v>0</v>
      </c>
      <c r="K483" s="1">
        <v>3465000</v>
      </c>
      <c r="L483" s="1">
        <v>0</v>
      </c>
      <c r="M483" s="1">
        <v>400000</v>
      </c>
      <c r="N483" s="1">
        <v>1954357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13291243</v>
      </c>
      <c r="W483" s="1">
        <v>1100000</v>
      </c>
      <c r="X483" s="1">
        <v>1652163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1395969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7101361</v>
      </c>
      <c r="AM483" s="1">
        <v>0</v>
      </c>
      <c r="AN483" s="1">
        <v>60899808</v>
      </c>
      <c r="AO483" s="1">
        <v>9391167</v>
      </c>
      <c r="AP483" s="1">
        <v>51508641</v>
      </c>
      <c r="AQ483" s="1">
        <v>12179962</v>
      </c>
      <c r="AR483" s="1">
        <v>1826994</v>
      </c>
      <c r="AS483" s="1">
        <v>0</v>
      </c>
      <c r="AT483" s="1">
        <f t="shared" si="47"/>
        <v>74906764</v>
      </c>
    </row>
    <row r="484" spans="1:46">
      <c r="A484" s="1" t="str">
        <f>"00550"</f>
        <v>00550</v>
      </c>
      <c r="B484" s="1" t="str">
        <f>"جواد"</f>
        <v>جواد</v>
      </c>
      <c r="C484" s="1" t="str">
        <f>"عفيف"</f>
        <v>عفيف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11668783</v>
      </c>
      <c r="G484" s="1">
        <v>7326063</v>
      </c>
      <c r="H484" s="1">
        <v>0</v>
      </c>
      <c r="I484" s="1">
        <v>8890585</v>
      </c>
      <c r="J484" s="1">
        <v>0</v>
      </c>
      <c r="K484" s="1">
        <v>3465000</v>
      </c>
      <c r="L484" s="1">
        <v>0</v>
      </c>
      <c r="M484" s="1">
        <v>400000</v>
      </c>
      <c r="N484" s="1">
        <v>2130993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4901706</v>
      </c>
      <c r="W484" s="1">
        <v>1100000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1522138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2283206</v>
      </c>
      <c r="AM484" s="1">
        <v>0</v>
      </c>
      <c r="AN484" s="1">
        <v>44958474</v>
      </c>
      <c r="AO484" s="1">
        <v>8020187</v>
      </c>
      <c r="AP484" s="1">
        <v>36938287</v>
      </c>
      <c r="AQ484" s="1">
        <v>8737695</v>
      </c>
      <c r="AR484" s="1">
        <v>1310654</v>
      </c>
      <c r="AS484" s="1">
        <v>0</v>
      </c>
      <c r="AT484" s="1">
        <f t="shared" si="47"/>
        <v>55006823</v>
      </c>
    </row>
    <row r="485" spans="1:46">
      <c r="A485" s="1" t="str">
        <f>"00551"</f>
        <v>00551</v>
      </c>
      <c r="B485" s="1" t="str">
        <f>"سعيد"</f>
        <v>سعيد</v>
      </c>
      <c r="C485" s="1" t="str">
        <f>"فاتحي فر"</f>
        <v>فاتحي فر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11790818</v>
      </c>
      <c r="G485" s="1">
        <v>1990937</v>
      </c>
      <c r="H485" s="1">
        <v>0</v>
      </c>
      <c r="I485" s="1">
        <v>9501205</v>
      </c>
      <c r="J485" s="1">
        <v>0</v>
      </c>
      <c r="K485" s="1">
        <v>4620000</v>
      </c>
      <c r="L485" s="1">
        <v>0</v>
      </c>
      <c r="M485" s="1">
        <v>400000</v>
      </c>
      <c r="N485" s="1">
        <v>2235077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11609825</v>
      </c>
      <c r="W485" s="1">
        <v>1100000</v>
      </c>
      <c r="X485" s="1">
        <v>1768623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1596484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8773712</v>
      </c>
      <c r="AM485" s="1">
        <v>0</v>
      </c>
      <c r="AN485" s="1">
        <v>56656681</v>
      </c>
      <c r="AO485" s="1">
        <v>13479937</v>
      </c>
      <c r="AP485" s="1">
        <v>43176744</v>
      </c>
      <c r="AQ485" s="1">
        <v>11077336</v>
      </c>
      <c r="AR485" s="1">
        <v>1661600</v>
      </c>
      <c r="AS485" s="1">
        <v>0</v>
      </c>
      <c r="AT485" s="1">
        <f t="shared" si="47"/>
        <v>69395617</v>
      </c>
    </row>
    <row r="486" spans="1:46">
      <c r="A486" s="1" t="str">
        <f>"00552"</f>
        <v>00552</v>
      </c>
      <c r="B486" s="1" t="str">
        <f>"محمد"</f>
        <v>محمد</v>
      </c>
      <c r="C486" s="1" t="str">
        <f>"قاسمي"</f>
        <v>قاسمي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11683986</v>
      </c>
      <c r="G486" s="1">
        <v>4436017</v>
      </c>
      <c r="H486" s="1">
        <v>0</v>
      </c>
      <c r="I486" s="1">
        <v>9149423</v>
      </c>
      <c r="J486" s="1">
        <v>0</v>
      </c>
      <c r="K486" s="1">
        <v>4620000</v>
      </c>
      <c r="L486" s="1">
        <v>0</v>
      </c>
      <c r="M486" s="1">
        <v>400000</v>
      </c>
      <c r="N486" s="1">
        <v>2175607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7516834</v>
      </c>
      <c r="W486" s="1">
        <v>1100000</v>
      </c>
      <c r="X486" s="1">
        <v>1752598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1554005</v>
      </c>
      <c r="AF486" s="1">
        <v>1111269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8478012</v>
      </c>
      <c r="AM486" s="1">
        <v>0</v>
      </c>
      <c r="AN486" s="1">
        <v>55247751</v>
      </c>
      <c r="AO486" s="1">
        <v>12354820</v>
      </c>
      <c r="AP486" s="1">
        <v>42892931</v>
      </c>
      <c r="AQ486" s="1">
        <v>10573296</v>
      </c>
      <c r="AR486" s="1">
        <v>1585994</v>
      </c>
      <c r="AS486" s="1">
        <v>0</v>
      </c>
      <c r="AT486" s="1">
        <f t="shared" si="47"/>
        <v>67407041</v>
      </c>
    </row>
    <row r="487" spans="1:46">
      <c r="A487" s="1" t="str">
        <f>"00553"</f>
        <v>00553</v>
      </c>
      <c r="B487" s="1" t="str">
        <f>"پويا"</f>
        <v>پويا</v>
      </c>
      <c r="C487" s="1" t="str">
        <f>"قباديان"</f>
        <v>قباديان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15720216</v>
      </c>
      <c r="G487" s="1">
        <v>8029311</v>
      </c>
      <c r="H487" s="1">
        <v>0</v>
      </c>
      <c r="I487" s="1">
        <v>11654134</v>
      </c>
      <c r="J487" s="1">
        <v>0</v>
      </c>
      <c r="K487" s="1">
        <v>5500000</v>
      </c>
      <c r="L487" s="1">
        <v>0</v>
      </c>
      <c r="M487" s="1">
        <v>400000</v>
      </c>
      <c r="N487" s="1">
        <v>2707330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8163406</v>
      </c>
      <c r="W487" s="1">
        <v>1100000</v>
      </c>
      <c r="X487" s="1">
        <v>2358032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1933807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3867615</v>
      </c>
      <c r="AM487" s="1">
        <v>0</v>
      </c>
      <c r="AN487" s="1">
        <v>61433851</v>
      </c>
      <c r="AO487" s="1">
        <v>13320887</v>
      </c>
      <c r="AP487" s="1">
        <v>48112964</v>
      </c>
      <c r="AQ487" s="1">
        <v>12286770</v>
      </c>
      <c r="AR487" s="1">
        <v>1843016</v>
      </c>
      <c r="AS487" s="1">
        <v>0</v>
      </c>
      <c r="AT487" s="1">
        <f t="shared" si="47"/>
        <v>75563637</v>
      </c>
    </row>
    <row r="488" spans="1:46">
      <c r="A488" s="1" t="str">
        <f>"00554"</f>
        <v>00554</v>
      </c>
      <c r="B488" s="1" t="str">
        <f>"امين"</f>
        <v>امين</v>
      </c>
      <c r="C488" s="1" t="str">
        <f>"قجري"</f>
        <v>قجري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11607612</v>
      </c>
      <c r="G488" s="1">
        <v>2972418</v>
      </c>
      <c r="H488" s="1">
        <v>0</v>
      </c>
      <c r="I488" s="1">
        <v>9844559</v>
      </c>
      <c r="J488" s="1">
        <v>0</v>
      </c>
      <c r="K488" s="1">
        <v>4620000</v>
      </c>
      <c r="L488" s="1">
        <v>0</v>
      </c>
      <c r="M488" s="1">
        <v>400000</v>
      </c>
      <c r="N488" s="1">
        <v>2170020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11555449</v>
      </c>
      <c r="W488" s="1">
        <v>1100000</v>
      </c>
      <c r="X488" s="1">
        <v>1741142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1550015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8566331</v>
      </c>
      <c r="AM488" s="1">
        <v>0</v>
      </c>
      <c r="AN488" s="1">
        <v>57397546</v>
      </c>
      <c r="AO488" s="1">
        <v>14297581</v>
      </c>
      <c r="AP488" s="1">
        <v>43099965</v>
      </c>
      <c r="AQ488" s="1">
        <v>11225509</v>
      </c>
      <c r="AR488" s="1">
        <v>1683826</v>
      </c>
      <c r="AS488" s="1">
        <v>0</v>
      </c>
      <c r="AT488" s="1">
        <f t="shared" si="47"/>
        <v>70306881</v>
      </c>
    </row>
    <row r="489" spans="1:46">
      <c r="A489" s="1" t="str">
        <f>"00555"</f>
        <v>00555</v>
      </c>
      <c r="B489" s="1" t="str">
        <f>"علي رضا"</f>
        <v>علي رضا</v>
      </c>
      <c r="C489" s="1" t="str">
        <f>"قناتي"</f>
        <v>قناتي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11587546</v>
      </c>
      <c r="G489" s="1">
        <v>7176014</v>
      </c>
      <c r="H489" s="1">
        <v>0</v>
      </c>
      <c r="I489" s="1">
        <v>9280450</v>
      </c>
      <c r="J489" s="1">
        <v>0</v>
      </c>
      <c r="K489" s="1">
        <v>4620000</v>
      </c>
      <c r="L489" s="1">
        <v>0</v>
      </c>
      <c r="M489" s="1">
        <v>400000</v>
      </c>
      <c r="N489" s="1">
        <v>2170107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14149096</v>
      </c>
      <c r="W489" s="1">
        <v>1100000</v>
      </c>
      <c r="X489" s="1">
        <v>1738132</v>
      </c>
      <c r="Y489" s="1">
        <v>5809155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1550076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8126493</v>
      </c>
      <c r="AM489" s="1">
        <v>0</v>
      </c>
      <c r="AN489" s="1">
        <v>68977069</v>
      </c>
      <c r="AO489" s="1">
        <v>12159619</v>
      </c>
      <c r="AP489" s="1">
        <v>56817450</v>
      </c>
      <c r="AQ489" s="1">
        <v>13541414</v>
      </c>
      <c r="AR489" s="1">
        <v>2031212</v>
      </c>
      <c r="AS489" s="1">
        <v>0</v>
      </c>
      <c r="AT489" s="1">
        <f t="shared" si="47"/>
        <v>84549695</v>
      </c>
    </row>
    <row r="490" spans="1:46">
      <c r="A490" s="1" t="str">
        <f>"00556"</f>
        <v>00556</v>
      </c>
      <c r="B490" s="1" t="str">
        <f>"سعيد"</f>
        <v>سعيد</v>
      </c>
      <c r="C490" s="1" t="str">
        <f>"ماندني"</f>
        <v>ماندني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11884438</v>
      </c>
      <c r="G490" s="1">
        <v>5792576</v>
      </c>
      <c r="H490" s="1">
        <v>0</v>
      </c>
      <c r="I490" s="1">
        <v>10145635</v>
      </c>
      <c r="J490" s="1">
        <v>0</v>
      </c>
      <c r="K490" s="1">
        <v>3465000</v>
      </c>
      <c r="L490" s="1">
        <v>0</v>
      </c>
      <c r="M490" s="1">
        <v>400000</v>
      </c>
      <c r="N490" s="1">
        <v>2273458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11261315</v>
      </c>
      <c r="W490" s="1">
        <v>1100000</v>
      </c>
      <c r="X490" s="1">
        <v>1782666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1623898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9541278</v>
      </c>
      <c r="AM490" s="1">
        <v>0</v>
      </c>
      <c r="AN490" s="1">
        <v>60540264</v>
      </c>
      <c r="AO490" s="1">
        <v>11310776</v>
      </c>
      <c r="AP490" s="1">
        <v>49229488</v>
      </c>
      <c r="AQ490" s="1">
        <v>11854053</v>
      </c>
      <c r="AR490" s="1">
        <v>1778108</v>
      </c>
      <c r="AS490" s="1">
        <v>0</v>
      </c>
      <c r="AT490" s="1">
        <f t="shared" si="47"/>
        <v>74172425</v>
      </c>
    </row>
    <row r="491" spans="1:46">
      <c r="A491" s="1" t="str">
        <f>"00557"</f>
        <v>00557</v>
      </c>
      <c r="B491" s="1" t="str">
        <f>"محمد جواد"</f>
        <v>محمد جواد</v>
      </c>
      <c r="C491" s="1" t="str">
        <f>"مرادي"</f>
        <v>مرادي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15310440</v>
      </c>
      <c r="G491" s="1">
        <v>12504615</v>
      </c>
      <c r="H491" s="1">
        <v>0</v>
      </c>
      <c r="I491" s="1">
        <v>11582531</v>
      </c>
      <c r="J491" s="1">
        <v>0</v>
      </c>
      <c r="K491" s="1">
        <v>0</v>
      </c>
      <c r="L491" s="1">
        <v>0</v>
      </c>
      <c r="M491" s="1">
        <v>400000</v>
      </c>
      <c r="N491" s="1">
        <v>2603853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12297589</v>
      </c>
      <c r="W491" s="1">
        <v>1100000</v>
      </c>
      <c r="X491" s="1">
        <v>2296566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1859895</v>
      </c>
      <c r="AF491" s="1">
        <v>1111269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8312922</v>
      </c>
      <c r="AM491" s="1">
        <v>0</v>
      </c>
      <c r="AN491" s="1">
        <v>70649680</v>
      </c>
      <c r="AO491" s="1">
        <v>24595021</v>
      </c>
      <c r="AP491" s="1">
        <v>46054659</v>
      </c>
      <c r="AQ491" s="1">
        <v>13653682</v>
      </c>
      <c r="AR491" s="1">
        <v>2048052</v>
      </c>
      <c r="AS491" s="1">
        <v>0</v>
      </c>
      <c r="AT491" s="1">
        <f t="shared" si="47"/>
        <v>86351414</v>
      </c>
    </row>
    <row r="492" spans="1:46">
      <c r="A492" s="1" t="str">
        <f>"00559"</f>
        <v>00559</v>
      </c>
      <c r="B492" s="1" t="str">
        <f>"رضا"</f>
        <v>رضا</v>
      </c>
      <c r="C492" s="1" t="str">
        <f>"مشکور"</f>
        <v>مشکور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10483817</v>
      </c>
      <c r="G492" s="1">
        <v>8788702</v>
      </c>
      <c r="H492" s="1">
        <v>0</v>
      </c>
      <c r="I492" s="1">
        <v>7857547</v>
      </c>
      <c r="J492" s="1">
        <v>0</v>
      </c>
      <c r="K492" s="1">
        <v>3465000</v>
      </c>
      <c r="L492" s="1">
        <v>0</v>
      </c>
      <c r="M492" s="1">
        <v>400000</v>
      </c>
      <c r="N492" s="1">
        <v>1753864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12276282</v>
      </c>
      <c r="W492" s="1">
        <v>1100000</v>
      </c>
      <c r="X492" s="1">
        <v>1572573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1252760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6552652</v>
      </c>
      <c r="AM492" s="1">
        <v>0</v>
      </c>
      <c r="AN492" s="1">
        <v>56773197</v>
      </c>
      <c r="AO492" s="1">
        <v>8052542</v>
      </c>
      <c r="AP492" s="1">
        <v>48720655</v>
      </c>
      <c r="AQ492" s="1">
        <v>11100639</v>
      </c>
      <c r="AR492" s="1">
        <v>1665096</v>
      </c>
      <c r="AS492" s="1">
        <v>0</v>
      </c>
      <c r="AT492" s="1">
        <f t="shared" si="47"/>
        <v>69538932</v>
      </c>
    </row>
    <row r="493" spans="1:46">
      <c r="A493" s="1" t="str">
        <f>"00560"</f>
        <v>00560</v>
      </c>
      <c r="B493" s="1" t="str">
        <f>"وحيد"</f>
        <v>وحيد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11032660</v>
      </c>
      <c r="G493" s="1">
        <v>5096999</v>
      </c>
      <c r="H493" s="1">
        <v>0</v>
      </c>
      <c r="I493" s="1">
        <v>8183260</v>
      </c>
      <c r="J493" s="1">
        <v>0</v>
      </c>
      <c r="K493" s="1">
        <v>3465000</v>
      </c>
      <c r="L493" s="1">
        <v>0</v>
      </c>
      <c r="M493" s="1">
        <v>400000</v>
      </c>
      <c r="N493" s="1">
        <v>1931364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9738627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1379546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4524911</v>
      </c>
      <c r="AM493" s="1">
        <v>0</v>
      </c>
      <c r="AN493" s="1">
        <v>48122367</v>
      </c>
      <c r="AO493" s="1">
        <v>8166428</v>
      </c>
      <c r="AP493" s="1">
        <v>39955939</v>
      </c>
      <c r="AQ493" s="1">
        <v>9370473</v>
      </c>
      <c r="AR493" s="1">
        <v>1405571</v>
      </c>
      <c r="AS493" s="1">
        <v>0</v>
      </c>
      <c r="AT493" s="1">
        <f t="shared" si="47"/>
        <v>58898411</v>
      </c>
    </row>
    <row r="494" spans="1:46">
      <c r="A494" s="1" t="str">
        <f>"00561"</f>
        <v>00561</v>
      </c>
      <c r="B494" s="1" t="str">
        <f>"حسن"</f>
        <v>حسن</v>
      </c>
      <c r="C494" s="1" t="str">
        <f>"منصوري"</f>
        <v>منصوري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11998555</v>
      </c>
      <c r="G494" s="1">
        <v>16128069</v>
      </c>
      <c r="H494" s="1">
        <v>0</v>
      </c>
      <c r="I494" s="1">
        <v>9748375</v>
      </c>
      <c r="J494" s="1">
        <v>0</v>
      </c>
      <c r="K494" s="1">
        <v>4620000</v>
      </c>
      <c r="L494" s="1">
        <v>0</v>
      </c>
      <c r="M494" s="1">
        <v>400000</v>
      </c>
      <c r="N494" s="1">
        <v>2324439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1270000</v>
      </c>
      <c r="U494" s="1">
        <v>0</v>
      </c>
      <c r="V494" s="1">
        <v>14840022</v>
      </c>
      <c r="W494" s="1">
        <v>1100000</v>
      </c>
      <c r="X494" s="1">
        <v>1799783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1660313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8580506</v>
      </c>
      <c r="AM494" s="1">
        <v>0</v>
      </c>
      <c r="AN494" s="1">
        <v>74470062</v>
      </c>
      <c r="AO494" s="1">
        <v>11729539</v>
      </c>
      <c r="AP494" s="1">
        <v>62740523</v>
      </c>
      <c r="AQ494" s="1">
        <v>14640012</v>
      </c>
      <c r="AR494" s="1">
        <v>2196002</v>
      </c>
      <c r="AS494" s="1">
        <v>0</v>
      </c>
      <c r="AT494" s="1">
        <f t="shared" si="47"/>
        <v>91306076</v>
      </c>
    </row>
    <row r="495" spans="1:46">
      <c r="A495" s="1" t="str">
        <f>"00562"</f>
        <v>00562</v>
      </c>
      <c r="B495" s="1" t="str">
        <f>"محمد امين"</f>
        <v>محمد امين</v>
      </c>
      <c r="C495" s="1" t="str">
        <f>"ميرزائي فراشبندي"</f>
        <v>ميرزائي فراشبندي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14633862</v>
      </c>
      <c r="G495" s="1">
        <v>8129902</v>
      </c>
      <c r="H495" s="1">
        <v>0</v>
      </c>
      <c r="I495" s="1">
        <v>11304355</v>
      </c>
      <c r="J495" s="1">
        <v>0</v>
      </c>
      <c r="K495" s="1">
        <v>5500000</v>
      </c>
      <c r="L495" s="1">
        <v>0</v>
      </c>
      <c r="M495" s="1">
        <v>400000</v>
      </c>
      <c r="N495" s="1">
        <v>2309200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6446858</v>
      </c>
      <c r="W495" s="1">
        <v>1100000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2476895</v>
      </c>
      <c r="AD495" s="1">
        <v>0</v>
      </c>
      <c r="AE495" s="1">
        <v>1649429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2474142</v>
      </c>
      <c r="AM495" s="1">
        <v>0</v>
      </c>
      <c r="AN495" s="1">
        <v>56424643</v>
      </c>
      <c r="AO495" s="1">
        <v>14666069</v>
      </c>
      <c r="AP495" s="1">
        <v>41758574</v>
      </c>
      <c r="AQ495" s="1">
        <v>11284929</v>
      </c>
      <c r="AR495" s="1">
        <v>1692739</v>
      </c>
      <c r="AS495" s="1">
        <v>0</v>
      </c>
      <c r="AT495" s="1">
        <f t="shared" si="47"/>
        <v>69402311</v>
      </c>
    </row>
    <row r="496" spans="1:46">
      <c r="A496" s="1" t="str">
        <f>"00563"</f>
        <v>00563</v>
      </c>
      <c r="B496" s="1" t="str">
        <f>"احمدرضا"</f>
        <v>احمدرضا</v>
      </c>
      <c r="C496" s="1" t="str">
        <f>"وطن خواه"</f>
        <v>وطن خواه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11172546</v>
      </c>
      <c r="G496" s="1">
        <v>2472785</v>
      </c>
      <c r="H496" s="1">
        <v>0</v>
      </c>
      <c r="I496" s="1">
        <v>8917650</v>
      </c>
      <c r="J496" s="1">
        <v>0</v>
      </c>
      <c r="K496" s="1">
        <v>4620000</v>
      </c>
      <c r="L496" s="1">
        <v>0</v>
      </c>
      <c r="M496" s="1">
        <v>400000</v>
      </c>
      <c r="N496" s="1">
        <v>2004836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1270000</v>
      </c>
      <c r="U496" s="1">
        <v>0</v>
      </c>
      <c r="V496" s="1">
        <v>10814734</v>
      </c>
      <c r="W496" s="1">
        <v>1100000</v>
      </c>
      <c r="X496" s="1">
        <v>1675882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1432025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8048808</v>
      </c>
      <c r="AM496" s="1">
        <v>0</v>
      </c>
      <c r="AN496" s="1">
        <v>53929266</v>
      </c>
      <c r="AO496" s="1">
        <v>10136757</v>
      </c>
      <c r="AP496" s="1">
        <v>43792509</v>
      </c>
      <c r="AQ496" s="1">
        <v>10531853</v>
      </c>
      <c r="AR496" s="1">
        <v>1579778</v>
      </c>
      <c r="AS496" s="1">
        <v>0</v>
      </c>
      <c r="AT496" s="1">
        <f t="shared" si="47"/>
        <v>66040897</v>
      </c>
    </row>
    <row r="497" spans="1:46">
      <c r="A497" s="1" t="str">
        <f>"00564"</f>
        <v>00564</v>
      </c>
      <c r="B497" s="1" t="str">
        <f>"سعيد"</f>
        <v>سعيد</v>
      </c>
      <c r="C497" s="1" t="str">
        <f>"هاشمي"</f>
        <v>هاشمي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11448437</v>
      </c>
      <c r="G497" s="1">
        <v>5833988</v>
      </c>
      <c r="H497" s="1">
        <v>0</v>
      </c>
      <c r="I497" s="1">
        <v>8627858</v>
      </c>
      <c r="J497" s="1">
        <v>0</v>
      </c>
      <c r="K497" s="1">
        <v>4620000</v>
      </c>
      <c r="L497" s="1">
        <v>0</v>
      </c>
      <c r="M497" s="1">
        <v>400000</v>
      </c>
      <c r="N497" s="1">
        <v>2110566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13581770</v>
      </c>
      <c r="W497" s="1">
        <v>1100000</v>
      </c>
      <c r="X497" s="1">
        <v>972331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1507548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7173250</v>
      </c>
      <c r="AM497" s="1">
        <v>0</v>
      </c>
      <c r="AN497" s="1">
        <v>58645748</v>
      </c>
      <c r="AO497" s="1">
        <v>12508636</v>
      </c>
      <c r="AP497" s="1">
        <v>46137112</v>
      </c>
      <c r="AQ497" s="1">
        <v>11475150</v>
      </c>
      <c r="AR497" s="1">
        <v>1721272</v>
      </c>
      <c r="AS497" s="1">
        <v>0</v>
      </c>
      <c r="AT497" s="1">
        <f t="shared" si="47"/>
        <v>71842170</v>
      </c>
    </row>
    <row r="498" spans="1:46">
      <c r="A498" s="1" t="str">
        <f>"00565"</f>
        <v>00565</v>
      </c>
      <c r="B498" s="1" t="str">
        <f>"عباس"</f>
        <v>عباس</v>
      </c>
      <c r="C498" s="1" t="str">
        <f>"يزداني"</f>
        <v>يزداني</v>
      </c>
      <c r="D498" s="1" t="str">
        <f t="shared" si="51"/>
        <v>قراردادي بهره بردار</v>
      </c>
      <c r="E498" s="1" t="str">
        <f t="shared" ref="E498:E525" si="53">"پروژه تعميرات نيروگاه بوشهر"</f>
        <v>پروژه تعميرات نيروگاه بوشهر</v>
      </c>
      <c r="F498" s="1">
        <v>11259811</v>
      </c>
      <c r="G498" s="1">
        <v>6961883</v>
      </c>
      <c r="H498" s="1">
        <v>0</v>
      </c>
      <c r="I498" s="1">
        <v>10101624</v>
      </c>
      <c r="J498" s="1">
        <v>0</v>
      </c>
      <c r="K498" s="1">
        <v>4620000</v>
      </c>
      <c r="L498" s="1">
        <v>0</v>
      </c>
      <c r="M498" s="1">
        <v>400000</v>
      </c>
      <c r="N498" s="1">
        <v>2059329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1270000</v>
      </c>
      <c r="U498" s="1">
        <v>0</v>
      </c>
      <c r="V498" s="1">
        <v>14644259</v>
      </c>
      <c r="W498" s="1">
        <v>1100000</v>
      </c>
      <c r="X498" s="1">
        <v>1688972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1470949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8202657</v>
      </c>
      <c r="AM498" s="1">
        <v>0</v>
      </c>
      <c r="AN498" s="1">
        <v>63779484</v>
      </c>
      <c r="AO498" s="1">
        <v>9758259</v>
      </c>
      <c r="AP498" s="1">
        <v>54021225</v>
      </c>
      <c r="AQ498" s="1">
        <v>12501897</v>
      </c>
      <c r="AR498" s="1">
        <v>1875285</v>
      </c>
      <c r="AS498" s="1">
        <v>0</v>
      </c>
      <c r="AT498" s="1">
        <f t="shared" si="47"/>
        <v>78156666</v>
      </c>
    </row>
    <row r="499" spans="1:46">
      <c r="A499" s="1" t="str">
        <f>"00566"</f>
        <v>00566</v>
      </c>
      <c r="B499" s="1" t="str">
        <f>"عابد"</f>
        <v>عابد</v>
      </c>
      <c r="C499" s="1" t="str">
        <f>"خنده جام"</f>
        <v>خنده جام</v>
      </c>
      <c r="D499" s="1" t="str">
        <f t="shared" ref="D499:D524" si="54">"قراردادي کارگري"</f>
        <v>قراردادي کارگري</v>
      </c>
      <c r="E499" s="1" t="str">
        <f t="shared" si="53"/>
        <v>پروژه تعميرات نيروگاه بوشهر</v>
      </c>
      <c r="F499" s="1">
        <v>5528690</v>
      </c>
      <c r="G499" s="1">
        <v>0</v>
      </c>
      <c r="H499" s="1">
        <v>0</v>
      </c>
      <c r="I499" s="1">
        <v>3870083</v>
      </c>
      <c r="J499" s="1">
        <v>0</v>
      </c>
      <c r="K499" s="1">
        <v>0</v>
      </c>
      <c r="L499" s="1">
        <v>3620700</v>
      </c>
      <c r="M499" s="1">
        <v>400000</v>
      </c>
      <c r="N499" s="1">
        <v>2909837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3616582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1115052</v>
      </c>
      <c r="AE499" s="1">
        <v>0</v>
      </c>
      <c r="AF499" s="1">
        <v>1111269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23272213</v>
      </c>
      <c r="AO499" s="1">
        <v>5305196</v>
      </c>
      <c r="AP499" s="1">
        <v>17967017</v>
      </c>
      <c r="AQ499" s="1">
        <v>4432189</v>
      </c>
      <c r="AR499" s="1">
        <v>664828</v>
      </c>
      <c r="AS499" s="1">
        <v>795000</v>
      </c>
      <c r="AT499" s="1">
        <f t="shared" si="47"/>
        <v>29164230</v>
      </c>
    </row>
    <row r="500" spans="1:46">
      <c r="A500" s="1" t="str">
        <f>"00567"</f>
        <v>00567</v>
      </c>
      <c r="B500" s="1" t="str">
        <f>"مهدي"</f>
        <v>مهدي</v>
      </c>
      <c r="C500" s="1" t="str">
        <f>"شاكري"</f>
        <v>شاكري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7338281</v>
      </c>
      <c r="G500" s="1">
        <v>6133230</v>
      </c>
      <c r="H500" s="1">
        <v>0</v>
      </c>
      <c r="I500" s="1">
        <v>6164156</v>
      </c>
      <c r="J500" s="1">
        <v>0</v>
      </c>
      <c r="K500" s="1">
        <v>0</v>
      </c>
      <c r="L500" s="1">
        <v>3460800</v>
      </c>
      <c r="M500" s="1">
        <v>400000</v>
      </c>
      <c r="N500" s="1">
        <v>3913750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7160635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35670852</v>
      </c>
      <c r="AO500" s="1">
        <v>7269378</v>
      </c>
      <c r="AP500" s="1">
        <v>28401474</v>
      </c>
      <c r="AQ500" s="1">
        <v>7134170</v>
      </c>
      <c r="AR500" s="1">
        <v>1070126</v>
      </c>
      <c r="AS500" s="1">
        <v>600000</v>
      </c>
      <c r="AT500" s="1">
        <f t="shared" si="47"/>
        <v>44475148</v>
      </c>
    </row>
    <row r="501" spans="1:46">
      <c r="A501" s="1" t="str">
        <f>"00568"</f>
        <v>00568</v>
      </c>
      <c r="B501" s="1" t="str">
        <f>"علي"</f>
        <v>علي</v>
      </c>
      <c r="C501" s="1" t="str">
        <f>"فرهادي"</f>
        <v>فرهادي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8494271</v>
      </c>
      <c r="G501" s="1">
        <v>16035502</v>
      </c>
      <c r="H501" s="1">
        <v>0</v>
      </c>
      <c r="I501" s="1">
        <v>6285760</v>
      </c>
      <c r="J501" s="1">
        <v>0</v>
      </c>
      <c r="K501" s="1">
        <v>0</v>
      </c>
      <c r="L501" s="1">
        <v>3710227</v>
      </c>
      <c r="M501" s="1">
        <v>400000</v>
      </c>
      <c r="N501" s="1">
        <v>4470669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7582887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48079316</v>
      </c>
      <c r="AO501" s="1">
        <v>10663991</v>
      </c>
      <c r="AP501" s="1">
        <v>37415325</v>
      </c>
      <c r="AQ501" s="1">
        <v>9615863</v>
      </c>
      <c r="AR501" s="1">
        <v>1442379</v>
      </c>
      <c r="AS501" s="1">
        <v>600000</v>
      </c>
      <c r="AT501" s="1">
        <f t="shared" si="47"/>
        <v>59737558</v>
      </c>
    </row>
    <row r="502" spans="1:46">
      <c r="A502" s="1" t="str">
        <f>"00569"</f>
        <v>00569</v>
      </c>
      <c r="B502" s="1" t="str">
        <f>"مجاهد"</f>
        <v>مجاهد</v>
      </c>
      <c r="C502" s="1" t="str">
        <f>"مسيح گل"</f>
        <v>مسيح گل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5644080</v>
      </c>
      <c r="G502" s="1">
        <v>16836184</v>
      </c>
      <c r="H502" s="1">
        <v>0</v>
      </c>
      <c r="I502" s="1">
        <v>3555770</v>
      </c>
      <c r="J502" s="1">
        <v>0</v>
      </c>
      <c r="K502" s="1">
        <v>0</v>
      </c>
      <c r="L502" s="1">
        <v>4547310</v>
      </c>
      <c r="M502" s="1">
        <v>400000</v>
      </c>
      <c r="N502" s="1">
        <v>3010176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5659774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40753294</v>
      </c>
      <c r="AO502" s="1">
        <v>6172747</v>
      </c>
      <c r="AP502" s="1">
        <v>34580547</v>
      </c>
      <c r="AQ502" s="1">
        <v>8150659</v>
      </c>
      <c r="AR502" s="1">
        <v>1222599</v>
      </c>
      <c r="AS502" s="1">
        <v>195000</v>
      </c>
      <c r="AT502" s="1">
        <f t="shared" si="47"/>
        <v>50321552</v>
      </c>
    </row>
    <row r="503" spans="1:46">
      <c r="A503" s="1" t="str">
        <f>"00570"</f>
        <v>00570</v>
      </c>
      <c r="B503" s="1" t="str">
        <f>"احمد رضا"</f>
        <v>احمد رضا</v>
      </c>
      <c r="C503" s="1" t="str">
        <f>"رستم بروجردي"</f>
        <v>رستم بروجردي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5915275</v>
      </c>
      <c r="G503" s="1">
        <v>4519283</v>
      </c>
      <c r="H503" s="1">
        <v>0</v>
      </c>
      <c r="I503" s="1">
        <v>4377303</v>
      </c>
      <c r="J503" s="1">
        <v>0</v>
      </c>
      <c r="K503" s="1">
        <v>0</v>
      </c>
      <c r="L503" s="1">
        <v>3620700</v>
      </c>
      <c r="M503" s="1">
        <v>400000</v>
      </c>
      <c r="N503" s="1">
        <v>3113302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5928506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28974369</v>
      </c>
      <c r="AO503" s="1">
        <v>5118360</v>
      </c>
      <c r="AP503" s="1">
        <v>23856009</v>
      </c>
      <c r="AQ503" s="1">
        <v>5794874</v>
      </c>
      <c r="AR503" s="1">
        <v>869231</v>
      </c>
      <c r="AS503" s="1">
        <v>530000</v>
      </c>
      <c r="AT503" s="1">
        <f t="shared" si="47"/>
        <v>36168474</v>
      </c>
    </row>
    <row r="504" spans="1:46">
      <c r="A504" s="1" t="str">
        <f>"00571"</f>
        <v>00571</v>
      </c>
      <c r="B504" s="1" t="str">
        <f>"هادي"</f>
        <v>هادي</v>
      </c>
      <c r="C504" s="1" t="str">
        <f>"منفرد"</f>
        <v>منفرد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7682220</v>
      </c>
      <c r="G504" s="1">
        <v>7587804</v>
      </c>
      <c r="H504" s="1">
        <v>0</v>
      </c>
      <c r="I504" s="1">
        <v>6760354</v>
      </c>
      <c r="J504" s="1">
        <v>0</v>
      </c>
      <c r="K504" s="1">
        <v>0</v>
      </c>
      <c r="L504" s="1">
        <v>3620700</v>
      </c>
      <c r="M504" s="1">
        <v>400000</v>
      </c>
      <c r="N504" s="1">
        <v>4097184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7571346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41042146</v>
      </c>
      <c r="AO504" s="1">
        <v>6263949</v>
      </c>
      <c r="AP504" s="1">
        <v>34778197</v>
      </c>
      <c r="AQ504" s="1">
        <v>7763922</v>
      </c>
      <c r="AR504" s="1">
        <v>1164588</v>
      </c>
      <c r="AS504" s="1">
        <v>0</v>
      </c>
      <c r="AT504" s="1">
        <f t="shared" si="47"/>
        <v>49970656</v>
      </c>
    </row>
    <row r="505" spans="1:46">
      <c r="A505" s="1" t="str">
        <f>"00572"</f>
        <v>00572</v>
      </c>
      <c r="B505" s="1" t="str">
        <f>"رمضان"</f>
        <v>رمضان</v>
      </c>
      <c r="C505" s="1" t="str">
        <f>"مجيدي"</f>
        <v>مجيدي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8454170</v>
      </c>
      <c r="G505" s="1">
        <v>0</v>
      </c>
      <c r="H505" s="1">
        <v>0</v>
      </c>
      <c r="I505" s="1">
        <v>6087002</v>
      </c>
      <c r="J505" s="1">
        <v>0</v>
      </c>
      <c r="K505" s="1">
        <v>0</v>
      </c>
      <c r="L505" s="1">
        <v>3620700</v>
      </c>
      <c r="M505" s="1">
        <v>400000</v>
      </c>
      <c r="N505" s="1">
        <v>4479030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7725089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3396135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1417080</v>
      </c>
      <c r="AK505" s="1">
        <v>0</v>
      </c>
      <c r="AL505" s="1">
        <v>0</v>
      </c>
      <c r="AM505" s="1">
        <v>0</v>
      </c>
      <c r="AN505" s="1">
        <v>36679206</v>
      </c>
      <c r="AO505" s="1">
        <v>7438772</v>
      </c>
      <c r="AP505" s="1">
        <v>29240434</v>
      </c>
      <c r="AQ505" s="1">
        <v>7335841</v>
      </c>
      <c r="AR505" s="1">
        <v>1100376</v>
      </c>
      <c r="AS505" s="1">
        <v>600000</v>
      </c>
      <c r="AT505" s="1">
        <f t="shared" si="47"/>
        <v>45715423</v>
      </c>
    </row>
    <row r="506" spans="1:46">
      <c r="A506" s="1" t="str">
        <f>"00573"</f>
        <v>00573</v>
      </c>
      <c r="B506" s="1" t="str">
        <f>"غلامحسين"</f>
        <v>غلامحسين</v>
      </c>
      <c r="C506" s="1" t="str">
        <f>"خاقاني"</f>
        <v>خاقاني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5195062</v>
      </c>
      <c r="G506" s="1">
        <v>7684830</v>
      </c>
      <c r="H506" s="1">
        <v>0</v>
      </c>
      <c r="I506" s="1">
        <v>3896297</v>
      </c>
      <c r="J506" s="1">
        <v>0</v>
      </c>
      <c r="K506" s="1">
        <v>0</v>
      </c>
      <c r="L506" s="1">
        <v>3909810</v>
      </c>
      <c r="M506" s="1">
        <v>400000</v>
      </c>
      <c r="N506" s="1">
        <v>2734243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5342978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32485758</v>
      </c>
      <c r="AO506" s="1">
        <v>8098043</v>
      </c>
      <c r="AP506" s="1">
        <v>24387715</v>
      </c>
      <c r="AQ506" s="1">
        <v>6052644</v>
      </c>
      <c r="AR506" s="1">
        <v>907897</v>
      </c>
      <c r="AS506" s="1">
        <v>1060000</v>
      </c>
      <c r="AT506" s="1">
        <f t="shared" si="47"/>
        <v>40506299</v>
      </c>
    </row>
    <row r="507" spans="1:46">
      <c r="A507" s="1" t="str">
        <f>"00574"</f>
        <v>00574</v>
      </c>
      <c r="B507" s="1" t="str">
        <f>"بهزاد"</f>
        <v>بهزاد</v>
      </c>
      <c r="C507" s="1" t="str">
        <f>"رضائي"</f>
        <v>رضائي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5491620</v>
      </c>
      <c r="G507" s="1">
        <v>7069198</v>
      </c>
      <c r="H507" s="1">
        <v>0</v>
      </c>
      <c r="I507" s="1">
        <v>3953967</v>
      </c>
      <c r="J507" s="1">
        <v>0</v>
      </c>
      <c r="K507" s="1">
        <v>0</v>
      </c>
      <c r="L507" s="1">
        <v>3621830</v>
      </c>
      <c r="M507" s="1">
        <v>400000</v>
      </c>
      <c r="N507" s="1">
        <v>2890326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5586478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2222538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32335957</v>
      </c>
      <c r="AO507" s="1">
        <v>5131887</v>
      </c>
      <c r="AP507" s="1">
        <v>27204070</v>
      </c>
      <c r="AQ507" s="1">
        <v>6022684</v>
      </c>
      <c r="AR507" s="1">
        <v>903403</v>
      </c>
      <c r="AS507" s="1">
        <v>0</v>
      </c>
      <c r="AT507" s="1">
        <f t="shared" si="47"/>
        <v>39262044</v>
      </c>
    </row>
    <row r="508" spans="1:46">
      <c r="A508" s="1" t="str">
        <f>"00575"</f>
        <v>00575</v>
      </c>
      <c r="B508" s="1" t="str">
        <f>"داريوش"</f>
        <v>داريوش</v>
      </c>
      <c r="C508" s="1" t="str">
        <f>"اميربندي"</f>
        <v>اميربندي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8732646</v>
      </c>
      <c r="G508" s="1">
        <v>28313684</v>
      </c>
      <c r="H508" s="1">
        <v>0</v>
      </c>
      <c r="I508" s="1">
        <v>7335423</v>
      </c>
      <c r="J508" s="1">
        <v>0</v>
      </c>
      <c r="K508" s="1">
        <v>0</v>
      </c>
      <c r="L508" s="1">
        <v>3620700</v>
      </c>
      <c r="M508" s="1">
        <v>400000</v>
      </c>
      <c r="N508" s="1">
        <v>4657411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8012316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65505987</v>
      </c>
      <c r="AO508" s="1">
        <v>11259555</v>
      </c>
      <c r="AP508" s="1">
        <v>54246432</v>
      </c>
      <c r="AQ508" s="1">
        <v>12434436</v>
      </c>
      <c r="AR508" s="1">
        <v>1865165</v>
      </c>
      <c r="AS508" s="1">
        <v>530000</v>
      </c>
      <c r="AT508" s="1">
        <f t="shared" si="47"/>
        <v>80335588</v>
      </c>
    </row>
    <row r="509" spans="1:46">
      <c r="A509" s="1" t="str">
        <f>"00576"</f>
        <v>00576</v>
      </c>
      <c r="B509" s="1" t="str">
        <f>"اصغر"</f>
        <v>اصغر</v>
      </c>
      <c r="C509" s="1" t="str">
        <f>"عليپور"</f>
        <v>عليپور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7533523</v>
      </c>
      <c r="G509" s="1">
        <v>0</v>
      </c>
      <c r="H509" s="1">
        <v>0</v>
      </c>
      <c r="I509" s="1">
        <v>5424136</v>
      </c>
      <c r="J509" s="1">
        <v>0</v>
      </c>
      <c r="K509" s="1">
        <v>0</v>
      </c>
      <c r="L509" s="1">
        <v>3620700</v>
      </c>
      <c r="M509" s="1">
        <v>400000</v>
      </c>
      <c r="N509" s="1">
        <v>3991270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7062282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3085444</v>
      </c>
      <c r="AE509" s="1">
        <v>0</v>
      </c>
      <c r="AF509" s="1">
        <v>4445076</v>
      </c>
      <c r="AG509" s="1">
        <v>0</v>
      </c>
      <c r="AH509" s="1">
        <v>0</v>
      </c>
      <c r="AI509" s="1">
        <v>0</v>
      </c>
      <c r="AJ509" s="1">
        <v>3868468</v>
      </c>
      <c r="AK509" s="1">
        <v>0</v>
      </c>
      <c r="AL509" s="1">
        <v>0</v>
      </c>
      <c r="AM509" s="1">
        <v>0</v>
      </c>
      <c r="AN509" s="1">
        <v>40530899</v>
      </c>
      <c r="AO509" s="1">
        <v>8188593</v>
      </c>
      <c r="AP509" s="1">
        <v>32342306</v>
      </c>
      <c r="AQ509" s="1">
        <v>7217165</v>
      </c>
      <c r="AR509" s="1">
        <v>1082575</v>
      </c>
      <c r="AS509" s="1">
        <v>1855000</v>
      </c>
      <c r="AT509" s="1">
        <f t="shared" si="47"/>
        <v>50685639</v>
      </c>
    </row>
    <row r="510" spans="1:46">
      <c r="A510" s="1" t="str">
        <f>"00577"</f>
        <v>00577</v>
      </c>
      <c r="B510" s="1" t="str">
        <f>"عبدالمحمد"</f>
        <v>عبدالمحمد</v>
      </c>
      <c r="C510" s="1" t="str">
        <f>"گرامي"</f>
        <v>گرامي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7091612</v>
      </c>
      <c r="G510" s="1">
        <v>7532898</v>
      </c>
      <c r="H510" s="1">
        <v>0</v>
      </c>
      <c r="I510" s="1">
        <v>5247793</v>
      </c>
      <c r="J510" s="1">
        <v>0</v>
      </c>
      <c r="K510" s="1">
        <v>0</v>
      </c>
      <c r="L510" s="1">
        <v>3620700</v>
      </c>
      <c r="M510" s="1">
        <v>400000</v>
      </c>
      <c r="N510" s="1">
        <v>3757146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4879968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2957588</v>
      </c>
      <c r="AE510" s="1">
        <v>0</v>
      </c>
      <c r="AF510" s="1">
        <v>3333807</v>
      </c>
      <c r="AG510" s="1">
        <v>0</v>
      </c>
      <c r="AH510" s="1">
        <v>0</v>
      </c>
      <c r="AI510" s="1">
        <v>0</v>
      </c>
      <c r="AJ510" s="1">
        <v>3443611</v>
      </c>
      <c r="AK510" s="1">
        <v>0</v>
      </c>
      <c r="AL510" s="1">
        <v>0</v>
      </c>
      <c r="AM510" s="1">
        <v>0</v>
      </c>
      <c r="AN510" s="1">
        <v>43365123</v>
      </c>
      <c r="AO510" s="1">
        <v>9252942</v>
      </c>
      <c r="AP510" s="1">
        <v>34112181</v>
      </c>
      <c r="AQ510" s="1">
        <v>8006263</v>
      </c>
      <c r="AR510" s="1">
        <v>1200939</v>
      </c>
      <c r="AS510" s="1">
        <v>795000</v>
      </c>
      <c r="AT510" s="1">
        <f t="shared" si="47"/>
        <v>53367325</v>
      </c>
    </row>
    <row r="511" spans="1:46">
      <c r="A511" s="1" t="str">
        <f>"00578"</f>
        <v>00578</v>
      </c>
      <c r="B511" s="1" t="str">
        <f>"علي اكبر"</f>
        <v>علي اكبر</v>
      </c>
      <c r="C511" s="1" t="str">
        <f>"هلال بحر"</f>
        <v>هلال بحر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8257721</v>
      </c>
      <c r="G511" s="1">
        <v>13817600</v>
      </c>
      <c r="H511" s="1">
        <v>0</v>
      </c>
      <c r="I511" s="1">
        <v>6853908</v>
      </c>
      <c r="J511" s="1">
        <v>0</v>
      </c>
      <c r="K511" s="1">
        <v>0</v>
      </c>
      <c r="L511" s="1">
        <v>3460800</v>
      </c>
      <c r="M511" s="1">
        <v>400000</v>
      </c>
      <c r="N511" s="1">
        <v>4404118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7587729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45881876</v>
      </c>
      <c r="AO511" s="1">
        <v>7688154</v>
      </c>
      <c r="AP511" s="1">
        <v>38193722</v>
      </c>
      <c r="AQ511" s="1">
        <v>9176375</v>
      </c>
      <c r="AR511" s="1">
        <v>1376456</v>
      </c>
      <c r="AS511" s="1">
        <v>600000</v>
      </c>
      <c r="AT511" s="1">
        <f t="shared" si="47"/>
        <v>57034707</v>
      </c>
    </row>
    <row r="512" spans="1:46">
      <c r="A512" s="1" t="str">
        <f>"00579"</f>
        <v>00579</v>
      </c>
      <c r="B512" s="1" t="str">
        <f>"امير"</f>
        <v>امير</v>
      </c>
      <c r="C512" s="1" t="str">
        <f>"شاه نجات بوشهري"</f>
        <v>شاه نجات بوشهري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7556935</v>
      </c>
      <c r="G512" s="1">
        <v>0</v>
      </c>
      <c r="H512" s="1">
        <v>0</v>
      </c>
      <c r="I512" s="1">
        <v>5365424</v>
      </c>
      <c r="J512" s="1">
        <v>0</v>
      </c>
      <c r="K512" s="1">
        <v>0</v>
      </c>
      <c r="L512" s="1">
        <v>3620700</v>
      </c>
      <c r="M512" s="1">
        <v>400000</v>
      </c>
      <c r="N512" s="1">
        <v>3977334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7046526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3078059</v>
      </c>
      <c r="AE512" s="1">
        <v>0</v>
      </c>
      <c r="AF512" s="1">
        <v>1111269</v>
      </c>
      <c r="AG512" s="1">
        <v>0</v>
      </c>
      <c r="AH512" s="1">
        <v>0</v>
      </c>
      <c r="AI512" s="1">
        <v>0</v>
      </c>
      <c r="AJ512" s="1">
        <v>2572912</v>
      </c>
      <c r="AK512" s="1">
        <v>0</v>
      </c>
      <c r="AL512" s="1">
        <v>0</v>
      </c>
      <c r="AM512" s="1">
        <v>0</v>
      </c>
      <c r="AN512" s="1">
        <v>35829159</v>
      </c>
      <c r="AO512" s="1">
        <v>7401579</v>
      </c>
      <c r="AP512" s="1">
        <v>28427580</v>
      </c>
      <c r="AQ512" s="1">
        <v>6943578</v>
      </c>
      <c r="AR512" s="1">
        <v>1041537</v>
      </c>
      <c r="AS512" s="1">
        <v>795000</v>
      </c>
      <c r="AT512" s="1">
        <f t="shared" si="47"/>
        <v>44609274</v>
      </c>
    </row>
    <row r="513" spans="1:46">
      <c r="A513" s="1" t="str">
        <f>"00580"</f>
        <v>00580</v>
      </c>
      <c r="B513" s="1" t="str">
        <f>"عبدالرضا"</f>
        <v>عبدالرضا</v>
      </c>
      <c r="C513" s="1" t="str">
        <f>"عطشاني"</f>
        <v>عطشاني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6007879</v>
      </c>
      <c r="G513" s="1">
        <v>18584980</v>
      </c>
      <c r="H513" s="1">
        <v>0</v>
      </c>
      <c r="I513" s="1">
        <v>5046619</v>
      </c>
      <c r="J513" s="1">
        <v>0</v>
      </c>
      <c r="K513" s="1">
        <v>0</v>
      </c>
      <c r="L513" s="1">
        <v>4115700</v>
      </c>
      <c r="M513" s="1">
        <v>400000</v>
      </c>
      <c r="N513" s="1">
        <v>3182982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6154486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46815184</v>
      </c>
      <c r="AO513" s="1">
        <v>7859937</v>
      </c>
      <c r="AP513" s="1">
        <v>38955247</v>
      </c>
      <c r="AQ513" s="1">
        <v>8918529</v>
      </c>
      <c r="AR513" s="1">
        <v>1337779</v>
      </c>
      <c r="AS513" s="1">
        <v>1060000</v>
      </c>
      <c r="AT513" s="1">
        <f t="shared" si="47"/>
        <v>58131492</v>
      </c>
    </row>
    <row r="514" spans="1:46">
      <c r="A514" s="1" t="str">
        <f>"00581"</f>
        <v>00581</v>
      </c>
      <c r="B514" s="1" t="str">
        <f>"رضا"</f>
        <v>رضا</v>
      </c>
      <c r="C514" s="1" t="str">
        <f>"بنشاخته"</f>
        <v>بنشاخته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8401561</v>
      </c>
      <c r="G514" s="1">
        <v>16950232</v>
      </c>
      <c r="H514" s="1">
        <v>0</v>
      </c>
      <c r="I514" s="1">
        <v>6217155</v>
      </c>
      <c r="J514" s="1">
        <v>0</v>
      </c>
      <c r="K514" s="1">
        <v>0</v>
      </c>
      <c r="L514" s="1">
        <v>3620700</v>
      </c>
      <c r="M514" s="1">
        <v>400000</v>
      </c>
      <c r="N514" s="1">
        <v>4451158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7499078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3333807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51973691</v>
      </c>
      <c r="AO514" s="1">
        <v>10186548</v>
      </c>
      <c r="AP514" s="1">
        <v>41787143</v>
      </c>
      <c r="AQ514" s="1">
        <v>9727977</v>
      </c>
      <c r="AR514" s="1">
        <v>1459197</v>
      </c>
      <c r="AS514" s="1">
        <v>1325000</v>
      </c>
      <c r="AT514" s="1">
        <f t="shared" si="47"/>
        <v>64485865</v>
      </c>
    </row>
    <row r="515" spans="1:46">
      <c r="A515" s="1" t="str">
        <f>"00582"</f>
        <v>00582</v>
      </c>
      <c r="B515" s="1" t="str">
        <f>"مصطفي"</f>
        <v>مصطفي</v>
      </c>
      <c r="C515" s="1" t="str">
        <f>"روانستان"</f>
        <v>روانستان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5830544</v>
      </c>
      <c r="G515" s="1">
        <v>14028420</v>
      </c>
      <c r="H515" s="1">
        <v>0</v>
      </c>
      <c r="I515" s="1">
        <v>4372908</v>
      </c>
      <c r="J515" s="1">
        <v>0</v>
      </c>
      <c r="K515" s="1">
        <v>0</v>
      </c>
      <c r="L515" s="1">
        <v>3650810</v>
      </c>
      <c r="M515" s="1">
        <v>400000</v>
      </c>
      <c r="N515" s="1">
        <v>3068707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5711120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40385047</v>
      </c>
      <c r="AO515" s="1">
        <v>8415304</v>
      </c>
      <c r="AP515" s="1">
        <v>31969743</v>
      </c>
      <c r="AQ515" s="1">
        <v>7632502</v>
      </c>
      <c r="AR515" s="1">
        <v>1144875</v>
      </c>
      <c r="AS515" s="1">
        <v>1060000</v>
      </c>
      <c r="AT515" s="1">
        <f t="shared" ref="AT515:AT578" si="55">AS515+AR515+AQ515+AN515</f>
        <v>50222424</v>
      </c>
    </row>
    <row r="516" spans="1:46">
      <c r="A516" s="1" t="str">
        <f>"00583"</f>
        <v>00583</v>
      </c>
      <c r="B516" s="1" t="str">
        <f>"علي حسين"</f>
        <v>علي حسين</v>
      </c>
      <c r="C516" s="1" t="str">
        <f>"طاهري كلاني"</f>
        <v>طاهري كلاني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9395527</v>
      </c>
      <c r="G516" s="1">
        <v>2274195</v>
      </c>
      <c r="H516" s="1">
        <v>0</v>
      </c>
      <c r="I516" s="1">
        <v>7704333</v>
      </c>
      <c r="J516" s="1">
        <v>0</v>
      </c>
      <c r="K516" s="1">
        <v>0</v>
      </c>
      <c r="L516" s="1">
        <v>3460800</v>
      </c>
      <c r="M516" s="1">
        <v>400000</v>
      </c>
      <c r="N516" s="1">
        <v>5010947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5617359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1790012</v>
      </c>
      <c r="AE516" s="1">
        <v>0</v>
      </c>
      <c r="AF516" s="1">
        <v>1111269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37864442</v>
      </c>
      <c r="AO516" s="1">
        <v>7763970</v>
      </c>
      <c r="AP516" s="1">
        <v>30100472</v>
      </c>
      <c r="AQ516" s="1">
        <v>7350635</v>
      </c>
      <c r="AR516" s="1">
        <v>1102595</v>
      </c>
      <c r="AS516" s="1">
        <v>795000</v>
      </c>
      <c r="AT516" s="1">
        <f t="shared" si="55"/>
        <v>47112672</v>
      </c>
    </row>
    <row r="517" spans="1:46">
      <c r="A517" s="1" t="str">
        <f>"00584"</f>
        <v>00584</v>
      </c>
      <c r="B517" s="1" t="str">
        <f>"علي"</f>
        <v>علي</v>
      </c>
      <c r="C517" s="1" t="str">
        <f>"علوي راد"</f>
        <v>علوي راد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6127102</v>
      </c>
      <c r="G517" s="1">
        <v>9084844</v>
      </c>
      <c r="H517" s="1">
        <v>0</v>
      </c>
      <c r="I517" s="1">
        <v>4472784</v>
      </c>
      <c r="J517" s="1">
        <v>0</v>
      </c>
      <c r="K517" s="1">
        <v>0</v>
      </c>
      <c r="L517" s="1">
        <v>4110460</v>
      </c>
      <c r="M517" s="1">
        <v>400000</v>
      </c>
      <c r="N517" s="1">
        <v>3224790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6024892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36767410</v>
      </c>
      <c r="AO517" s="1">
        <v>7230458</v>
      </c>
      <c r="AP517" s="1">
        <v>29536952</v>
      </c>
      <c r="AQ517" s="1">
        <v>6908974</v>
      </c>
      <c r="AR517" s="1">
        <v>1036346</v>
      </c>
      <c r="AS517" s="1">
        <v>1060000</v>
      </c>
      <c r="AT517" s="1">
        <f t="shared" si="55"/>
        <v>45772730</v>
      </c>
    </row>
    <row r="518" spans="1:46">
      <c r="A518" s="1" t="str">
        <f>"00585"</f>
        <v>00585</v>
      </c>
      <c r="B518" s="1" t="str">
        <f>"سيد حسن"</f>
        <v>سيد حسن</v>
      </c>
      <c r="C518" s="1" t="str">
        <f>"افسرده فرد"</f>
        <v>افسرده فرد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9855247</v>
      </c>
      <c r="G518" s="1">
        <v>5238738</v>
      </c>
      <c r="H518" s="1">
        <v>0</v>
      </c>
      <c r="I518" s="1">
        <v>8278408</v>
      </c>
      <c r="J518" s="1">
        <v>0</v>
      </c>
      <c r="K518" s="1">
        <v>0</v>
      </c>
      <c r="L518" s="1">
        <v>3460800</v>
      </c>
      <c r="M518" s="1">
        <v>400000</v>
      </c>
      <c r="N518" s="1">
        <v>5256131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9072188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2500000</v>
      </c>
      <c r="AJ518" s="1">
        <v>0</v>
      </c>
      <c r="AK518" s="1">
        <v>0</v>
      </c>
      <c r="AL518" s="1">
        <v>0</v>
      </c>
      <c r="AM518" s="1">
        <v>0</v>
      </c>
      <c r="AN518" s="1">
        <v>47384050</v>
      </c>
      <c r="AO518" s="1">
        <v>7177388</v>
      </c>
      <c r="AP518" s="1">
        <v>40206662</v>
      </c>
      <c r="AQ518" s="1">
        <v>8532302</v>
      </c>
      <c r="AR518" s="1">
        <v>1279845</v>
      </c>
      <c r="AS518" s="1">
        <v>1060000</v>
      </c>
      <c r="AT518" s="1">
        <f t="shared" si="55"/>
        <v>58256197</v>
      </c>
    </row>
    <row r="519" spans="1:46">
      <c r="A519" s="1" t="str">
        <f>"00586"</f>
        <v>00586</v>
      </c>
      <c r="B519" s="1" t="str">
        <f>"رضا"</f>
        <v>رضا</v>
      </c>
      <c r="C519" s="1" t="str">
        <f>"بازدار"</f>
        <v>بازدار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7870217</v>
      </c>
      <c r="G519" s="1">
        <v>12571864</v>
      </c>
      <c r="H519" s="1">
        <v>0</v>
      </c>
      <c r="I519" s="1">
        <v>5745258</v>
      </c>
      <c r="J519" s="1">
        <v>0</v>
      </c>
      <c r="K519" s="1">
        <v>0</v>
      </c>
      <c r="L519" s="1">
        <v>3620700</v>
      </c>
      <c r="M519" s="1">
        <v>400000</v>
      </c>
      <c r="N519" s="1">
        <v>4169651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7329864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45030092</v>
      </c>
      <c r="AO519" s="1">
        <v>9680589</v>
      </c>
      <c r="AP519" s="1">
        <v>35349503</v>
      </c>
      <c r="AQ519" s="1">
        <v>8561511</v>
      </c>
      <c r="AR519" s="1">
        <v>1284227</v>
      </c>
      <c r="AS519" s="1">
        <v>900000</v>
      </c>
      <c r="AT519" s="1">
        <f t="shared" si="55"/>
        <v>55775830</v>
      </c>
    </row>
    <row r="520" spans="1:46">
      <c r="A520" s="1" t="str">
        <f>"00587"</f>
        <v>00587</v>
      </c>
      <c r="B520" s="1" t="str">
        <f>"محمود"</f>
        <v>محمود</v>
      </c>
      <c r="C520" s="1" t="str">
        <f>"كرم زاده"</f>
        <v>كرم زاده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6534869</v>
      </c>
      <c r="G520" s="1">
        <v>13563670</v>
      </c>
      <c r="H520" s="1">
        <v>0</v>
      </c>
      <c r="I520" s="1">
        <v>5554639</v>
      </c>
      <c r="J520" s="1">
        <v>0</v>
      </c>
      <c r="K520" s="1">
        <v>0</v>
      </c>
      <c r="L520" s="1">
        <v>4115700</v>
      </c>
      <c r="M520" s="1">
        <v>400000</v>
      </c>
      <c r="N520" s="1">
        <v>3439405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6554830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43485651</v>
      </c>
      <c r="AO520" s="1">
        <v>13564458</v>
      </c>
      <c r="AP520" s="1">
        <v>29921193</v>
      </c>
      <c r="AQ520" s="1">
        <v>8252623</v>
      </c>
      <c r="AR520" s="1">
        <v>1237893</v>
      </c>
      <c r="AS520" s="1">
        <v>600000</v>
      </c>
      <c r="AT520" s="1">
        <f t="shared" si="55"/>
        <v>53576167</v>
      </c>
    </row>
    <row r="521" spans="1:46">
      <c r="A521" s="1" t="str">
        <f>"00588"</f>
        <v>00588</v>
      </c>
      <c r="B521" s="1" t="str">
        <f>"عليرضا"</f>
        <v>عليرضا</v>
      </c>
      <c r="C521" s="1" t="str">
        <f>"جماله"</f>
        <v>جماله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8965586</v>
      </c>
      <c r="G521" s="1">
        <v>11056819</v>
      </c>
      <c r="H521" s="1">
        <v>0</v>
      </c>
      <c r="I521" s="1">
        <v>6455222</v>
      </c>
      <c r="J521" s="1">
        <v>0</v>
      </c>
      <c r="K521" s="1">
        <v>0</v>
      </c>
      <c r="L521" s="1">
        <v>3620700</v>
      </c>
      <c r="M521" s="1">
        <v>400000</v>
      </c>
      <c r="N521" s="1">
        <v>4718730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7830674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46370269</v>
      </c>
      <c r="AO521" s="1">
        <v>14305552</v>
      </c>
      <c r="AP521" s="1">
        <v>32064717</v>
      </c>
      <c r="AQ521" s="1">
        <v>8829546</v>
      </c>
      <c r="AR521" s="1">
        <v>1324432</v>
      </c>
      <c r="AS521" s="1">
        <v>1200000</v>
      </c>
      <c r="AT521" s="1">
        <f t="shared" si="55"/>
        <v>57724247</v>
      </c>
    </row>
    <row r="522" spans="1:46">
      <c r="A522" s="1" t="str">
        <f>"00589"</f>
        <v>00589</v>
      </c>
      <c r="B522" s="1" t="str">
        <f>"محمد"</f>
        <v>محمد</v>
      </c>
      <c r="C522" s="1" t="str">
        <f>"تمدن آرا"</f>
        <v>تمدن آرا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5444969</v>
      </c>
      <c r="G522" s="1">
        <v>20138314</v>
      </c>
      <c r="H522" s="1">
        <v>0</v>
      </c>
      <c r="I522" s="1">
        <v>4301526</v>
      </c>
      <c r="J522" s="1">
        <v>0</v>
      </c>
      <c r="K522" s="1">
        <v>0</v>
      </c>
      <c r="L522" s="1">
        <v>5346522</v>
      </c>
      <c r="M522" s="1">
        <v>400000</v>
      </c>
      <c r="N522" s="1">
        <v>2884752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6038108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2222538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47876729</v>
      </c>
      <c r="AO522" s="1">
        <v>9670978</v>
      </c>
      <c r="AP522" s="1">
        <v>38205751</v>
      </c>
      <c r="AQ522" s="1">
        <v>9130838</v>
      </c>
      <c r="AR522" s="1">
        <v>1369626</v>
      </c>
      <c r="AS522" s="1">
        <v>1060000</v>
      </c>
      <c r="AT522" s="1">
        <f t="shared" si="55"/>
        <v>59437193</v>
      </c>
    </row>
    <row r="523" spans="1:46">
      <c r="A523" s="1" t="str">
        <f>"00590"</f>
        <v>00590</v>
      </c>
      <c r="B523" s="1" t="str">
        <f>"شكراله"</f>
        <v>شكراله</v>
      </c>
      <c r="C523" s="1" t="str">
        <f>"حقيقي"</f>
        <v>حقيقي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4499586</v>
      </c>
      <c r="G523" s="1">
        <v>2931718</v>
      </c>
      <c r="H523" s="1">
        <v>0</v>
      </c>
      <c r="I523" s="1">
        <v>3149710</v>
      </c>
      <c r="J523" s="1">
        <v>0</v>
      </c>
      <c r="K523" s="1">
        <v>0</v>
      </c>
      <c r="L523" s="1">
        <v>4966981</v>
      </c>
      <c r="M523" s="1">
        <v>400000</v>
      </c>
      <c r="N523" s="1">
        <v>2249792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5237142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2229910</v>
      </c>
      <c r="AE523" s="1">
        <v>0</v>
      </c>
      <c r="AF523" s="1">
        <v>1111269</v>
      </c>
      <c r="AG523" s="1">
        <v>0</v>
      </c>
      <c r="AH523" s="1">
        <v>0</v>
      </c>
      <c r="AI523" s="1">
        <v>0</v>
      </c>
      <c r="AJ523" s="1">
        <v>2814450</v>
      </c>
      <c r="AK523" s="1">
        <v>0</v>
      </c>
      <c r="AL523" s="1">
        <v>0</v>
      </c>
      <c r="AM523" s="1">
        <v>0</v>
      </c>
      <c r="AN523" s="1">
        <v>30690558</v>
      </c>
      <c r="AO523" s="1">
        <v>2710447</v>
      </c>
      <c r="AP523" s="1">
        <v>27980111</v>
      </c>
      <c r="AQ523" s="1">
        <v>5915858</v>
      </c>
      <c r="AR523" s="1">
        <v>887379</v>
      </c>
      <c r="AS523" s="1">
        <v>0</v>
      </c>
      <c r="AT523" s="1">
        <f t="shared" si="55"/>
        <v>37493795</v>
      </c>
    </row>
    <row r="524" spans="1:46">
      <c r="A524" s="1" t="str">
        <f>"00591"</f>
        <v>00591</v>
      </c>
      <c r="B524" s="1" t="str">
        <f>"سيد مهدي"</f>
        <v>سيد مهدي</v>
      </c>
      <c r="C524" s="1" t="str">
        <f>"موسوي"</f>
        <v>موسوي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5309616</v>
      </c>
      <c r="G524" s="1">
        <v>3206431</v>
      </c>
      <c r="H524" s="1">
        <v>0</v>
      </c>
      <c r="I524" s="1">
        <v>3291962</v>
      </c>
      <c r="J524" s="1">
        <v>0</v>
      </c>
      <c r="K524" s="1">
        <v>0</v>
      </c>
      <c r="L524" s="1">
        <v>5036762</v>
      </c>
      <c r="M524" s="1">
        <v>400000</v>
      </c>
      <c r="N524" s="1">
        <v>2654807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5693807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2443972</v>
      </c>
      <c r="AE524" s="1">
        <v>0</v>
      </c>
      <c r="AF524" s="1">
        <v>3333807</v>
      </c>
      <c r="AG524" s="1">
        <v>0</v>
      </c>
      <c r="AH524" s="1">
        <v>0</v>
      </c>
      <c r="AI524" s="1">
        <v>0</v>
      </c>
      <c r="AJ524" s="1">
        <v>3078174</v>
      </c>
      <c r="AK524" s="1">
        <v>0</v>
      </c>
      <c r="AL524" s="1">
        <v>0</v>
      </c>
      <c r="AM524" s="1">
        <v>0</v>
      </c>
      <c r="AN524" s="1">
        <v>35549338</v>
      </c>
      <c r="AO524" s="1">
        <v>7500427</v>
      </c>
      <c r="AP524" s="1">
        <v>28048911</v>
      </c>
      <c r="AQ524" s="1">
        <v>6443106</v>
      </c>
      <c r="AR524" s="1">
        <v>966466</v>
      </c>
      <c r="AS524" s="1">
        <v>1060000</v>
      </c>
      <c r="AT524" s="1">
        <f t="shared" si="55"/>
        <v>44018910</v>
      </c>
    </row>
    <row r="525" spans="1:46">
      <c r="A525" s="1" t="str">
        <f>"00594"</f>
        <v>00594</v>
      </c>
      <c r="B525" s="1" t="str">
        <f>"مهدي"</f>
        <v>مهدي</v>
      </c>
      <c r="C525" s="1" t="str">
        <f>"احمديان مفرد"</f>
        <v>احمديان مفرد</v>
      </c>
      <c r="D525" s="1" t="str">
        <f t="shared" ref="D525:D568" si="56">"قراردادي بهره بردار"</f>
        <v>قراردادي بهره بردار</v>
      </c>
      <c r="E525" s="1" t="str">
        <f t="shared" si="53"/>
        <v>پروژه تعميرات نيروگاه بوشهر</v>
      </c>
      <c r="F525" s="1">
        <v>22672749</v>
      </c>
      <c r="G525" s="1">
        <v>19426268</v>
      </c>
      <c r="H525" s="1">
        <v>0</v>
      </c>
      <c r="I525" s="1">
        <v>18987619</v>
      </c>
      <c r="J525" s="1">
        <v>0</v>
      </c>
      <c r="K525" s="1">
        <v>5500000</v>
      </c>
      <c r="L525" s="1">
        <v>0</v>
      </c>
      <c r="M525" s="1">
        <v>400000</v>
      </c>
      <c r="N525" s="1">
        <v>3525265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12454472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2518046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6446198</v>
      </c>
      <c r="AM525" s="1">
        <v>0</v>
      </c>
      <c r="AN525" s="1">
        <v>94141886</v>
      </c>
      <c r="AO525" s="1">
        <v>16952190</v>
      </c>
      <c r="AP525" s="1">
        <v>77189696</v>
      </c>
      <c r="AQ525" s="1">
        <v>15557766</v>
      </c>
      <c r="AR525" s="1">
        <v>2333665</v>
      </c>
      <c r="AS525" s="1">
        <v>0</v>
      </c>
      <c r="AT525" s="1">
        <f t="shared" si="55"/>
        <v>112033317</v>
      </c>
    </row>
    <row r="526" spans="1:46">
      <c r="A526" s="1" t="str">
        <f>"00595"</f>
        <v>00595</v>
      </c>
      <c r="B526" s="1" t="str">
        <f>"امين"</f>
        <v>امين</v>
      </c>
      <c r="C526" s="1" t="str">
        <f>"ارجمندي"</f>
        <v>ارجمندي</v>
      </c>
      <c r="D526" s="1" t="str">
        <f t="shared" si="56"/>
        <v>قراردادي بهره بردار</v>
      </c>
      <c r="E526" s="1" t="str">
        <f t="shared" ref="E526:E531" si="57">"پروژه بهره برداري نيروگاه بوشهر"</f>
        <v>پروژه بهره برداري نيروگاه بوشهر</v>
      </c>
      <c r="F526" s="1">
        <v>19132659</v>
      </c>
      <c r="G526" s="1">
        <v>26352984</v>
      </c>
      <c r="H526" s="1">
        <v>0</v>
      </c>
      <c r="I526" s="1">
        <v>18575013</v>
      </c>
      <c r="J526" s="1">
        <v>0</v>
      </c>
      <c r="K526" s="1">
        <v>5500000</v>
      </c>
      <c r="L526" s="1">
        <v>0</v>
      </c>
      <c r="M526" s="1">
        <v>400000</v>
      </c>
      <c r="N526" s="1">
        <v>2864238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4831716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2425950</v>
      </c>
      <c r="AD526" s="1">
        <v>0</v>
      </c>
      <c r="AE526" s="1">
        <v>2045884</v>
      </c>
      <c r="AF526" s="1">
        <v>1111269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3273415</v>
      </c>
      <c r="AM526" s="1">
        <v>0</v>
      </c>
      <c r="AN526" s="1">
        <v>87613128</v>
      </c>
      <c r="AO526" s="1">
        <v>14542953</v>
      </c>
      <c r="AP526" s="1">
        <v>73070175</v>
      </c>
      <c r="AQ526" s="1">
        <v>15557766</v>
      </c>
      <c r="AR526" s="1">
        <v>2333665</v>
      </c>
      <c r="AS526" s="1">
        <v>0</v>
      </c>
      <c r="AT526" s="1">
        <f t="shared" si="55"/>
        <v>105504559</v>
      </c>
    </row>
    <row r="527" spans="1:46">
      <c r="A527" s="1" t="str">
        <f>"00600"</f>
        <v>00600</v>
      </c>
      <c r="B527" s="1" t="str">
        <f>"اسماعيل"</f>
        <v>اسماعيل</v>
      </c>
      <c r="C527" s="1" t="str">
        <f>"هويداپور"</f>
        <v>هويداپور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17542449</v>
      </c>
      <c r="G527" s="1">
        <v>16551405</v>
      </c>
      <c r="H527" s="1">
        <v>0</v>
      </c>
      <c r="I527" s="1">
        <v>15405262</v>
      </c>
      <c r="J527" s="1">
        <v>0</v>
      </c>
      <c r="K527" s="1">
        <v>5500000</v>
      </c>
      <c r="L527" s="1">
        <v>0</v>
      </c>
      <c r="M527" s="1">
        <v>400000</v>
      </c>
      <c r="N527" s="1">
        <v>2474981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4211330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2447784</v>
      </c>
      <c r="AD527" s="1">
        <v>0</v>
      </c>
      <c r="AE527" s="1">
        <v>1767844</v>
      </c>
      <c r="AF527" s="1">
        <v>1111269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2474981</v>
      </c>
      <c r="AM527" s="1">
        <v>0</v>
      </c>
      <c r="AN527" s="1">
        <v>70987305</v>
      </c>
      <c r="AO527" s="1">
        <v>12996380</v>
      </c>
      <c r="AP527" s="1">
        <v>57990925</v>
      </c>
      <c r="AQ527" s="1">
        <v>13975207</v>
      </c>
      <c r="AR527" s="1">
        <v>2096281</v>
      </c>
      <c r="AS527" s="1">
        <v>0</v>
      </c>
      <c r="AT527" s="1">
        <f t="shared" si="55"/>
        <v>87058793</v>
      </c>
    </row>
    <row r="528" spans="1:46">
      <c r="A528" s="1" t="str">
        <f>"00601"</f>
        <v>00601</v>
      </c>
      <c r="B528" s="1" t="str">
        <f>"وحيد"</f>
        <v>وحيد</v>
      </c>
      <c r="C528" s="1" t="str">
        <f>"پاکروان"</f>
        <v>پاکروان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13394505</v>
      </c>
      <c r="G528" s="1">
        <v>8659974</v>
      </c>
      <c r="H528" s="1">
        <v>3209875</v>
      </c>
      <c r="I528" s="1">
        <v>10594259</v>
      </c>
      <c r="J528" s="1">
        <v>0</v>
      </c>
      <c r="K528" s="1">
        <v>4125000</v>
      </c>
      <c r="L528" s="1">
        <v>0</v>
      </c>
      <c r="M528" s="1">
        <v>400000</v>
      </c>
      <c r="N528" s="1">
        <v>1964508</v>
      </c>
      <c r="O528" s="1">
        <v>0</v>
      </c>
      <c r="P528" s="1">
        <v>0</v>
      </c>
      <c r="Q528" s="1">
        <v>0</v>
      </c>
      <c r="R528" s="1">
        <v>0</v>
      </c>
      <c r="S528" s="1">
        <v>1525500</v>
      </c>
      <c r="T528" s="1">
        <v>0</v>
      </c>
      <c r="U528" s="1">
        <v>0</v>
      </c>
      <c r="V528" s="1">
        <v>2918068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1403220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1824187</v>
      </c>
      <c r="AM528" s="1">
        <v>0</v>
      </c>
      <c r="AN528" s="1">
        <v>51119096</v>
      </c>
      <c r="AO528" s="1">
        <v>13134760</v>
      </c>
      <c r="AP528" s="1">
        <v>37984336</v>
      </c>
      <c r="AQ528" s="1">
        <v>9276744</v>
      </c>
      <c r="AR528" s="1">
        <v>1391512</v>
      </c>
      <c r="AS528" s="1">
        <v>0</v>
      </c>
      <c r="AT528" s="1">
        <f t="shared" si="55"/>
        <v>61787352</v>
      </c>
    </row>
    <row r="529" spans="1:46">
      <c r="A529" s="1" t="str">
        <f>"00602"</f>
        <v>00602</v>
      </c>
      <c r="B529" s="1" t="str">
        <f>"زينب"</f>
        <v>زينب</v>
      </c>
      <c r="C529" s="1" t="str">
        <f>"صمديان مطلق"</f>
        <v>صمديان مطلق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12690213</v>
      </c>
      <c r="G529" s="1">
        <v>1826747</v>
      </c>
      <c r="H529" s="1">
        <v>0</v>
      </c>
      <c r="I529" s="1">
        <v>11391058</v>
      </c>
      <c r="J529" s="1">
        <v>950000</v>
      </c>
      <c r="K529" s="1">
        <v>3465000</v>
      </c>
      <c r="L529" s="1">
        <v>0</v>
      </c>
      <c r="M529" s="1">
        <v>400000</v>
      </c>
      <c r="N529" s="1">
        <v>2237368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3253574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2381621</v>
      </c>
      <c r="AD529" s="1">
        <v>0</v>
      </c>
      <c r="AE529" s="1">
        <v>1598119</v>
      </c>
      <c r="AF529" s="1">
        <v>2222538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2237368</v>
      </c>
      <c r="AM529" s="1">
        <v>0</v>
      </c>
      <c r="AN529" s="1">
        <v>45753606</v>
      </c>
      <c r="AO529" s="1">
        <v>7176144</v>
      </c>
      <c r="AP529" s="1">
        <v>38577462</v>
      </c>
      <c r="AQ529" s="1">
        <v>8516214</v>
      </c>
      <c r="AR529" s="1">
        <v>1277432</v>
      </c>
      <c r="AS529" s="1">
        <v>0</v>
      </c>
      <c r="AT529" s="1">
        <f t="shared" si="55"/>
        <v>55547252</v>
      </c>
    </row>
    <row r="530" spans="1:46">
      <c r="A530" s="1" t="str">
        <f>"00603"</f>
        <v>00603</v>
      </c>
      <c r="B530" s="1" t="str">
        <f>"اسماعيل"</f>
        <v>اسماعيل</v>
      </c>
      <c r="C530" s="1" t="str">
        <f>"قاسمي خواه"</f>
        <v>قاسمي خواه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15653095</v>
      </c>
      <c r="G530" s="1">
        <v>16781176</v>
      </c>
      <c r="H530" s="1">
        <v>0</v>
      </c>
      <c r="I530" s="1">
        <v>13753857</v>
      </c>
      <c r="J530" s="1">
        <v>0</v>
      </c>
      <c r="K530" s="1">
        <v>5500000</v>
      </c>
      <c r="L530" s="1">
        <v>0</v>
      </c>
      <c r="M530" s="1">
        <v>400000</v>
      </c>
      <c r="N530" s="1">
        <v>2697061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8144938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1926472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3852945</v>
      </c>
      <c r="AM530" s="1">
        <v>0</v>
      </c>
      <c r="AN530" s="1">
        <v>69809544</v>
      </c>
      <c r="AO530" s="1">
        <v>14626043</v>
      </c>
      <c r="AP530" s="1">
        <v>55183501</v>
      </c>
      <c r="AQ530" s="1">
        <v>13961909</v>
      </c>
      <c r="AR530" s="1">
        <v>2094286</v>
      </c>
      <c r="AS530" s="1">
        <v>0</v>
      </c>
      <c r="AT530" s="1">
        <f t="shared" si="55"/>
        <v>85865739</v>
      </c>
    </row>
    <row r="531" spans="1:46">
      <c r="A531" s="1" t="str">
        <f>"00604"</f>
        <v>00604</v>
      </c>
      <c r="B531" s="1" t="str">
        <f>"مهدي"</f>
        <v>مهدي</v>
      </c>
      <c r="C531" s="1" t="str">
        <f>"اسدي"</f>
        <v>اسدي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15927809</v>
      </c>
      <c r="G531" s="1">
        <v>10182449</v>
      </c>
      <c r="H531" s="1">
        <v>0</v>
      </c>
      <c r="I531" s="1">
        <v>14431344</v>
      </c>
      <c r="J531" s="1">
        <v>0</v>
      </c>
      <c r="K531" s="1">
        <v>5500000</v>
      </c>
      <c r="L531" s="1">
        <v>0</v>
      </c>
      <c r="M531" s="1">
        <v>400000</v>
      </c>
      <c r="N531" s="1">
        <v>2442680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1270000</v>
      </c>
      <c r="U531" s="1">
        <v>0</v>
      </c>
      <c r="V531" s="1">
        <v>3733824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1744771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2791635</v>
      </c>
      <c r="AM531" s="1">
        <v>0</v>
      </c>
      <c r="AN531" s="1">
        <v>60635781</v>
      </c>
      <c r="AO531" s="1">
        <v>14777885</v>
      </c>
      <c r="AP531" s="1">
        <v>45857896</v>
      </c>
      <c r="AQ531" s="1">
        <v>11650902</v>
      </c>
      <c r="AR531" s="1">
        <v>1747635</v>
      </c>
      <c r="AS531" s="1">
        <v>0</v>
      </c>
      <c r="AT531" s="1">
        <f t="shared" si="55"/>
        <v>74034318</v>
      </c>
    </row>
    <row r="532" spans="1:46">
      <c r="A532" s="1" t="str">
        <f>"00606"</f>
        <v>00606</v>
      </c>
      <c r="B532" s="1" t="str">
        <f>"محمدابراهيم"</f>
        <v>محمدابراهيم</v>
      </c>
      <c r="C532" s="1" t="str">
        <f>"اسمعيل پور"</f>
        <v>اسمعيل پور</v>
      </c>
      <c r="D532" s="1" t="str">
        <f t="shared" si="56"/>
        <v>قراردادي بهره بردار</v>
      </c>
      <c r="E532" s="1" t="str">
        <f>"پروژه تعميرات نيروگاه بوشهر"</f>
        <v>پروژه تعميرات نيروگاه بوشهر</v>
      </c>
      <c r="F532" s="1">
        <v>10620304</v>
      </c>
      <c r="G532" s="1">
        <v>2532758</v>
      </c>
      <c r="H532" s="1">
        <v>0</v>
      </c>
      <c r="I532" s="1">
        <v>8425551</v>
      </c>
      <c r="J532" s="1">
        <v>0</v>
      </c>
      <c r="K532" s="1">
        <v>4620000</v>
      </c>
      <c r="L532" s="1">
        <v>0</v>
      </c>
      <c r="M532" s="1">
        <v>400000</v>
      </c>
      <c r="N532" s="1">
        <v>1778059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9288106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1270042</v>
      </c>
      <c r="AF532" s="1">
        <v>1111269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3352910</v>
      </c>
      <c r="AM532" s="1">
        <v>0</v>
      </c>
      <c r="AN532" s="1">
        <v>44498999</v>
      </c>
      <c r="AO532" s="1">
        <v>11257825</v>
      </c>
      <c r="AP532" s="1">
        <v>33241174</v>
      </c>
      <c r="AQ532" s="1">
        <v>8677546</v>
      </c>
      <c r="AR532" s="1">
        <v>1301632</v>
      </c>
      <c r="AS532" s="1">
        <v>0</v>
      </c>
      <c r="AT532" s="1">
        <f t="shared" si="55"/>
        <v>54478177</v>
      </c>
    </row>
    <row r="533" spans="1:46">
      <c r="A533" s="1" t="str">
        <f>"00607"</f>
        <v>00607</v>
      </c>
      <c r="B533" s="1" t="str">
        <f>"امين"</f>
        <v>امين</v>
      </c>
      <c r="C533" s="1" t="str">
        <f>"افخمي نسب"</f>
        <v>افخمي نسب</v>
      </c>
      <c r="D533" s="1" t="str">
        <f t="shared" si="56"/>
        <v>قراردادي بهره بردار</v>
      </c>
      <c r="E533" s="1" t="str">
        <f t="shared" ref="E533:E553" si="58">"پروژه بهره برداري نيروگاه بوشهر"</f>
        <v>پروژه بهره برداري نيروگاه بوشهر</v>
      </c>
      <c r="F533" s="1">
        <v>11279496</v>
      </c>
      <c r="G533" s="1">
        <v>10450768</v>
      </c>
      <c r="H533" s="1">
        <v>0</v>
      </c>
      <c r="I533" s="1">
        <v>8691055</v>
      </c>
      <c r="J533" s="1">
        <v>0</v>
      </c>
      <c r="K533" s="1">
        <v>4620000</v>
      </c>
      <c r="L533" s="1">
        <v>0</v>
      </c>
      <c r="M533" s="1">
        <v>400000</v>
      </c>
      <c r="N533" s="1">
        <v>2046759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1270000</v>
      </c>
      <c r="U533" s="1">
        <v>0</v>
      </c>
      <c r="V533" s="1">
        <v>13059901</v>
      </c>
      <c r="W533" s="1">
        <v>1100000</v>
      </c>
      <c r="X533" s="1">
        <v>1691924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1461971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6892580</v>
      </c>
      <c r="AM533" s="1">
        <v>0</v>
      </c>
      <c r="AN533" s="1">
        <v>64075723</v>
      </c>
      <c r="AO533" s="1">
        <v>16476948</v>
      </c>
      <c r="AP533" s="1">
        <v>47598775</v>
      </c>
      <c r="AQ533" s="1">
        <v>12338891</v>
      </c>
      <c r="AR533" s="1">
        <v>1850834</v>
      </c>
      <c r="AS533" s="1">
        <v>0</v>
      </c>
      <c r="AT533" s="1">
        <f t="shared" si="55"/>
        <v>78265448</v>
      </c>
    </row>
    <row r="534" spans="1:46">
      <c r="A534" s="1" t="str">
        <f>"00608"</f>
        <v>00608</v>
      </c>
      <c r="B534" s="1" t="str">
        <f>"مجتبي"</f>
        <v>مجتبي</v>
      </c>
      <c r="C534" s="1" t="str">
        <f>"بازدار"</f>
        <v>بازدار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14963921</v>
      </c>
      <c r="G534" s="1">
        <v>19186942</v>
      </c>
      <c r="H534" s="1">
        <v>0</v>
      </c>
      <c r="I534" s="1">
        <v>11010578</v>
      </c>
      <c r="J534" s="1">
        <v>0</v>
      </c>
      <c r="K534" s="1">
        <v>5500000</v>
      </c>
      <c r="L534" s="1">
        <v>0</v>
      </c>
      <c r="M534" s="1">
        <v>400000</v>
      </c>
      <c r="N534" s="1">
        <v>2462186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8786454</v>
      </c>
      <c r="W534" s="1">
        <v>1100000</v>
      </c>
      <c r="X534" s="1">
        <v>2244588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1758705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8006586</v>
      </c>
      <c r="AM534" s="1">
        <v>0</v>
      </c>
      <c r="AN534" s="1">
        <v>76689960</v>
      </c>
      <c r="AO534" s="1">
        <v>12168553</v>
      </c>
      <c r="AP534" s="1">
        <v>64521407</v>
      </c>
      <c r="AQ534" s="1">
        <v>15083992</v>
      </c>
      <c r="AR534" s="1">
        <v>2262599</v>
      </c>
      <c r="AS534" s="1">
        <v>0</v>
      </c>
      <c r="AT534" s="1">
        <f t="shared" si="55"/>
        <v>94036551</v>
      </c>
    </row>
    <row r="535" spans="1:46">
      <c r="A535" s="1" t="str">
        <f>"00609"</f>
        <v>00609</v>
      </c>
      <c r="B535" s="1" t="str">
        <f>"ناصر"</f>
        <v>ناصر</v>
      </c>
      <c r="C535" s="1" t="str">
        <f>"بحراني"</f>
        <v>بحراني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15519218</v>
      </c>
      <c r="G535" s="1">
        <v>6881745</v>
      </c>
      <c r="H535" s="1">
        <v>0</v>
      </c>
      <c r="I535" s="1">
        <v>11876653</v>
      </c>
      <c r="J535" s="1">
        <v>0</v>
      </c>
      <c r="K535" s="1">
        <v>5500000</v>
      </c>
      <c r="L535" s="1">
        <v>0</v>
      </c>
      <c r="M535" s="1">
        <v>400000</v>
      </c>
      <c r="N535" s="1">
        <v>2657917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1270000</v>
      </c>
      <c r="U535" s="1">
        <v>0</v>
      </c>
      <c r="V535" s="1">
        <v>11439784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1898512</v>
      </c>
      <c r="AF535" s="1">
        <v>1111269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3797024</v>
      </c>
      <c r="AM535" s="1">
        <v>0</v>
      </c>
      <c r="AN535" s="1">
        <v>63452122</v>
      </c>
      <c r="AO535" s="1">
        <v>13270980</v>
      </c>
      <c r="AP535" s="1">
        <v>50181142</v>
      </c>
      <c r="AQ535" s="1">
        <v>12214171</v>
      </c>
      <c r="AR535" s="1">
        <v>1832126</v>
      </c>
      <c r="AS535" s="1">
        <v>0</v>
      </c>
      <c r="AT535" s="1">
        <f t="shared" si="55"/>
        <v>77498419</v>
      </c>
    </row>
    <row r="536" spans="1:46">
      <c r="A536" s="1" t="str">
        <f>"00612"</f>
        <v>00612</v>
      </c>
      <c r="B536" s="1" t="str">
        <f>"سمانه"</f>
        <v>سمانه</v>
      </c>
      <c r="C536" s="1" t="str">
        <f>"جلالي رودبارکي"</f>
        <v>جلالي رودبارکي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15439016</v>
      </c>
      <c r="G536" s="1">
        <v>7798973</v>
      </c>
      <c r="H536" s="1">
        <v>0</v>
      </c>
      <c r="I536" s="1">
        <v>11193123</v>
      </c>
      <c r="J536" s="1">
        <v>950000</v>
      </c>
      <c r="K536" s="1">
        <v>4125000</v>
      </c>
      <c r="L536" s="1">
        <v>0</v>
      </c>
      <c r="M536" s="1">
        <v>400000</v>
      </c>
      <c r="N536" s="1">
        <v>2579984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5241743</v>
      </c>
      <c r="W536" s="1">
        <v>1100000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1842845</v>
      </c>
      <c r="AF536" s="1">
        <v>1111269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3317122</v>
      </c>
      <c r="AM536" s="1">
        <v>0</v>
      </c>
      <c r="AN536" s="1">
        <v>56369075</v>
      </c>
      <c r="AO536" s="1">
        <v>10449682</v>
      </c>
      <c r="AP536" s="1">
        <v>45919393</v>
      </c>
      <c r="AQ536" s="1">
        <v>10607561</v>
      </c>
      <c r="AR536" s="1">
        <v>1591134</v>
      </c>
      <c r="AS536" s="1">
        <v>0</v>
      </c>
      <c r="AT536" s="1">
        <f t="shared" si="55"/>
        <v>68567770</v>
      </c>
    </row>
    <row r="537" spans="1:46">
      <c r="A537" s="1" t="str">
        <f>"00613"</f>
        <v>00613</v>
      </c>
      <c r="B537" s="1" t="str">
        <f>"سعيد"</f>
        <v>سعيد</v>
      </c>
      <c r="C537" s="1" t="str">
        <f>"جوکار"</f>
        <v>جوکار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11594018</v>
      </c>
      <c r="G537" s="1">
        <v>8225729</v>
      </c>
      <c r="H537" s="1">
        <v>0</v>
      </c>
      <c r="I537" s="1">
        <v>9757951</v>
      </c>
      <c r="J537" s="1">
        <v>0</v>
      </c>
      <c r="K537" s="1">
        <v>0</v>
      </c>
      <c r="L537" s="1">
        <v>0</v>
      </c>
      <c r="M537" s="1">
        <v>400000</v>
      </c>
      <c r="N537" s="1">
        <v>2164514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1270000</v>
      </c>
      <c r="U537" s="1">
        <v>0</v>
      </c>
      <c r="V537" s="1">
        <v>11512082</v>
      </c>
      <c r="W537" s="1">
        <v>1100000</v>
      </c>
      <c r="X537" s="1">
        <v>987087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1546081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8549353</v>
      </c>
      <c r="AM537" s="1">
        <v>0</v>
      </c>
      <c r="AN537" s="1">
        <v>57106815</v>
      </c>
      <c r="AO537" s="1">
        <v>12907973</v>
      </c>
      <c r="AP537" s="1">
        <v>44198842</v>
      </c>
      <c r="AQ537" s="1">
        <v>11167363</v>
      </c>
      <c r="AR537" s="1">
        <v>1675104</v>
      </c>
      <c r="AS537" s="1">
        <v>0</v>
      </c>
      <c r="AT537" s="1">
        <f t="shared" si="55"/>
        <v>69949282</v>
      </c>
    </row>
    <row r="538" spans="1:46">
      <c r="A538" s="1" t="str">
        <f>"00614"</f>
        <v>00614</v>
      </c>
      <c r="B538" s="1" t="str">
        <f>"مجتبي"</f>
        <v>مجتبي</v>
      </c>
      <c r="C538" s="1" t="str">
        <f>"حسني"</f>
        <v>حسني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11881230</v>
      </c>
      <c r="G538" s="1">
        <v>6475804</v>
      </c>
      <c r="H538" s="1">
        <v>0</v>
      </c>
      <c r="I538" s="1">
        <v>9193230</v>
      </c>
      <c r="J538" s="1">
        <v>0</v>
      </c>
      <c r="K538" s="1">
        <v>3465000</v>
      </c>
      <c r="L538" s="1">
        <v>0</v>
      </c>
      <c r="M538" s="1">
        <v>400000</v>
      </c>
      <c r="N538" s="1">
        <v>2236223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9360846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1597302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4344661</v>
      </c>
      <c r="AM538" s="1">
        <v>0</v>
      </c>
      <c r="AN538" s="1">
        <v>50054296</v>
      </c>
      <c r="AO538" s="1">
        <v>9469892</v>
      </c>
      <c r="AP538" s="1">
        <v>40584404</v>
      </c>
      <c r="AQ538" s="1">
        <v>10010859</v>
      </c>
      <c r="AR538" s="1">
        <v>1501629</v>
      </c>
      <c r="AS538" s="1">
        <v>0</v>
      </c>
      <c r="AT538" s="1">
        <f t="shared" si="55"/>
        <v>61566784</v>
      </c>
    </row>
    <row r="539" spans="1:46">
      <c r="A539" s="1" t="str">
        <f>"00616"</f>
        <v>00616</v>
      </c>
      <c r="B539" s="1" t="str">
        <f>"حامد"</f>
        <v>حامد</v>
      </c>
      <c r="C539" s="1" t="str">
        <f>"حسين زاده"</f>
        <v>حسين زاده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15365721</v>
      </c>
      <c r="G539" s="1">
        <v>7746026</v>
      </c>
      <c r="H539" s="1">
        <v>0</v>
      </c>
      <c r="I539" s="1">
        <v>12689590</v>
      </c>
      <c r="J539" s="1">
        <v>0</v>
      </c>
      <c r="K539" s="1">
        <v>5500000</v>
      </c>
      <c r="L539" s="1">
        <v>0</v>
      </c>
      <c r="M539" s="1">
        <v>400000</v>
      </c>
      <c r="N539" s="1">
        <v>2611631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1270000</v>
      </c>
      <c r="U539" s="1">
        <v>0</v>
      </c>
      <c r="V539" s="1">
        <v>11426674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1865451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4327846</v>
      </c>
      <c r="AM539" s="1">
        <v>0</v>
      </c>
      <c r="AN539" s="1">
        <v>64302939</v>
      </c>
      <c r="AO539" s="1">
        <v>8179534</v>
      </c>
      <c r="AP539" s="1">
        <v>56123405</v>
      </c>
      <c r="AQ539" s="1">
        <v>12606588</v>
      </c>
      <c r="AR539" s="1">
        <v>1890988</v>
      </c>
      <c r="AS539" s="1">
        <v>0</v>
      </c>
      <c r="AT539" s="1">
        <f t="shared" si="55"/>
        <v>78800515</v>
      </c>
    </row>
    <row r="540" spans="1:46">
      <c r="A540" s="1" t="str">
        <f>"00617"</f>
        <v>00617</v>
      </c>
      <c r="B540" s="1" t="str">
        <f>"صادق"</f>
        <v>صادق</v>
      </c>
      <c r="C540" s="1" t="str">
        <f>"دارابي"</f>
        <v>دارابي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11981231</v>
      </c>
      <c r="G540" s="1">
        <v>5925730</v>
      </c>
      <c r="H540" s="1">
        <v>0</v>
      </c>
      <c r="I540" s="1">
        <v>9448605</v>
      </c>
      <c r="J540" s="1">
        <v>0</v>
      </c>
      <c r="K540" s="1">
        <v>3465000</v>
      </c>
      <c r="L540" s="1">
        <v>0</v>
      </c>
      <c r="M540" s="1">
        <v>400000</v>
      </c>
      <c r="N540" s="1">
        <v>2280018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10865388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1628584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4429748</v>
      </c>
      <c r="AM540" s="1">
        <v>0</v>
      </c>
      <c r="AN540" s="1">
        <v>51524304</v>
      </c>
      <c r="AO540" s="1">
        <v>9860748</v>
      </c>
      <c r="AP540" s="1">
        <v>41663556</v>
      </c>
      <c r="AQ540" s="1">
        <v>10304861</v>
      </c>
      <c r="AR540" s="1">
        <v>1545729</v>
      </c>
      <c r="AS540" s="1">
        <v>0</v>
      </c>
      <c r="AT540" s="1">
        <f t="shared" si="55"/>
        <v>63374894</v>
      </c>
    </row>
    <row r="541" spans="1:46">
      <c r="A541" s="1" t="str">
        <f>"00618"</f>
        <v>00618</v>
      </c>
      <c r="B541" s="1" t="str">
        <f>"صادق"</f>
        <v>صادق</v>
      </c>
      <c r="C541" s="1" t="str">
        <f>"داودي"</f>
        <v>داودي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14980401</v>
      </c>
      <c r="G541" s="1">
        <v>8032261</v>
      </c>
      <c r="H541" s="1">
        <v>0</v>
      </c>
      <c r="I541" s="1">
        <v>10959418</v>
      </c>
      <c r="J541" s="1">
        <v>0</v>
      </c>
      <c r="K541" s="1">
        <v>5500000</v>
      </c>
      <c r="L541" s="1">
        <v>0</v>
      </c>
      <c r="M541" s="1">
        <v>400000</v>
      </c>
      <c r="N541" s="1">
        <v>2448670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10427049</v>
      </c>
      <c r="W541" s="1">
        <v>1100000</v>
      </c>
      <c r="X541" s="1">
        <v>2247060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1749051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3498101</v>
      </c>
      <c r="AM541" s="1">
        <v>0</v>
      </c>
      <c r="AN541" s="1">
        <v>61342011</v>
      </c>
      <c r="AO541" s="1">
        <v>9843458</v>
      </c>
      <c r="AP541" s="1">
        <v>51498553</v>
      </c>
      <c r="AQ541" s="1">
        <v>12268402</v>
      </c>
      <c r="AR541" s="1">
        <v>1840260</v>
      </c>
      <c r="AS541" s="1">
        <v>0</v>
      </c>
      <c r="AT541" s="1">
        <f t="shared" si="55"/>
        <v>75450673</v>
      </c>
    </row>
    <row r="542" spans="1:46">
      <c r="A542" s="1" t="str">
        <f>"00619"</f>
        <v>00619</v>
      </c>
      <c r="B542" s="1" t="str">
        <f>"وحيد"</f>
        <v>وحيد</v>
      </c>
      <c r="C542" s="1" t="str">
        <f>"دردي"</f>
        <v>دردي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11642835</v>
      </c>
      <c r="G542" s="1">
        <v>2599313</v>
      </c>
      <c r="H542" s="1">
        <v>0</v>
      </c>
      <c r="I542" s="1">
        <v>9215422</v>
      </c>
      <c r="J542" s="1">
        <v>0</v>
      </c>
      <c r="K542" s="1">
        <v>3465000</v>
      </c>
      <c r="L542" s="1">
        <v>0</v>
      </c>
      <c r="M542" s="1">
        <v>400000</v>
      </c>
      <c r="N542" s="1">
        <v>2178980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1270000</v>
      </c>
      <c r="U542" s="1">
        <v>0</v>
      </c>
      <c r="V542" s="1">
        <v>11368103</v>
      </c>
      <c r="W542" s="1">
        <v>1100000</v>
      </c>
      <c r="X542" s="1">
        <v>1746425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1556415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8597889</v>
      </c>
      <c r="AM542" s="1">
        <v>0</v>
      </c>
      <c r="AN542" s="1">
        <v>55140382</v>
      </c>
      <c r="AO542" s="1">
        <v>8170225</v>
      </c>
      <c r="AP542" s="1">
        <v>46970157</v>
      </c>
      <c r="AQ542" s="1">
        <v>10774076</v>
      </c>
      <c r="AR542" s="1">
        <v>1616111</v>
      </c>
      <c r="AS542" s="1">
        <v>0</v>
      </c>
      <c r="AT542" s="1">
        <f t="shared" si="55"/>
        <v>67530569</v>
      </c>
    </row>
    <row r="543" spans="1:46">
      <c r="A543" s="1" t="str">
        <f>"00620"</f>
        <v>00620</v>
      </c>
      <c r="B543" s="1" t="str">
        <f>"سروش"</f>
        <v>سروش</v>
      </c>
      <c r="C543" s="1" t="str">
        <f>"دهقان"</f>
        <v>دهقان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11576388</v>
      </c>
      <c r="G543" s="1">
        <v>2587687</v>
      </c>
      <c r="H543" s="1">
        <v>0</v>
      </c>
      <c r="I543" s="1">
        <v>9312395</v>
      </c>
      <c r="J543" s="1">
        <v>0</v>
      </c>
      <c r="K543" s="1">
        <v>4620000</v>
      </c>
      <c r="L543" s="1">
        <v>0</v>
      </c>
      <c r="M543" s="1">
        <v>400000</v>
      </c>
      <c r="N543" s="1">
        <v>2154975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1270000</v>
      </c>
      <c r="U543" s="1">
        <v>0</v>
      </c>
      <c r="V543" s="1">
        <v>11255612</v>
      </c>
      <c r="W543" s="1">
        <v>1100000</v>
      </c>
      <c r="X543" s="1">
        <v>1736458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1539268</v>
      </c>
      <c r="AF543" s="1">
        <v>2222538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8521715</v>
      </c>
      <c r="AM543" s="1">
        <v>0</v>
      </c>
      <c r="AN543" s="1">
        <v>58297036</v>
      </c>
      <c r="AO543" s="1">
        <v>10835409</v>
      </c>
      <c r="AP543" s="1">
        <v>47461627</v>
      </c>
      <c r="AQ543" s="1">
        <v>10960900</v>
      </c>
      <c r="AR543" s="1">
        <v>1644135</v>
      </c>
      <c r="AS543" s="1">
        <v>0</v>
      </c>
      <c r="AT543" s="1">
        <f t="shared" si="55"/>
        <v>70902071</v>
      </c>
    </row>
    <row r="544" spans="1:46">
      <c r="A544" s="1" t="str">
        <f>"00621"</f>
        <v>00621</v>
      </c>
      <c r="B544" s="1" t="str">
        <f>"سيده فاطمه"</f>
        <v>سيده فاطمه</v>
      </c>
      <c r="C544" s="1" t="str">
        <f>"رباني زاده"</f>
        <v>رباني زاده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11473747</v>
      </c>
      <c r="G544" s="1">
        <v>3576142</v>
      </c>
      <c r="H544" s="1">
        <v>0</v>
      </c>
      <c r="I544" s="1">
        <v>7598365</v>
      </c>
      <c r="J544" s="1">
        <v>0</v>
      </c>
      <c r="K544" s="1">
        <v>3465000</v>
      </c>
      <c r="L544" s="1">
        <v>0</v>
      </c>
      <c r="M544" s="1">
        <v>400000</v>
      </c>
      <c r="N544" s="1">
        <v>2045329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2476982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1460949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2191423</v>
      </c>
      <c r="AM544" s="1">
        <v>0</v>
      </c>
      <c r="AN544" s="1">
        <v>36899206</v>
      </c>
      <c r="AO544" s="1">
        <v>8980167</v>
      </c>
      <c r="AP544" s="1">
        <v>27919039</v>
      </c>
      <c r="AQ544" s="1">
        <v>7157587</v>
      </c>
      <c r="AR544" s="1">
        <v>1073638</v>
      </c>
      <c r="AS544" s="1">
        <v>0</v>
      </c>
      <c r="AT544" s="1">
        <f t="shared" si="55"/>
        <v>45130431</v>
      </c>
    </row>
    <row r="545" spans="1:46">
      <c r="A545" s="1" t="str">
        <f>"00622"</f>
        <v>00622</v>
      </c>
      <c r="B545" s="1" t="str">
        <f>"حسين"</f>
        <v>حسين</v>
      </c>
      <c r="C545" s="1" t="str">
        <f>"رشيدي بد"</f>
        <v>رشيدي بد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11291481</v>
      </c>
      <c r="G545" s="1">
        <v>2224088</v>
      </c>
      <c r="H545" s="1">
        <v>0</v>
      </c>
      <c r="I545" s="1">
        <v>8704797</v>
      </c>
      <c r="J545" s="1">
        <v>0</v>
      </c>
      <c r="K545" s="1">
        <v>3465000</v>
      </c>
      <c r="L545" s="1">
        <v>0</v>
      </c>
      <c r="M545" s="1">
        <v>400000</v>
      </c>
      <c r="N545" s="1">
        <v>2051702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13155841</v>
      </c>
      <c r="W545" s="1">
        <v>1100000</v>
      </c>
      <c r="X545" s="1">
        <v>1693722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1465502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6904648</v>
      </c>
      <c r="AM545" s="1">
        <v>0</v>
      </c>
      <c r="AN545" s="1">
        <v>52456781</v>
      </c>
      <c r="AO545" s="1">
        <v>9672740</v>
      </c>
      <c r="AP545" s="1">
        <v>42784041</v>
      </c>
      <c r="AQ545" s="1">
        <v>10491356</v>
      </c>
      <c r="AR545" s="1">
        <v>1573703</v>
      </c>
      <c r="AS545" s="1">
        <v>0</v>
      </c>
      <c r="AT545" s="1">
        <f t="shared" si="55"/>
        <v>64521840</v>
      </c>
    </row>
    <row r="546" spans="1:46">
      <c r="A546" s="1" t="str">
        <f>"00623"</f>
        <v>00623</v>
      </c>
      <c r="B546" s="1" t="str">
        <f>"فضل اله"</f>
        <v>فضل اله</v>
      </c>
      <c r="C546" s="1" t="str">
        <f>"رضواني نيا"</f>
        <v>رضواني نيا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11787582</v>
      </c>
      <c r="G546" s="1">
        <v>10701201</v>
      </c>
      <c r="H546" s="1">
        <v>0</v>
      </c>
      <c r="I546" s="1">
        <v>9767731</v>
      </c>
      <c r="J546" s="1">
        <v>0</v>
      </c>
      <c r="K546" s="1">
        <v>4620000</v>
      </c>
      <c r="L546" s="1">
        <v>0</v>
      </c>
      <c r="M546" s="1">
        <v>400000</v>
      </c>
      <c r="N546" s="1">
        <v>2235629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1270000</v>
      </c>
      <c r="U546" s="1">
        <v>0</v>
      </c>
      <c r="V546" s="1">
        <v>11700435</v>
      </c>
      <c r="W546" s="1">
        <v>1100000</v>
      </c>
      <c r="X546" s="1">
        <v>1768137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1596878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8774033</v>
      </c>
      <c r="AM546" s="1">
        <v>0</v>
      </c>
      <c r="AN546" s="1">
        <v>66832895</v>
      </c>
      <c r="AO546" s="1">
        <v>11391000</v>
      </c>
      <c r="AP546" s="1">
        <v>55441895</v>
      </c>
      <c r="AQ546" s="1">
        <v>12890325</v>
      </c>
      <c r="AR546" s="1">
        <v>1933549</v>
      </c>
      <c r="AS546" s="1">
        <v>0</v>
      </c>
      <c r="AT546" s="1">
        <f t="shared" si="55"/>
        <v>81656769</v>
      </c>
    </row>
    <row r="547" spans="1:46">
      <c r="A547" s="1" t="str">
        <f>"00624"</f>
        <v>00624</v>
      </c>
      <c r="B547" s="1" t="str">
        <f>"مينا"</f>
        <v>مينا</v>
      </c>
      <c r="C547" s="1" t="str">
        <f>"زائري"</f>
        <v>زائري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15672946</v>
      </c>
      <c r="G547" s="1">
        <v>6934564</v>
      </c>
      <c r="H547" s="1">
        <v>0</v>
      </c>
      <c r="I547" s="1">
        <v>11993629</v>
      </c>
      <c r="J547" s="1">
        <v>0</v>
      </c>
      <c r="K547" s="1">
        <v>4125000</v>
      </c>
      <c r="L547" s="1">
        <v>0</v>
      </c>
      <c r="M547" s="1">
        <v>400000</v>
      </c>
      <c r="N547" s="1">
        <v>2685551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7428492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1918251</v>
      </c>
      <c r="AF547" s="1">
        <v>1111269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3529582</v>
      </c>
      <c r="AM547" s="1">
        <v>0</v>
      </c>
      <c r="AN547" s="1">
        <v>56899284</v>
      </c>
      <c r="AO547" s="1">
        <v>10872752</v>
      </c>
      <c r="AP547" s="1">
        <v>46026532</v>
      </c>
      <c r="AQ547" s="1">
        <v>11157603</v>
      </c>
      <c r="AR547" s="1">
        <v>1673640</v>
      </c>
      <c r="AS547" s="1">
        <v>0</v>
      </c>
      <c r="AT547" s="1">
        <f t="shared" si="55"/>
        <v>69730527</v>
      </c>
    </row>
    <row r="548" spans="1:46">
      <c r="A548" s="1" t="str">
        <f>"00625"</f>
        <v>00625</v>
      </c>
      <c r="B548" s="1" t="str">
        <f>"رضا"</f>
        <v>رضا</v>
      </c>
      <c r="C548" s="1" t="str">
        <f>"زنده بودي"</f>
        <v>زنده بودي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13934595</v>
      </c>
      <c r="G548" s="1">
        <v>10499740</v>
      </c>
      <c r="H548" s="1">
        <v>0</v>
      </c>
      <c r="I548" s="1">
        <v>10782831</v>
      </c>
      <c r="J548" s="1">
        <v>0</v>
      </c>
      <c r="K548" s="1">
        <v>5500000</v>
      </c>
      <c r="L548" s="1">
        <v>0</v>
      </c>
      <c r="M548" s="1">
        <v>400000</v>
      </c>
      <c r="N548" s="1">
        <v>2467072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7935675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1826278</v>
      </c>
      <c r="AF548" s="1">
        <v>0</v>
      </c>
      <c r="AG548" s="1">
        <v>130515</v>
      </c>
      <c r="AH548" s="1">
        <v>0</v>
      </c>
      <c r="AI548" s="1">
        <v>0</v>
      </c>
      <c r="AJ548" s="1">
        <v>0</v>
      </c>
      <c r="AK548" s="1">
        <v>0</v>
      </c>
      <c r="AL548" s="1">
        <v>2922044</v>
      </c>
      <c r="AM548" s="1">
        <v>0</v>
      </c>
      <c r="AN548" s="1">
        <v>57498750</v>
      </c>
      <c r="AO548" s="1">
        <v>14217970</v>
      </c>
      <c r="AP548" s="1">
        <v>43280780</v>
      </c>
      <c r="AQ548" s="1">
        <v>11499750</v>
      </c>
      <c r="AR548" s="1">
        <v>1724963</v>
      </c>
      <c r="AS548" s="1">
        <v>0</v>
      </c>
      <c r="AT548" s="1">
        <f t="shared" si="55"/>
        <v>70723463</v>
      </c>
    </row>
    <row r="549" spans="1:46">
      <c r="A549" s="1" t="str">
        <f>"00626"</f>
        <v>00626</v>
      </c>
      <c r="B549" s="1" t="str">
        <f>"عباد الله"</f>
        <v>عباد الله</v>
      </c>
      <c r="C549" s="1" t="str">
        <f>"سلطاني"</f>
        <v>سلطاني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11915879</v>
      </c>
      <c r="G549" s="1">
        <v>5880879</v>
      </c>
      <c r="H549" s="1">
        <v>0</v>
      </c>
      <c r="I549" s="1">
        <v>9377090</v>
      </c>
      <c r="J549" s="1">
        <v>0</v>
      </c>
      <c r="K549" s="1">
        <v>4620000</v>
      </c>
      <c r="L549" s="1">
        <v>0</v>
      </c>
      <c r="M549" s="1">
        <v>400000</v>
      </c>
      <c r="N549" s="1">
        <v>2255834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1270000</v>
      </c>
      <c r="U549" s="1">
        <v>0</v>
      </c>
      <c r="V549" s="1">
        <v>10783150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1611310</v>
      </c>
      <c r="AF549" s="1">
        <v>1111269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4382763</v>
      </c>
      <c r="AM549" s="1">
        <v>0</v>
      </c>
      <c r="AN549" s="1">
        <v>54708174</v>
      </c>
      <c r="AO549" s="1">
        <v>13905830</v>
      </c>
      <c r="AP549" s="1">
        <v>40802344</v>
      </c>
      <c r="AQ549" s="1">
        <v>10465381</v>
      </c>
      <c r="AR549" s="1">
        <v>1569807</v>
      </c>
      <c r="AS549" s="1">
        <v>0</v>
      </c>
      <c r="AT549" s="1">
        <f t="shared" si="55"/>
        <v>66743362</v>
      </c>
    </row>
    <row r="550" spans="1:46">
      <c r="A550" s="1" t="str">
        <f>"00627"</f>
        <v>00627</v>
      </c>
      <c r="B550" s="1" t="str">
        <f>"مريم"</f>
        <v>مريم</v>
      </c>
      <c r="C550" s="1" t="str">
        <f>"صفاريان"</f>
        <v>صفاريان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16444299</v>
      </c>
      <c r="G550" s="1">
        <v>3906746</v>
      </c>
      <c r="H550" s="1">
        <v>0</v>
      </c>
      <c r="I550" s="1">
        <v>11133264</v>
      </c>
      <c r="J550" s="1">
        <v>0</v>
      </c>
      <c r="K550" s="1">
        <v>4125000</v>
      </c>
      <c r="L550" s="1">
        <v>0</v>
      </c>
      <c r="M550" s="1">
        <v>400000</v>
      </c>
      <c r="N550" s="1">
        <v>2624372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6138260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1874551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2999282</v>
      </c>
      <c r="AM550" s="1">
        <v>0</v>
      </c>
      <c r="AN550" s="1">
        <v>50745774</v>
      </c>
      <c r="AO550" s="1">
        <v>9351955</v>
      </c>
      <c r="AP550" s="1">
        <v>41393819</v>
      </c>
      <c r="AQ550" s="1">
        <v>10149155</v>
      </c>
      <c r="AR550" s="1">
        <v>1522373</v>
      </c>
      <c r="AS550" s="1">
        <v>0</v>
      </c>
      <c r="AT550" s="1">
        <f t="shared" si="55"/>
        <v>62417302</v>
      </c>
    </row>
    <row r="551" spans="1:46">
      <c r="A551" s="1" t="str">
        <f>"00628"</f>
        <v>00628</v>
      </c>
      <c r="B551" s="1" t="str">
        <f>"رضا"</f>
        <v>رضا</v>
      </c>
      <c r="C551" s="1" t="str">
        <f>"صفري"</f>
        <v>صفري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13519884</v>
      </c>
      <c r="G551" s="1">
        <v>824413</v>
      </c>
      <c r="H551" s="1">
        <v>0</v>
      </c>
      <c r="I551" s="1">
        <v>9872821</v>
      </c>
      <c r="J551" s="1">
        <v>0</v>
      </c>
      <c r="K551" s="1">
        <v>4620000</v>
      </c>
      <c r="L551" s="1">
        <v>0</v>
      </c>
      <c r="M551" s="1">
        <v>400000</v>
      </c>
      <c r="N551" s="1">
        <v>2601671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1270000</v>
      </c>
      <c r="U551" s="1">
        <v>0</v>
      </c>
      <c r="V551" s="1">
        <v>7047250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1858336</v>
      </c>
      <c r="AF551" s="1">
        <v>1111269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2787505</v>
      </c>
      <c r="AM551" s="1">
        <v>0</v>
      </c>
      <c r="AN551" s="1">
        <v>47013149</v>
      </c>
      <c r="AO551" s="1">
        <v>6603283</v>
      </c>
      <c r="AP551" s="1">
        <v>40409866</v>
      </c>
      <c r="AQ551" s="1">
        <v>8926376</v>
      </c>
      <c r="AR551" s="1">
        <v>1338956</v>
      </c>
      <c r="AS551" s="1">
        <v>0</v>
      </c>
      <c r="AT551" s="1">
        <f t="shared" si="55"/>
        <v>57278481</v>
      </c>
    </row>
    <row r="552" spans="1:46">
      <c r="A552" s="1" t="str">
        <f>"00629"</f>
        <v>00629</v>
      </c>
      <c r="B552" s="1" t="str">
        <f>"علي اکبر"</f>
        <v>علي اکبر</v>
      </c>
      <c r="C552" s="1" t="str">
        <f>"غلامي چنگلوايي"</f>
        <v>غلامي چنگلوايي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14998868</v>
      </c>
      <c r="G552" s="1">
        <v>5818993</v>
      </c>
      <c r="H552" s="1">
        <v>0</v>
      </c>
      <c r="I552" s="1">
        <v>10867069</v>
      </c>
      <c r="J552" s="1">
        <v>0</v>
      </c>
      <c r="K552" s="1">
        <v>5500000</v>
      </c>
      <c r="L552" s="1">
        <v>0</v>
      </c>
      <c r="M552" s="1">
        <v>400000</v>
      </c>
      <c r="N552" s="1">
        <v>2456786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10747924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1754847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3509694</v>
      </c>
      <c r="AM552" s="1">
        <v>0</v>
      </c>
      <c r="AN552" s="1">
        <v>57154181</v>
      </c>
      <c r="AO552" s="1">
        <v>8185903</v>
      </c>
      <c r="AP552" s="1">
        <v>48968278</v>
      </c>
      <c r="AQ552" s="1">
        <v>11430836</v>
      </c>
      <c r="AR552" s="1">
        <v>1714625</v>
      </c>
      <c r="AS552" s="1">
        <v>0</v>
      </c>
      <c r="AT552" s="1">
        <f t="shared" si="55"/>
        <v>70299642</v>
      </c>
    </row>
    <row r="553" spans="1:46">
      <c r="A553" s="1" t="str">
        <f>"00630"</f>
        <v>00630</v>
      </c>
      <c r="B553" s="1" t="str">
        <f>"عباس"</f>
        <v>عباس</v>
      </c>
      <c r="C553" s="1" t="str">
        <f>"قادري"</f>
        <v>قادري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16889568</v>
      </c>
      <c r="G553" s="1">
        <v>9085419</v>
      </c>
      <c r="H553" s="1">
        <v>0</v>
      </c>
      <c r="I553" s="1">
        <v>12496155</v>
      </c>
      <c r="J553" s="1">
        <v>0</v>
      </c>
      <c r="K553" s="1">
        <v>5500000</v>
      </c>
      <c r="L553" s="1">
        <v>0</v>
      </c>
      <c r="M553" s="1">
        <v>400000</v>
      </c>
      <c r="N553" s="1">
        <v>2843991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11353517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2031422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4225358</v>
      </c>
      <c r="AM553" s="1">
        <v>0</v>
      </c>
      <c r="AN553" s="1">
        <v>65925430</v>
      </c>
      <c r="AO553" s="1">
        <v>16577626</v>
      </c>
      <c r="AP553" s="1">
        <v>49347804</v>
      </c>
      <c r="AQ553" s="1">
        <v>13185086</v>
      </c>
      <c r="AR553" s="1">
        <v>1977763</v>
      </c>
      <c r="AS553" s="1">
        <v>0</v>
      </c>
      <c r="AT553" s="1">
        <f t="shared" si="55"/>
        <v>81088279</v>
      </c>
    </row>
    <row r="554" spans="1:46">
      <c r="A554" s="1" t="str">
        <f>"00631"</f>
        <v>00631</v>
      </c>
      <c r="B554" s="1" t="str">
        <f>"احمد"</f>
        <v>احمد</v>
      </c>
      <c r="C554" s="1" t="str">
        <f>"كشت ريز"</f>
        <v>كشت ريز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13706232</v>
      </c>
      <c r="G554" s="1">
        <v>0</v>
      </c>
      <c r="H554" s="1">
        <v>0</v>
      </c>
      <c r="I554" s="1">
        <v>13431878</v>
      </c>
      <c r="J554" s="1">
        <v>0</v>
      </c>
      <c r="K554" s="1">
        <v>4620000</v>
      </c>
      <c r="L554" s="1">
        <v>0</v>
      </c>
      <c r="M554" s="1">
        <v>400000</v>
      </c>
      <c r="N554" s="1">
        <v>2710347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9301279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1935962</v>
      </c>
      <c r="AF554" s="1">
        <v>2222538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5420695</v>
      </c>
      <c r="AM554" s="1">
        <v>0</v>
      </c>
      <c r="AN554" s="1">
        <v>54848931</v>
      </c>
      <c r="AO554" s="1">
        <v>8790522</v>
      </c>
      <c r="AP554" s="1">
        <v>46058409</v>
      </c>
      <c r="AQ554" s="1">
        <v>10525279</v>
      </c>
      <c r="AR554" s="1">
        <v>1578792</v>
      </c>
      <c r="AS554" s="1">
        <v>0</v>
      </c>
      <c r="AT554" s="1">
        <f t="shared" si="55"/>
        <v>66953002</v>
      </c>
    </row>
    <row r="555" spans="1:46">
      <c r="A555" s="1" t="str">
        <f>"00632"</f>
        <v>00632</v>
      </c>
      <c r="B555" s="1" t="str">
        <f>"احمدرضا"</f>
        <v>احمدرضا</v>
      </c>
      <c r="C555" s="1" t="str">
        <f>"گل بهار حقيقي"</f>
        <v>گل بهار حقيقي</v>
      </c>
      <c r="D555" s="1" t="str">
        <f t="shared" si="56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15661028</v>
      </c>
      <c r="G555" s="1">
        <v>12319959</v>
      </c>
      <c r="H555" s="1">
        <v>0</v>
      </c>
      <c r="I555" s="1">
        <v>14126480</v>
      </c>
      <c r="J555" s="1">
        <v>0</v>
      </c>
      <c r="K555" s="1">
        <v>5500000</v>
      </c>
      <c r="L555" s="1">
        <v>0</v>
      </c>
      <c r="M555" s="1">
        <v>400000</v>
      </c>
      <c r="N555" s="1">
        <v>2724631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1270000</v>
      </c>
      <c r="U555" s="1">
        <v>0</v>
      </c>
      <c r="V555" s="1">
        <v>10564856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1946164</v>
      </c>
      <c r="AF555" s="1">
        <v>1111269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4670795</v>
      </c>
      <c r="AM555" s="1">
        <v>0</v>
      </c>
      <c r="AN555" s="1">
        <v>71395182</v>
      </c>
      <c r="AO555" s="1">
        <v>14324758</v>
      </c>
      <c r="AP555" s="1">
        <v>57070424</v>
      </c>
      <c r="AQ555" s="1">
        <v>13802783</v>
      </c>
      <c r="AR555" s="1">
        <v>2070417</v>
      </c>
      <c r="AS555" s="1">
        <v>0</v>
      </c>
      <c r="AT555" s="1">
        <f t="shared" si="55"/>
        <v>87268382</v>
      </c>
    </row>
    <row r="556" spans="1:46">
      <c r="A556" s="1" t="str">
        <f>"00634"</f>
        <v>00634</v>
      </c>
      <c r="B556" s="1" t="str">
        <f>"امير"</f>
        <v>امير</v>
      </c>
      <c r="C556" s="1" t="str">
        <f>"ماهوتي"</f>
        <v>ماهوتي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11585080</v>
      </c>
      <c r="G556" s="1">
        <v>2553469</v>
      </c>
      <c r="H556" s="1">
        <v>0</v>
      </c>
      <c r="I556" s="1">
        <v>8800786</v>
      </c>
      <c r="J556" s="1">
        <v>0</v>
      </c>
      <c r="K556" s="1">
        <v>4620000</v>
      </c>
      <c r="L556" s="1">
        <v>0</v>
      </c>
      <c r="M556" s="1">
        <v>400000</v>
      </c>
      <c r="N556" s="1">
        <v>2155397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1270000</v>
      </c>
      <c r="U556" s="1">
        <v>0</v>
      </c>
      <c r="V556" s="1">
        <v>11167604</v>
      </c>
      <c r="W556" s="1">
        <v>1100000</v>
      </c>
      <c r="X556" s="1">
        <v>1737762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1539570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8525313</v>
      </c>
      <c r="AM556" s="1">
        <v>0</v>
      </c>
      <c r="AN556" s="1">
        <v>55454981</v>
      </c>
      <c r="AO556" s="1">
        <v>11724044</v>
      </c>
      <c r="AP556" s="1">
        <v>43730937</v>
      </c>
      <c r="AQ556" s="1">
        <v>10836996</v>
      </c>
      <c r="AR556" s="1">
        <v>1625549</v>
      </c>
      <c r="AS556" s="1">
        <v>0</v>
      </c>
      <c r="AT556" s="1">
        <f t="shared" si="55"/>
        <v>67917526</v>
      </c>
    </row>
    <row r="557" spans="1:46">
      <c r="A557" s="1" t="str">
        <f>"00635"</f>
        <v>00635</v>
      </c>
      <c r="B557" s="1" t="str">
        <f>"احسان"</f>
        <v>احسان</v>
      </c>
      <c r="C557" s="1" t="str">
        <f>"محبي"</f>
        <v>محبي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14725818</v>
      </c>
      <c r="G557" s="1">
        <v>6350222</v>
      </c>
      <c r="H557" s="1">
        <v>0</v>
      </c>
      <c r="I557" s="1">
        <v>10521254</v>
      </c>
      <c r="J557" s="1">
        <v>0</v>
      </c>
      <c r="K557" s="1">
        <v>5500000</v>
      </c>
      <c r="L557" s="1">
        <v>0</v>
      </c>
      <c r="M557" s="1">
        <v>400000</v>
      </c>
      <c r="N557" s="1">
        <v>2355985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10556213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1682846</v>
      </c>
      <c r="AF557" s="1">
        <v>1111269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3702262</v>
      </c>
      <c r="AM557" s="1">
        <v>0</v>
      </c>
      <c r="AN557" s="1">
        <v>58005869</v>
      </c>
      <c r="AO557" s="1">
        <v>12281420</v>
      </c>
      <c r="AP557" s="1">
        <v>45724449</v>
      </c>
      <c r="AQ557" s="1">
        <v>11378920</v>
      </c>
      <c r="AR557" s="1">
        <v>1706838</v>
      </c>
      <c r="AS557" s="1">
        <v>0</v>
      </c>
      <c r="AT557" s="1">
        <f t="shared" si="55"/>
        <v>71091627</v>
      </c>
    </row>
    <row r="558" spans="1:46">
      <c r="A558" s="1" t="str">
        <f>"00636"</f>
        <v>00636</v>
      </c>
      <c r="B558" s="1" t="str">
        <f>"حميد"</f>
        <v>حميد</v>
      </c>
      <c r="C558" s="1" t="str">
        <f>"محمدي"</f>
        <v>محمدي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14598200</v>
      </c>
      <c r="G558" s="1">
        <v>13403584</v>
      </c>
      <c r="H558" s="1">
        <v>0</v>
      </c>
      <c r="I558" s="1">
        <v>11527619</v>
      </c>
      <c r="J558" s="1">
        <v>0</v>
      </c>
      <c r="K558" s="1">
        <v>5500000</v>
      </c>
      <c r="L558" s="1">
        <v>0</v>
      </c>
      <c r="M558" s="1">
        <v>400000</v>
      </c>
      <c r="N558" s="1">
        <v>2293688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1270000</v>
      </c>
      <c r="U558" s="1">
        <v>0</v>
      </c>
      <c r="V558" s="1">
        <v>8169804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1638349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2621357</v>
      </c>
      <c r="AM558" s="1">
        <v>0</v>
      </c>
      <c r="AN558" s="1">
        <v>62522601</v>
      </c>
      <c r="AO558" s="1">
        <v>16874947</v>
      </c>
      <c r="AP558" s="1">
        <v>45647654</v>
      </c>
      <c r="AQ558" s="1">
        <v>12250520</v>
      </c>
      <c r="AR558" s="1">
        <v>1837578</v>
      </c>
      <c r="AS558" s="1">
        <v>0</v>
      </c>
      <c r="AT558" s="1">
        <f t="shared" si="55"/>
        <v>76610699</v>
      </c>
    </row>
    <row r="559" spans="1:46">
      <c r="A559" s="1" t="str">
        <f>"00637"</f>
        <v>00637</v>
      </c>
      <c r="B559" s="1" t="str">
        <f>"مصطفي"</f>
        <v>مصطفي</v>
      </c>
      <c r="C559" s="1" t="str">
        <f>"مرادپور"</f>
        <v>مرادپور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15301745</v>
      </c>
      <c r="G559" s="1">
        <v>15654195</v>
      </c>
      <c r="H559" s="1">
        <v>0</v>
      </c>
      <c r="I559" s="1">
        <v>10895418</v>
      </c>
      <c r="J559" s="1">
        <v>0</v>
      </c>
      <c r="K559" s="1">
        <v>5500000</v>
      </c>
      <c r="L559" s="1">
        <v>0</v>
      </c>
      <c r="M559" s="1">
        <v>400000</v>
      </c>
      <c r="N559" s="1">
        <v>2553702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8860062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1824073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3502221</v>
      </c>
      <c r="AM559" s="1">
        <v>0</v>
      </c>
      <c r="AN559" s="1">
        <v>65591416</v>
      </c>
      <c r="AO559" s="1">
        <v>12363447</v>
      </c>
      <c r="AP559" s="1">
        <v>53227969</v>
      </c>
      <c r="AQ559" s="1">
        <v>13118283</v>
      </c>
      <c r="AR559" s="1">
        <v>1967742</v>
      </c>
      <c r="AS559" s="1">
        <v>0</v>
      </c>
      <c r="AT559" s="1">
        <f t="shared" si="55"/>
        <v>80677441</v>
      </c>
    </row>
    <row r="560" spans="1:46">
      <c r="A560" s="1" t="str">
        <f>"00638"</f>
        <v>00638</v>
      </c>
      <c r="B560" s="1" t="str">
        <f>"عبدالرسول"</f>
        <v>عبدالرسول</v>
      </c>
      <c r="C560" s="1" t="str">
        <f>"مهدي پور"</f>
        <v>مهدي پور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1">
        <v>13255114</v>
      </c>
      <c r="G560" s="1">
        <v>2941135</v>
      </c>
      <c r="H560" s="1">
        <v>0</v>
      </c>
      <c r="I560" s="1">
        <v>6343163</v>
      </c>
      <c r="J560" s="1">
        <v>0</v>
      </c>
      <c r="K560" s="1">
        <v>5500000</v>
      </c>
      <c r="L560" s="1">
        <v>0</v>
      </c>
      <c r="M560" s="1">
        <v>400000</v>
      </c>
      <c r="N560" s="1">
        <v>1885147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2444580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1346533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1615839</v>
      </c>
      <c r="AM560" s="1">
        <v>0</v>
      </c>
      <c r="AN560" s="1">
        <v>36831511</v>
      </c>
      <c r="AO560" s="1">
        <v>9430679</v>
      </c>
      <c r="AP560" s="1">
        <v>27400832</v>
      </c>
      <c r="AQ560" s="1">
        <v>7366302</v>
      </c>
      <c r="AR560" s="1">
        <v>1104945</v>
      </c>
      <c r="AS560" s="1">
        <v>0</v>
      </c>
      <c r="AT560" s="1">
        <f t="shared" si="55"/>
        <v>45302758</v>
      </c>
    </row>
    <row r="561" spans="1:46">
      <c r="A561" s="1" t="str">
        <f>"00639"</f>
        <v>00639</v>
      </c>
      <c r="B561" s="1" t="str">
        <f>"امين"</f>
        <v>امين</v>
      </c>
      <c r="C561" s="1" t="str">
        <f>"ناصرپور"</f>
        <v>ناصرپور</v>
      </c>
      <c r="D561" s="1" t="str">
        <f t="shared" si="56"/>
        <v>قراردادي بهره بردار</v>
      </c>
      <c r="E561" s="1" t="str">
        <f t="shared" ref="E561:E568" si="59">"پروژه بهره برداري نيروگاه بوشهر"</f>
        <v>پروژه بهره برداري نيروگاه بوشهر</v>
      </c>
      <c r="F561" s="1">
        <v>11618003</v>
      </c>
      <c r="G561" s="1">
        <v>5716386</v>
      </c>
      <c r="H561" s="1">
        <v>0</v>
      </c>
      <c r="I561" s="1">
        <v>9247699</v>
      </c>
      <c r="J561" s="1">
        <v>0</v>
      </c>
      <c r="K561" s="1">
        <v>4620000</v>
      </c>
      <c r="L561" s="1">
        <v>0</v>
      </c>
      <c r="M561" s="1">
        <v>400000</v>
      </c>
      <c r="N561" s="1">
        <v>2146713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1270000</v>
      </c>
      <c r="U561" s="1">
        <v>0</v>
      </c>
      <c r="V561" s="1">
        <v>10481536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1533367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4170756</v>
      </c>
      <c r="AM561" s="1">
        <v>0</v>
      </c>
      <c r="AN561" s="1">
        <v>52304460</v>
      </c>
      <c r="AO561" s="1">
        <v>7117789</v>
      </c>
      <c r="AP561" s="1">
        <v>45186671</v>
      </c>
      <c r="AQ561" s="1">
        <v>10206892</v>
      </c>
      <c r="AR561" s="1">
        <v>1531034</v>
      </c>
      <c r="AS561" s="1">
        <v>0</v>
      </c>
      <c r="AT561" s="1">
        <f t="shared" si="55"/>
        <v>64042386</v>
      </c>
    </row>
    <row r="562" spans="1:46">
      <c r="A562" s="1" t="str">
        <f>"00640"</f>
        <v>00640</v>
      </c>
      <c r="B562" s="1" t="str">
        <f>"فرزاد"</f>
        <v>فرزاد</v>
      </c>
      <c r="C562" s="1" t="str">
        <f>"نجمي جعفرلو"</f>
        <v>نجمي جعفرلو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11293306</v>
      </c>
      <c r="G562" s="1">
        <v>3495739</v>
      </c>
      <c r="H562" s="1">
        <v>0</v>
      </c>
      <c r="I562" s="1">
        <v>8706704</v>
      </c>
      <c r="J562" s="1">
        <v>0</v>
      </c>
      <c r="K562" s="1">
        <v>4620000</v>
      </c>
      <c r="L562" s="1">
        <v>0</v>
      </c>
      <c r="M562" s="1">
        <v>400000</v>
      </c>
      <c r="N562" s="1">
        <v>2052341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13158640</v>
      </c>
      <c r="W562" s="1">
        <v>1100000</v>
      </c>
      <c r="X562" s="1">
        <v>1693996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1465958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6906291</v>
      </c>
      <c r="AM562" s="1">
        <v>0</v>
      </c>
      <c r="AN562" s="1">
        <v>54892975</v>
      </c>
      <c r="AO562" s="1">
        <v>13938726</v>
      </c>
      <c r="AP562" s="1">
        <v>40954249</v>
      </c>
      <c r="AQ562" s="1">
        <v>10978595</v>
      </c>
      <c r="AR562" s="1">
        <v>1646789</v>
      </c>
      <c r="AS562" s="1">
        <v>0</v>
      </c>
      <c r="AT562" s="1">
        <f t="shared" si="55"/>
        <v>67518359</v>
      </c>
    </row>
    <row r="563" spans="1:46">
      <c r="A563" s="1" t="str">
        <f>"00641"</f>
        <v>00641</v>
      </c>
      <c r="B563" s="1" t="str">
        <f>"سيدمحمد"</f>
        <v>سيدمحمد</v>
      </c>
      <c r="C563" s="1" t="str">
        <f>"نصيري سلوشي"</f>
        <v>نصيري سلوشي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14753901</v>
      </c>
      <c r="G563" s="1">
        <v>7287380</v>
      </c>
      <c r="H563" s="1">
        <v>0</v>
      </c>
      <c r="I563" s="1">
        <v>9959797</v>
      </c>
      <c r="J563" s="1">
        <v>0</v>
      </c>
      <c r="K563" s="1">
        <v>4125000</v>
      </c>
      <c r="L563" s="1">
        <v>0</v>
      </c>
      <c r="M563" s="1">
        <v>400000</v>
      </c>
      <c r="N563" s="1">
        <v>2332757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7060211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1666254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2666007</v>
      </c>
      <c r="AM563" s="1">
        <v>0</v>
      </c>
      <c r="AN563" s="1">
        <v>51351307</v>
      </c>
      <c r="AO563" s="1">
        <v>8223685</v>
      </c>
      <c r="AP563" s="1">
        <v>43127622</v>
      </c>
      <c r="AQ563" s="1">
        <v>10270261</v>
      </c>
      <c r="AR563" s="1">
        <v>1540539</v>
      </c>
      <c r="AS563" s="1">
        <v>0</v>
      </c>
      <c r="AT563" s="1">
        <f t="shared" si="55"/>
        <v>63162107</v>
      </c>
    </row>
    <row r="564" spans="1:46">
      <c r="A564" s="1" t="str">
        <f>"00642"</f>
        <v>00642</v>
      </c>
      <c r="B564" s="1" t="str">
        <f>"رضا"</f>
        <v>رضا</v>
      </c>
      <c r="C564" s="1" t="str">
        <f>"همتي"</f>
        <v>همتي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11195390</v>
      </c>
      <c r="G564" s="1">
        <v>6101336</v>
      </c>
      <c r="H564" s="1">
        <v>0</v>
      </c>
      <c r="I564" s="1">
        <v>8641230</v>
      </c>
      <c r="J564" s="1">
        <v>0</v>
      </c>
      <c r="K564" s="1">
        <v>4620000</v>
      </c>
      <c r="L564" s="1">
        <v>0</v>
      </c>
      <c r="M564" s="1">
        <v>400000</v>
      </c>
      <c r="N564" s="1">
        <v>2020129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1270000</v>
      </c>
      <c r="U564" s="1">
        <v>0</v>
      </c>
      <c r="V564" s="1">
        <v>13456581</v>
      </c>
      <c r="W564" s="1">
        <v>1100000</v>
      </c>
      <c r="X564" s="1">
        <v>642246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1442950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7283439</v>
      </c>
      <c r="AM564" s="1">
        <v>0</v>
      </c>
      <c r="AN564" s="1">
        <v>58173301</v>
      </c>
      <c r="AO564" s="1">
        <v>11049754</v>
      </c>
      <c r="AP564" s="1">
        <v>47123547</v>
      </c>
      <c r="AQ564" s="1">
        <v>11380660</v>
      </c>
      <c r="AR564" s="1">
        <v>1707099</v>
      </c>
      <c r="AS564" s="1">
        <v>0</v>
      </c>
      <c r="AT564" s="1">
        <f t="shared" si="55"/>
        <v>71261060</v>
      </c>
    </row>
    <row r="565" spans="1:46">
      <c r="A565" s="1" t="str">
        <f>"00643"</f>
        <v>00643</v>
      </c>
      <c r="B565" s="1" t="str">
        <f>"طيبه"</f>
        <v>طيبه</v>
      </c>
      <c r="C565" s="1" t="str">
        <f>"هنري فر"</f>
        <v>هنري فر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11566178</v>
      </c>
      <c r="G565" s="1">
        <v>645598</v>
      </c>
      <c r="H565" s="1">
        <v>0</v>
      </c>
      <c r="I565" s="1">
        <v>9002779</v>
      </c>
      <c r="J565" s="1">
        <v>0</v>
      </c>
      <c r="K565" s="1">
        <v>3465000</v>
      </c>
      <c r="L565" s="1">
        <v>0</v>
      </c>
      <c r="M565" s="1">
        <v>400000</v>
      </c>
      <c r="N565" s="1">
        <v>2087035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2683006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1490740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2683331</v>
      </c>
      <c r="AM565" s="1">
        <v>0</v>
      </c>
      <c r="AN565" s="1">
        <v>35123667</v>
      </c>
      <c r="AO565" s="1">
        <v>8819319</v>
      </c>
      <c r="AP565" s="1">
        <v>26304348</v>
      </c>
      <c r="AQ565" s="1">
        <v>7024733</v>
      </c>
      <c r="AR565" s="1">
        <v>1053710</v>
      </c>
      <c r="AS565" s="1">
        <v>0</v>
      </c>
      <c r="AT565" s="1">
        <f t="shared" si="55"/>
        <v>43202110</v>
      </c>
    </row>
    <row r="566" spans="1:46">
      <c r="A566" s="1" t="str">
        <f>"00644"</f>
        <v>00644</v>
      </c>
      <c r="B566" s="1" t="str">
        <f>"امير"</f>
        <v>امير</v>
      </c>
      <c r="C566" s="1" t="str">
        <f>"ابراهيمي کلهرودي"</f>
        <v>ابراهيمي کلهرودي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21084201</v>
      </c>
      <c r="G566" s="1">
        <v>10316139</v>
      </c>
      <c r="H566" s="1">
        <v>0</v>
      </c>
      <c r="I566" s="1">
        <v>18171918</v>
      </c>
      <c r="J566" s="1">
        <v>0</v>
      </c>
      <c r="K566" s="1">
        <v>0</v>
      </c>
      <c r="L566" s="1">
        <v>0</v>
      </c>
      <c r="M566" s="1">
        <v>400000</v>
      </c>
      <c r="N566" s="1">
        <v>3547278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1270000</v>
      </c>
      <c r="U566" s="1">
        <v>0</v>
      </c>
      <c r="V566" s="1">
        <v>18915621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2533770</v>
      </c>
      <c r="AF566" s="1">
        <v>1111269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6486451</v>
      </c>
      <c r="AM566" s="1">
        <v>0</v>
      </c>
      <c r="AN566" s="1">
        <v>84936647</v>
      </c>
      <c r="AO566" s="1">
        <v>21080599</v>
      </c>
      <c r="AP566" s="1">
        <v>63856048</v>
      </c>
      <c r="AQ566" s="1">
        <v>15557766</v>
      </c>
      <c r="AR566" s="1">
        <v>2333665</v>
      </c>
      <c r="AS566" s="1">
        <v>0</v>
      </c>
      <c r="AT566" s="1">
        <f t="shared" si="55"/>
        <v>102828078</v>
      </c>
    </row>
    <row r="567" spans="1:46">
      <c r="A567" s="1" t="str">
        <f>"00645"</f>
        <v>00645</v>
      </c>
      <c r="B567" s="1" t="str">
        <f>"جليل"</f>
        <v>جليل</v>
      </c>
      <c r="C567" s="1" t="str">
        <f>"محرزي"</f>
        <v>محرزي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11558680</v>
      </c>
      <c r="G567" s="1">
        <v>8018839</v>
      </c>
      <c r="H567" s="1">
        <v>0</v>
      </c>
      <c r="I567" s="1">
        <v>8885905</v>
      </c>
      <c r="J567" s="1">
        <v>0</v>
      </c>
      <c r="K567" s="1">
        <v>4620000</v>
      </c>
      <c r="L567" s="1">
        <v>0</v>
      </c>
      <c r="M567" s="1">
        <v>400000</v>
      </c>
      <c r="N567" s="1">
        <v>2105263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2630925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1503760</v>
      </c>
      <c r="AF567" s="1">
        <v>3333807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2255639</v>
      </c>
      <c r="AM567" s="1">
        <v>0</v>
      </c>
      <c r="AN567" s="1">
        <v>46412818</v>
      </c>
      <c r="AO567" s="1">
        <v>8062654</v>
      </c>
      <c r="AP567" s="1">
        <v>38350164</v>
      </c>
      <c r="AQ567" s="1">
        <v>8615802</v>
      </c>
      <c r="AR567" s="1">
        <v>1292370</v>
      </c>
      <c r="AS567" s="1">
        <v>0</v>
      </c>
      <c r="AT567" s="1">
        <f t="shared" si="55"/>
        <v>56320990</v>
      </c>
    </row>
    <row r="568" spans="1:46">
      <c r="A568" s="1" t="str">
        <f>"00646"</f>
        <v>00646</v>
      </c>
      <c r="B568" s="1" t="str">
        <f>"نعيم"</f>
        <v>نعيم</v>
      </c>
      <c r="C568" s="1" t="str">
        <f>"غنچه"</f>
        <v>غنچه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11805293</v>
      </c>
      <c r="G568" s="1">
        <v>5099025</v>
      </c>
      <c r="H568" s="1">
        <v>0</v>
      </c>
      <c r="I568" s="1">
        <v>9726126</v>
      </c>
      <c r="J568" s="1">
        <v>0</v>
      </c>
      <c r="K568" s="1">
        <v>0</v>
      </c>
      <c r="L568" s="1">
        <v>0</v>
      </c>
      <c r="M568" s="1">
        <v>400000</v>
      </c>
      <c r="N568" s="1">
        <v>2193927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1270000</v>
      </c>
      <c r="U568" s="1">
        <v>0</v>
      </c>
      <c r="V568" s="1">
        <v>6538122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1567091</v>
      </c>
      <c r="AF568" s="1">
        <v>1111269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3134181</v>
      </c>
      <c r="AM568" s="1">
        <v>0</v>
      </c>
      <c r="AN568" s="1">
        <v>43945034</v>
      </c>
      <c r="AO568" s="1">
        <v>7509011</v>
      </c>
      <c r="AP568" s="1">
        <v>36436023</v>
      </c>
      <c r="AQ568" s="1">
        <v>8312753</v>
      </c>
      <c r="AR568" s="1">
        <v>1246913</v>
      </c>
      <c r="AS568" s="1">
        <v>0</v>
      </c>
      <c r="AT568" s="1">
        <f t="shared" si="55"/>
        <v>53504700</v>
      </c>
    </row>
    <row r="569" spans="1:46">
      <c r="A569" s="1" t="str">
        <f>"00648"</f>
        <v>00648</v>
      </c>
      <c r="B569" s="1" t="str">
        <f>"مسعود"</f>
        <v>مسعود</v>
      </c>
      <c r="C569" s="1" t="str">
        <f>"سليماني"</f>
        <v>سليماني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10016149</v>
      </c>
      <c r="G569" s="1">
        <v>6124087</v>
      </c>
      <c r="H569" s="1">
        <v>0</v>
      </c>
      <c r="I569" s="1">
        <v>8313404</v>
      </c>
      <c r="J569" s="1">
        <v>0</v>
      </c>
      <c r="K569" s="1">
        <v>0</v>
      </c>
      <c r="L569" s="1">
        <v>3460800</v>
      </c>
      <c r="M569" s="1">
        <v>400000</v>
      </c>
      <c r="N569" s="1">
        <v>5341946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2863230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2222538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39842154</v>
      </c>
      <c r="AO569" s="1">
        <v>5323349</v>
      </c>
      <c r="AP569" s="1">
        <v>34518805</v>
      </c>
      <c r="AQ569" s="1">
        <v>7523923</v>
      </c>
      <c r="AR569" s="1">
        <v>1128588</v>
      </c>
      <c r="AS569" s="1">
        <v>195000</v>
      </c>
      <c r="AT569" s="1">
        <f t="shared" si="55"/>
        <v>48689665</v>
      </c>
    </row>
    <row r="570" spans="1:46">
      <c r="A570" s="1" t="str">
        <f>"00649"</f>
        <v>00649</v>
      </c>
      <c r="B570" s="1" t="str">
        <f>"فريبا"</f>
        <v>فريبا</v>
      </c>
      <c r="C570" s="1" t="str">
        <f>"صيانت"</f>
        <v>صيانت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15741649</v>
      </c>
      <c r="G570" s="1">
        <v>5556697</v>
      </c>
      <c r="H570" s="1">
        <v>0</v>
      </c>
      <c r="I570" s="1">
        <v>14729954</v>
      </c>
      <c r="J570" s="1">
        <v>0</v>
      </c>
      <c r="K570" s="1">
        <v>3465000</v>
      </c>
      <c r="L570" s="1">
        <v>0</v>
      </c>
      <c r="M570" s="1">
        <v>400000</v>
      </c>
      <c r="N570" s="1">
        <v>2953390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3848794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2109563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2953390</v>
      </c>
      <c r="AM570" s="1">
        <v>0</v>
      </c>
      <c r="AN570" s="1">
        <v>54128437</v>
      </c>
      <c r="AO570" s="1">
        <v>6364217</v>
      </c>
      <c r="AP570" s="1">
        <v>47764220</v>
      </c>
      <c r="AQ570" s="1">
        <v>10571687</v>
      </c>
      <c r="AR570" s="1">
        <v>1585753</v>
      </c>
      <c r="AS570" s="1">
        <v>0</v>
      </c>
      <c r="AT570" s="1">
        <f t="shared" si="55"/>
        <v>66285877</v>
      </c>
    </row>
    <row r="571" spans="1:46">
      <c r="A571" s="1" t="str">
        <f>"00650"</f>
        <v>00650</v>
      </c>
      <c r="B571" s="1" t="str">
        <f>"ليلا"</f>
        <v>ليلا</v>
      </c>
      <c r="C571" s="1" t="str">
        <f>"قاسمي فر"</f>
        <v>قاسمي فر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12363472</v>
      </c>
      <c r="G571" s="1">
        <v>492482</v>
      </c>
      <c r="H571" s="1">
        <v>0</v>
      </c>
      <c r="I571" s="1">
        <v>11631748</v>
      </c>
      <c r="J571" s="1">
        <v>0</v>
      </c>
      <c r="K571" s="1">
        <v>0</v>
      </c>
      <c r="L571" s="1">
        <v>0</v>
      </c>
      <c r="M571" s="1">
        <v>400000</v>
      </c>
      <c r="N571" s="1">
        <v>2406912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1270000</v>
      </c>
      <c r="U571" s="1">
        <v>0</v>
      </c>
      <c r="V571" s="1">
        <v>3070019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1719222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2578833</v>
      </c>
      <c r="AM571" s="1">
        <v>0</v>
      </c>
      <c r="AN571" s="1">
        <v>37032688</v>
      </c>
      <c r="AO571" s="1">
        <v>7734797</v>
      </c>
      <c r="AP571" s="1">
        <v>29297891</v>
      </c>
      <c r="AQ571" s="1">
        <v>7152538</v>
      </c>
      <c r="AR571" s="1">
        <v>1072881</v>
      </c>
      <c r="AS571" s="1">
        <v>0</v>
      </c>
      <c r="AT571" s="1">
        <f t="shared" si="55"/>
        <v>45258107</v>
      </c>
    </row>
    <row r="572" spans="1:46">
      <c r="A572" s="1" t="str">
        <f>"00651"</f>
        <v>00651</v>
      </c>
      <c r="B572" s="1" t="str">
        <f>"عبدالرسول"</f>
        <v>عبدالرسول</v>
      </c>
      <c r="C572" s="1" t="str">
        <f>"حاجياني"</f>
        <v>حاجياني</v>
      </c>
      <c r="D572" s="1" t="str">
        <f t="shared" ref="D572:D577" si="60">"قراردادي کارگري"</f>
        <v>قراردادي کارگري</v>
      </c>
      <c r="E572" s="1" t="str">
        <f t="shared" ref="E572:E577" si="61">"پروژه تعميرات نيروگاه بوشهر"</f>
        <v>پروژه تعميرات نيروگاه بوشهر</v>
      </c>
      <c r="F572" s="1">
        <v>5802707</v>
      </c>
      <c r="G572" s="1">
        <v>5063551</v>
      </c>
      <c r="H572" s="1">
        <v>0</v>
      </c>
      <c r="I572" s="1">
        <v>4177949</v>
      </c>
      <c r="J572" s="1">
        <v>0</v>
      </c>
      <c r="K572" s="1">
        <v>0</v>
      </c>
      <c r="L572" s="1">
        <v>3620700</v>
      </c>
      <c r="M572" s="1">
        <v>400000</v>
      </c>
      <c r="N572" s="1">
        <v>3074282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5725326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1111269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30075784</v>
      </c>
      <c r="AO572" s="1">
        <v>7243832</v>
      </c>
      <c r="AP572" s="1">
        <v>22831952</v>
      </c>
      <c r="AQ572" s="1">
        <v>5792903</v>
      </c>
      <c r="AR572" s="1">
        <v>868935</v>
      </c>
      <c r="AS572" s="1">
        <v>900000</v>
      </c>
      <c r="AT572" s="1">
        <f t="shared" si="55"/>
        <v>37637622</v>
      </c>
    </row>
    <row r="573" spans="1:46">
      <c r="A573" s="1" t="str">
        <f>"00652"</f>
        <v>00652</v>
      </c>
      <c r="B573" s="1" t="str">
        <f>"حسين"</f>
        <v>حسين</v>
      </c>
      <c r="C573" s="1" t="str">
        <f>"انصاري"</f>
        <v>انصاري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8001738</v>
      </c>
      <c r="G573" s="1">
        <v>18971410</v>
      </c>
      <c r="H573" s="1">
        <v>0</v>
      </c>
      <c r="I573" s="1">
        <v>5921286</v>
      </c>
      <c r="J573" s="1">
        <v>0</v>
      </c>
      <c r="K573" s="1">
        <v>0</v>
      </c>
      <c r="L573" s="1">
        <v>3620700</v>
      </c>
      <c r="M573" s="1">
        <v>400000</v>
      </c>
      <c r="N573" s="1">
        <v>4239331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7450578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51927581</v>
      </c>
      <c r="AO573" s="1">
        <v>11418038</v>
      </c>
      <c r="AP573" s="1">
        <v>40509543</v>
      </c>
      <c r="AQ573" s="1">
        <v>9941009</v>
      </c>
      <c r="AR573" s="1">
        <v>1491151</v>
      </c>
      <c r="AS573" s="1">
        <v>1060000</v>
      </c>
      <c r="AT573" s="1">
        <f t="shared" si="55"/>
        <v>64419741</v>
      </c>
    </row>
    <row r="574" spans="1:46">
      <c r="A574" s="1" t="str">
        <f>"00653"</f>
        <v>00653</v>
      </c>
      <c r="B574" s="1" t="str">
        <f>"حسين"</f>
        <v>حسين</v>
      </c>
      <c r="C574" s="1" t="str">
        <f>"حسن احمدي"</f>
        <v>حسن احمدي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7286856</v>
      </c>
      <c r="G574" s="1">
        <v>9436712</v>
      </c>
      <c r="H574" s="1">
        <v>0</v>
      </c>
      <c r="I574" s="1">
        <v>5319405</v>
      </c>
      <c r="J574" s="1">
        <v>0</v>
      </c>
      <c r="K574" s="1">
        <v>0</v>
      </c>
      <c r="L574" s="1">
        <v>3620700</v>
      </c>
      <c r="M574" s="1">
        <v>400000</v>
      </c>
      <c r="N574" s="1">
        <v>3835187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6899887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3333807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41232554</v>
      </c>
      <c r="AO574" s="1">
        <v>6238370</v>
      </c>
      <c r="AP574" s="1">
        <v>34994184</v>
      </c>
      <c r="AQ574" s="1">
        <v>7579749</v>
      </c>
      <c r="AR574" s="1">
        <v>1136962</v>
      </c>
      <c r="AS574" s="1">
        <v>1060000</v>
      </c>
      <c r="AT574" s="1">
        <f t="shared" si="55"/>
        <v>51009265</v>
      </c>
    </row>
    <row r="575" spans="1:46">
      <c r="A575" s="1" t="str">
        <f>"00654"</f>
        <v>00654</v>
      </c>
      <c r="B575" s="1" t="str">
        <f>"محمدرضا"</f>
        <v>محمدرضا</v>
      </c>
      <c r="C575" s="1" t="str">
        <f>"تاجي اشکفتکي"</f>
        <v>تاجي اشکفتکي</v>
      </c>
      <c r="D575" s="1" t="str">
        <f t="shared" si="60"/>
        <v>قراردادي کارگري</v>
      </c>
      <c r="E575" s="1" t="str">
        <f t="shared" si="61"/>
        <v>پروژه تعميرات نيروگاه بوشهر</v>
      </c>
      <c r="F575" s="1">
        <v>11112690</v>
      </c>
      <c r="G575" s="1">
        <v>2025751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400000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14638441</v>
      </c>
      <c r="AO575" s="1">
        <v>2654691</v>
      </c>
      <c r="AP575" s="1">
        <v>11983750</v>
      </c>
      <c r="AQ575" s="1">
        <v>2927688</v>
      </c>
      <c r="AR575" s="1">
        <v>439153</v>
      </c>
      <c r="AS575" s="1">
        <v>1590000</v>
      </c>
      <c r="AT575" s="1">
        <f t="shared" si="55"/>
        <v>19595282</v>
      </c>
    </row>
    <row r="576" spans="1:46">
      <c r="A576" s="1" t="str">
        <f>"00655"</f>
        <v>00655</v>
      </c>
      <c r="B576" s="1" t="str">
        <f>"عادل"</f>
        <v>عادل</v>
      </c>
      <c r="C576" s="1" t="str">
        <f>"رهامي"</f>
        <v>رهامي</v>
      </c>
      <c r="D576" s="1" t="str">
        <f t="shared" si="60"/>
        <v>قراردادي کارگري</v>
      </c>
      <c r="E576" s="1" t="str">
        <f t="shared" si="61"/>
        <v>پروژه تعميرات نيروگاه بوشهر</v>
      </c>
      <c r="F576" s="1">
        <v>7948816</v>
      </c>
      <c r="G576" s="1">
        <v>9769256</v>
      </c>
      <c r="H576" s="1">
        <v>0</v>
      </c>
      <c r="I576" s="1">
        <v>6438541</v>
      </c>
      <c r="J576" s="1">
        <v>0</v>
      </c>
      <c r="K576" s="1">
        <v>0</v>
      </c>
      <c r="L576" s="1">
        <v>3620700</v>
      </c>
      <c r="M576" s="1">
        <v>400000</v>
      </c>
      <c r="N576" s="1">
        <v>4183587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7581326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1111269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42153495</v>
      </c>
      <c r="AO576" s="1">
        <v>7733887</v>
      </c>
      <c r="AP576" s="1">
        <v>34419608</v>
      </c>
      <c r="AQ576" s="1">
        <v>8208445</v>
      </c>
      <c r="AR576" s="1">
        <v>1231267</v>
      </c>
      <c r="AS576" s="1">
        <v>795000</v>
      </c>
      <c r="AT576" s="1">
        <f t="shared" si="55"/>
        <v>52388207</v>
      </c>
    </row>
    <row r="577" spans="1:46">
      <c r="A577" s="1" t="str">
        <f>"00656"</f>
        <v>00656</v>
      </c>
      <c r="B577" s="1" t="str">
        <f>"صادق"</f>
        <v>صادق</v>
      </c>
      <c r="C577" s="1" t="str">
        <f>"زارعي"</f>
        <v>زارعي</v>
      </c>
      <c r="D577" s="1" t="str">
        <f t="shared" si="60"/>
        <v>قراردادي کارگري</v>
      </c>
      <c r="E577" s="1" t="str">
        <f t="shared" si="61"/>
        <v>پروژه تعميرات نيروگاه بوشهر</v>
      </c>
      <c r="F577" s="1">
        <v>5878205</v>
      </c>
      <c r="G577" s="1">
        <v>1643091</v>
      </c>
      <c r="H577" s="1">
        <v>0</v>
      </c>
      <c r="I577" s="1">
        <v>4114743</v>
      </c>
      <c r="J577" s="1">
        <v>0</v>
      </c>
      <c r="K577" s="1">
        <v>0</v>
      </c>
      <c r="L577" s="1">
        <v>3620700</v>
      </c>
      <c r="M577" s="1">
        <v>400000</v>
      </c>
      <c r="N577" s="1">
        <v>3093792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5826381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2506116</v>
      </c>
      <c r="AE577" s="1">
        <v>0</v>
      </c>
      <c r="AF577" s="1">
        <v>1111269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29294297</v>
      </c>
      <c r="AO577" s="1">
        <v>3906875</v>
      </c>
      <c r="AP577" s="1">
        <v>25387422</v>
      </c>
      <c r="AQ577" s="1">
        <v>5636606</v>
      </c>
      <c r="AR577" s="1">
        <v>845491</v>
      </c>
      <c r="AS577" s="1">
        <v>795000</v>
      </c>
      <c r="AT577" s="1">
        <f t="shared" si="55"/>
        <v>36571394</v>
      </c>
    </row>
    <row r="578" spans="1:46">
      <c r="A578" s="1" t="str">
        <f>"00657"</f>
        <v>00657</v>
      </c>
      <c r="B578" s="1" t="str">
        <f>"اسماعيل"</f>
        <v>اسماعيل</v>
      </c>
      <c r="C578" s="1" t="str">
        <f>"شهرياري"</f>
        <v>شهرياري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15126553</v>
      </c>
      <c r="G578" s="1">
        <v>5163680</v>
      </c>
      <c r="H578" s="1">
        <v>0</v>
      </c>
      <c r="I578" s="1">
        <v>11289046</v>
      </c>
      <c r="J578" s="1">
        <v>0</v>
      </c>
      <c r="K578" s="1">
        <v>4125000</v>
      </c>
      <c r="L578" s="1">
        <v>0</v>
      </c>
      <c r="M578" s="1">
        <v>400000</v>
      </c>
      <c r="N578" s="1">
        <v>2483845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7789441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1774176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3193516</v>
      </c>
      <c r="AM578" s="1">
        <v>0</v>
      </c>
      <c r="AN578" s="1">
        <v>52445257</v>
      </c>
      <c r="AO578" s="1">
        <v>9894804</v>
      </c>
      <c r="AP578" s="1">
        <v>42550453</v>
      </c>
      <c r="AQ578" s="1">
        <v>10489051</v>
      </c>
      <c r="AR578" s="1">
        <v>1573358</v>
      </c>
      <c r="AS578" s="1">
        <v>0</v>
      </c>
      <c r="AT578" s="1">
        <f t="shared" si="55"/>
        <v>64507666</v>
      </c>
    </row>
    <row r="579" spans="1:46">
      <c r="A579" s="1" t="str">
        <f>"00658"</f>
        <v>00658</v>
      </c>
      <c r="B579" s="1" t="str">
        <f>"محمدرضا"</f>
        <v>محمدرضا</v>
      </c>
      <c r="C579" s="1" t="str">
        <f>"افشارنژاد"</f>
        <v>افشارنژاد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9177161</v>
      </c>
      <c r="G579" s="1">
        <v>6474534</v>
      </c>
      <c r="H579" s="1">
        <v>0</v>
      </c>
      <c r="I579" s="1">
        <v>8626531</v>
      </c>
      <c r="J579" s="1">
        <v>0</v>
      </c>
      <c r="K579" s="1">
        <v>0</v>
      </c>
      <c r="L579" s="1">
        <v>3460800</v>
      </c>
      <c r="M579" s="1">
        <v>400000</v>
      </c>
      <c r="N579" s="1">
        <v>5506297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2827079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2222538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39794940</v>
      </c>
      <c r="AO579" s="1">
        <v>6344417</v>
      </c>
      <c r="AP579" s="1">
        <v>33450523</v>
      </c>
      <c r="AQ579" s="1">
        <v>7514480</v>
      </c>
      <c r="AR579" s="1">
        <v>1127172</v>
      </c>
      <c r="AS579" s="1">
        <v>600000</v>
      </c>
      <c r="AT579" s="1">
        <f t="shared" ref="AT579:AT642" si="62">AS579+AR579+AQ579+AN579</f>
        <v>49036592</v>
      </c>
    </row>
    <row r="580" spans="1:46">
      <c r="A580" s="1" t="str">
        <f>"00659"</f>
        <v>00659</v>
      </c>
      <c r="B580" s="1" t="str">
        <f>"فاضل"</f>
        <v>فاضل</v>
      </c>
      <c r="C580" s="1" t="str">
        <f>"فرخ زاد"</f>
        <v>فرخ زاد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8875037</v>
      </c>
      <c r="G580" s="1">
        <v>12844106</v>
      </c>
      <c r="H580" s="1">
        <v>0</v>
      </c>
      <c r="I580" s="1">
        <v>6390027</v>
      </c>
      <c r="J580" s="1">
        <v>0</v>
      </c>
      <c r="K580" s="1">
        <v>0</v>
      </c>
      <c r="L580" s="1">
        <v>3620700</v>
      </c>
      <c r="M580" s="1">
        <v>400000</v>
      </c>
      <c r="N580" s="1">
        <v>4702006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5770187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2222538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45924601</v>
      </c>
      <c r="AO580" s="1">
        <v>11871127</v>
      </c>
      <c r="AP580" s="1">
        <v>34053474</v>
      </c>
      <c r="AQ580" s="1">
        <v>8740413</v>
      </c>
      <c r="AR580" s="1">
        <v>1311062</v>
      </c>
      <c r="AS580" s="1">
        <v>1590000</v>
      </c>
      <c r="AT580" s="1">
        <f t="shared" si="62"/>
        <v>57566076</v>
      </c>
    </row>
    <row r="581" spans="1:46">
      <c r="A581" s="1" t="str">
        <f>"00660"</f>
        <v>00660</v>
      </c>
      <c r="B581" s="1" t="str">
        <f>"عبدالرسول"</f>
        <v>عبدالرسول</v>
      </c>
      <c r="C581" s="1" t="str">
        <f>"محمدي"</f>
        <v>محمدي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10541564</v>
      </c>
      <c r="G581" s="1">
        <v>8988611</v>
      </c>
      <c r="H581" s="1">
        <v>0</v>
      </c>
      <c r="I581" s="1">
        <v>7247627</v>
      </c>
      <c r="J581" s="1">
        <v>0</v>
      </c>
      <c r="K581" s="1">
        <v>3465000</v>
      </c>
      <c r="L581" s="1">
        <v>0</v>
      </c>
      <c r="M581" s="1">
        <v>400000</v>
      </c>
      <c r="N581" s="1">
        <v>1742801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4276679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1244858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2340333</v>
      </c>
      <c r="AM581" s="1">
        <v>0</v>
      </c>
      <c r="AN581" s="1">
        <v>41347473</v>
      </c>
      <c r="AO581" s="1">
        <v>19769708</v>
      </c>
      <c r="AP581" s="1">
        <v>21577765</v>
      </c>
      <c r="AQ581" s="1">
        <v>8269495</v>
      </c>
      <c r="AR581" s="1">
        <v>1240424</v>
      </c>
      <c r="AS581" s="1">
        <v>0</v>
      </c>
      <c r="AT581" s="1">
        <f t="shared" si="62"/>
        <v>50857392</v>
      </c>
    </row>
    <row r="582" spans="1:46">
      <c r="A582" s="1" t="str">
        <f>"00661"</f>
        <v>00661</v>
      </c>
      <c r="B582" s="1" t="str">
        <f>"جواد"</f>
        <v>جواد</v>
      </c>
      <c r="C582" s="1" t="str">
        <f>"حسين زاده"</f>
        <v>حسين زاده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15735467</v>
      </c>
      <c r="G582" s="1">
        <v>8987181</v>
      </c>
      <c r="H582" s="1">
        <v>0</v>
      </c>
      <c r="I582" s="1">
        <v>12601995</v>
      </c>
      <c r="J582" s="1">
        <v>0</v>
      </c>
      <c r="K582" s="1">
        <v>4125000</v>
      </c>
      <c r="L582" s="1">
        <v>0</v>
      </c>
      <c r="M582" s="1">
        <v>400000</v>
      </c>
      <c r="N582" s="1">
        <v>2702475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6635170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1930339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2895508</v>
      </c>
      <c r="AM582" s="1">
        <v>0</v>
      </c>
      <c r="AN582" s="1">
        <v>57113135</v>
      </c>
      <c r="AO582" s="1">
        <v>13568387</v>
      </c>
      <c r="AP582" s="1">
        <v>43544748</v>
      </c>
      <c r="AQ582" s="1">
        <v>11422627</v>
      </c>
      <c r="AR582" s="1">
        <v>1713394</v>
      </c>
      <c r="AS582" s="1">
        <v>0</v>
      </c>
      <c r="AT582" s="1">
        <f t="shared" si="62"/>
        <v>70249156</v>
      </c>
    </row>
    <row r="583" spans="1:46">
      <c r="A583" s="1" t="str">
        <f>"00662"</f>
        <v>00662</v>
      </c>
      <c r="B583" s="1" t="str">
        <f>"نجف"</f>
        <v>نجف</v>
      </c>
      <c r="C583" s="1" t="str">
        <f>"ابراهيم زاده"</f>
        <v>ابراهيم زاده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8895582</v>
      </c>
      <c r="G583" s="1">
        <v>3279441</v>
      </c>
      <c r="H583" s="1">
        <v>0</v>
      </c>
      <c r="I583" s="1">
        <v>7205421</v>
      </c>
      <c r="J583" s="1">
        <v>0</v>
      </c>
      <c r="K583" s="1">
        <v>0</v>
      </c>
      <c r="L583" s="1">
        <v>3460800</v>
      </c>
      <c r="M583" s="1">
        <v>400000</v>
      </c>
      <c r="N583" s="1">
        <v>4744310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5677345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1111269</v>
      </c>
      <c r="AG583" s="1">
        <v>0</v>
      </c>
      <c r="AH583" s="1">
        <v>0</v>
      </c>
      <c r="AI583" s="1">
        <v>2500000</v>
      </c>
      <c r="AJ583" s="1">
        <v>0</v>
      </c>
      <c r="AK583" s="1">
        <v>0</v>
      </c>
      <c r="AL583" s="1">
        <v>0</v>
      </c>
      <c r="AM583" s="1">
        <v>0</v>
      </c>
      <c r="AN583" s="1">
        <v>38374168</v>
      </c>
      <c r="AO583" s="1">
        <v>11261940</v>
      </c>
      <c r="AP583" s="1">
        <v>27112228</v>
      </c>
      <c r="AQ583" s="1">
        <v>6952580</v>
      </c>
      <c r="AR583" s="1">
        <v>1042887</v>
      </c>
      <c r="AS583" s="1">
        <v>390000</v>
      </c>
      <c r="AT583" s="1">
        <f t="shared" si="62"/>
        <v>46759635</v>
      </c>
    </row>
    <row r="584" spans="1:46">
      <c r="A584" s="1" t="str">
        <f>"00663"</f>
        <v>00663</v>
      </c>
      <c r="B584" s="1" t="str">
        <f>"بهرام"</f>
        <v>بهرام</v>
      </c>
      <c r="C584" s="1" t="str">
        <f>"زارعي"</f>
        <v>زارعي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10519522</v>
      </c>
      <c r="G584" s="1">
        <v>6909077</v>
      </c>
      <c r="H584" s="1">
        <v>0</v>
      </c>
      <c r="I584" s="1">
        <v>10763686</v>
      </c>
      <c r="J584" s="1">
        <v>0</v>
      </c>
      <c r="K584" s="1">
        <v>4620000</v>
      </c>
      <c r="L584" s="1">
        <v>0</v>
      </c>
      <c r="M584" s="1">
        <v>400000</v>
      </c>
      <c r="N584" s="1">
        <v>1761899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6768075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1258499</v>
      </c>
      <c r="AF584" s="1">
        <v>3333807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2768698</v>
      </c>
      <c r="AM584" s="1">
        <v>0</v>
      </c>
      <c r="AN584" s="1">
        <v>50203263</v>
      </c>
      <c r="AO584" s="1">
        <v>10163830</v>
      </c>
      <c r="AP584" s="1">
        <v>40039433</v>
      </c>
      <c r="AQ584" s="1">
        <v>9373891</v>
      </c>
      <c r="AR584" s="1">
        <v>1406084</v>
      </c>
      <c r="AS584" s="1">
        <v>0</v>
      </c>
      <c r="AT584" s="1">
        <f t="shared" si="62"/>
        <v>60983238</v>
      </c>
    </row>
    <row r="585" spans="1:46">
      <c r="A585" s="1" t="str">
        <f>"00664"</f>
        <v>00664</v>
      </c>
      <c r="B585" s="1" t="str">
        <f>"حميد رضا"</f>
        <v>حميد رضا</v>
      </c>
      <c r="C585" s="1" t="str">
        <f>"دهقاني"</f>
        <v>دهقاني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11789153</v>
      </c>
      <c r="G585" s="1">
        <v>10025923</v>
      </c>
      <c r="H585" s="1">
        <v>0</v>
      </c>
      <c r="I585" s="1">
        <v>9617955</v>
      </c>
      <c r="J585" s="1">
        <v>0</v>
      </c>
      <c r="K585" s="1">
        <v>4620000</v>
      </c>
      <c r="L585" s="1">
        <v>0</v>
      </c>
      <c r="M585" s="1">
        <v>400000</v>
      </c>
      <c r="N585" s="1">
        <v>2189401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6592584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1563858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3503041</v>
      </c>
      <c r="AM585" s="1">
        <v>0</v>
      </c>
      <c r="AN585" s="1">
        <v>52513184</v>
      </c>
      <c r="AO585" s="1">
        <v>11025791</v>
      </c>
      <c r="AP585" s="1">
        <v>41487393</v>
      </c>
      <c r="AQ585" s="1">
        <v>10280383</v>
      </c>
      <c r="AR585" s="1">
        <v>1542057</v>
      </c>
      <c r="AS585" s="1">
        <v>0</v>
      </c>
      <c r="AT585" s="1">
        <f t="shared" si="62"/>
        <v>64335624</v>
      </c>
    </row>
    <row r="586" spans="1:46">
      <c r="A586" s="1" t="str">
        <f>"00665"</f>
        <v>00665</v>
      </c>
      <c r="B586" s="1" t="str">
        <f>"مجيد"</f>
        <v>مجيد</v>
      </c>
      <c r="C586" s="1" t="str">
        <f>"سميعي قصرالدشتي"</f>
        <v>سميعي قصرالدشتي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11562931</v>
      </c>
      <c r="G586" s="1">
        <v>6983322</v>
      </c>
      <c r="H586" s="1">
        <v>0</v>
      </c>
      <c r="I586" s="1">
        <v>9485206</v>
      </c>
      <c r="J586" s="1">
        <v>0</v>
      </c>
      <c r="K586" s="1">
        <v>4620000</v>
      </c>
      <c r="L586" s="1">
        <v>0</v>
      </c>
      <c r="M586" s="1">
        <v>400000</v>
      </c>
      <c r="N586" s="1">
        <v>2105733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1270000</v>
      </c>
      <c r="U586" s="1">
        <v>0</v>
      </c>
      <c r="V586" s="1">
        <v>5936236</v>
      </c>
      <c r="W586" s="1">
        <v>1100000</v>
      </c>
      <c r="X586" s="1">
        <v>0</v>
      </c>
      <c r="Y586" s="1">
        <v>5486896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1504095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3609827</v>
      </c>
      <c r="AM586" s="1">
        <v>0</v>
      </c>
      <c r="AN586" s="1">
        <v>54064246</v>
      </c>
      <c r="AO586" s="1">
        <v>9519433</v>
      </c>
      <c r="AP586" s="1">
        <v>44544813</v>
      </c>
      <c r="AQ586" s="1">
        <v>10558849</v>
      </c>
      <c r="AR586" s="1">
        <v>1583827</v>
      </c>
      <c r="AS586" s="1">
        <v>0</v>
      </c>
      <c r="AT586" s="1">
        <f t="shared" si="62"/>
        <v>66206922</v>
      </c>
    </row>
    <row r="587" spans="1:46">
      <c r="A587" s="1" t="str">
        <f>"00666"</f>
        <v>00666</v>
      </c>
      <c r="B587" s="1" t="str">
        <f>"زهرا"</f>
        <v>زهرا</v>
      </c>
      <c r="C587" s="1" t="str">
        <f>"دانشور"</f>
        <v>دانشور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12857558</v>
      </c>
      <c r="G587" s="1">
        <v>3745648</v>
      </c>
      <c r="H587" s="1">
        <v>0</v>
      </c>
      <c r="I587" s="1">
        <v>8170449</v>
      </c>
      <c r="J587" s="1">
        <v>0</v>
      </c>
      <c r="K587" s="1">
        <v>4125000</v>
      </c>
      <c r="L587" s="1">
        <v>0</v>
      </c>
      <c r="M587" s="1">
        <v>400000</v>
      </c>
      <c r="N587" s="1">
        <v>1755671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1270000</v>
      </c>
      <c r="U587" s="1">
        <v>0</v>
      </c>
      <c r="V587" s="1">
        <v>2594389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1254050</v>
      </c>
      <c r="AF587" s="1">
        <v>1111269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1906157</v>
      </c>
      <c r="AM587" s="1">
        <v>0</v>
      </c>
      <c r="AN587" s="1">
        <v>40290191</v>
      </c>
      <c r="AO587" s="1">
        <v>4842424</v>
      </c>
      <c r="AP587" s="1">
        <v>35447767</v>
      </c>
      <c r="AQ587" s="1">
        <v>7581784</v>
      </c>
      <c r="AR587" s="1">
        <v>1137268</v>
      </c>
      <c r="AS587" s="1">
        <v>0</v>
      </c>
      <c r="AT587" s="1">
        <f t="shared" si="62"/>
        <v>49009243</v>
      </c>
    </row>
    <row r="588" spans="1:46">
      <c r="A588" s="1" t="str">
        <f>"00667"</f>
        <v>00667</v>
      </c>
      <c r="B588" s="1" t="str">
        <f>"نصرالله"</f>
        <v>نصرالله</v>
      </c>
      <c r="C588" s="1" t="str">
        <f>"شکيبي نسب"</f>
        <v>شکيبي نسب</v>
      </c>
      <c r="D588" s="1" t="str">
        <f>"قراردادي کارگري"</f>
        <v>قراردادي کارگري</v>
      </c>
      <c r="E588" s="1" t="str">
        <f t="shared" ref="E588:E599" si="63">"پروژه تعميرات نيروگاه بوشهر"</f>
        <v>پروژه تعميرات نيروگاه بوشهر</v>
      </c>
      <c r="F588" s="1">
        <v>8859255</v>
      </c>
      <c r="G588" s="1">
        <v>15842150</v>
      </c>
      <c r="H588" s="1">
        <v>0</v>
      </c>
      <c r="I588" s="1">
        <v>6555848</v>
      </c>
      <c r="J588" s="1">
        <v>0</v>
      </c>
      <c r="K588" s="1">
        <v>0</v>
      </c>
      <c r="L588" s="1">
        <v>3620700</v>
      </c>
      <c r="M588" s="1">
        <v>400000</v>
      </c>
      <c r="N588" s="1">
        <v>4693645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7758055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49940922</v>
      </c>
      <c r="AO588" s="1">
        <v>8914509</v>
      </c>
      <c r="AP588" s="1">
        <v>41026413</v>
      </c>
      <c r="AQ588" s="1">
        <v>9765931</v>
      </c>
      <c r="AR588" s="1">
        <v>1464890</v>
      </c>
      <c r="AS588" s="1">
        <v>900000</v>
      </c>
      <c r="AT588" s="1">
        <f t="shared" si="62"/>
        <v>62071743</v>
      </c>
    </row>
    <row r="589" spans="1:46">
      <c r="A589" s="1" t="str">
        <f>"00668"</f>
        <v>00668</v>
      </c>
      <c r="B589" s="1" t="str">
        <f>"عبدالکريم"</f>
        <v>عبدالکريم</v>
      </c>
      <c r="C589" s="1" t="str">
        <f>"صادقي پور"</f>
        <v>صادقي پور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7752029</v>
      </c>
      <c r="G589" s="1">
        <v>11492748</v>
      </c>
      <c r="H589" s="1">
        <v>0</v>
      </c>
      <c r="I589" s="1">
        <v>5969062</v>
      </c>
      <c r="J589" s="1">
        <v>0</v>
      </c>
      <c r="K589" s="1">
        <v>0</v>
      </c>
      <c r="L589" s="1">
        <v>3460800</v>
      </c>
      <c r="M589" s="1">
        <v>400000</v>
      </c>
      <c r="N589" s="1">
        <v>4134416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7871625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2222538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44403218</v>
      </c>
      <c r="AO589" s="1">
        <v>7627791</v>
      </c>
      <c r="AP589" s="1">
        <v>36775427</v>
      </c>
      <c r="AQ589" s="1">
        <v>8436136</v>
      </c>
      <c r="AR589" s="1">
        <v>1265420</v>
      </c>
      <c r="AS589" s="1">
        <v>1060000</v>
      </c>
      <c r="AT589" s="1">
        <f t="shared" si="62"/>
        <v>55164774</v>
      </c>
    </row>
    <row r="590" spans="1:46">
      <c r="A590" s="1" t="str">
        <f>"00669"</f>
        <v>00669</v>
      </c>
      <c r="B590" s="1" t="str">
        <f>"وحيد"</f>
        <v>وحيد</v>
      </c>
      <c r="C590" s="1" t="str">
        <f>"صالحي"</f>
        <v>صالحي</v>
      </c>
      <c r="D590" s="1" t="str">
        <f>"قراردادي کارگري"</f>
        <v>قراردادي کارگري</v>
      </c>
      <c r="E590" s="1" t="str">
        <f t="shared" si="63"/>
        <v>پروژه تعميرات نيروگاه بوشهر</v>
      </c>
      <c r="F590" s="1">
        <v>5428072</v>
      </c>
      <c r="G590" s="1">
        <v>0</v>
      </c>
      <c r="H590" s="1">
        <v>0</v>
      </c>
      <c r="I590" s="1">
        <v>4071054</v>
      </c>
      <c r="J590" s="1">
        <v>0</v>
      </c>
      <c r="K590" s="1">
        <v>0</v>
      </c>
      <c r="L590" s="1">
        <v>3620700</v>
      </c>
      <c r="M590" s="1">
        <v>400000</v>
      </c>
      <c r="N590" s="1">
        <v>2856880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5592546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2396506</v>
      </c>
      <c r="AE590" s="1">
        <v>0</v>
      </c>
      <c r="AF590" s="1">
        <v>1111269</v>
      </c>
      <c r="AG590" s="1">
        <v>0</v>
      </c>
      <c r="AH590" s="1">
        <v>0</v>
      </c>
      <c r="AI590" s="1">
        <v>0</v>
      </c>
      <c r="AJ590" s="1">
        <v>3019695</v>
      </c>
      <c r="AK590" s="1">
        <v>0</v>
      </c>
      <c r="AL590" s="1">
        <v>0</v>
      </c>
      <c r="AM590" s="1">
        <v>0</v>
      </c>
      <c r="AN590" s="1">
        <v>29596722</v>
      </c>
      <c r="AO590" s="1">
        <v>6175380</v>
      </c>
      <c r="AP590" s="1">
        <v>23421342</v>
      </c>
      <c r="AQ590" s="1">
        <v>5697091</v>
      </c>
      <c r="AR590" s="1">
        <v>854564</v>
      </c>
      <c r="AS590" s="1">
        <v>795000</v>
      </c>
      <c r="AT590" s="1">
        <f t="shared" si="62"/>
        <v>36943377</v>
      </c>
    </row>
    <row r="591" spans="1:46">
      <c r="A591" s="1" t="str">
        <f>"00670"</f>
        <v>00670</v>
      </c>
      <c r="B591" s="1" t="str">
        <f>"احمد"</f>
        <v>احمد</v>
      </c>
      <c r="C591" s="1" t="str">
        <f>"صفا"</f>
        <v>صفا</v>
      </c>
      <c r="D591" s="1" t="str">
        <f>"قراردادي بهره بردار"</f>
        <v>قراردادي بهره بردار</v>
      </c>
      <c r="E591" s="1" t="str">
        <f t="shared" si="63"/>
        <v>پروژه تعميرات نيروگاه بوشهر</v>
      </c>
      <c r="F591" s="1">
        <v>7613949</v>
      </c>
      <c r="G591" s="1">
        <v>0</v>
      </c>
      <c r="H591" s="1">
        <v>0</v>
      </c>
      <c r="I591" s="1">
        <v>3805570</v>
      </c>
      <c r="J591" s="1">
        <v>0</v>
      </c>
      <c r="K591" s="1">
        <v>4620000</v>
      </c>
      <c r="L591" s="1">
        <v>0</v>
      </c>
      <c r="M591" s="1">
        <v>400000</v>
      </c>
      <c r="N591" s="1">
        <v>976016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1406871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697154</v>
      </c>
      <c r="AF591" s="1">
        <v>1111269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976016</v>
      </c>
      <c r="AM591" s="1">
        <v>0</v>
      </c>
      <c r="AN591" s="1">
        <v>22706845</v>
      </c>
      <c r="AO591" s="1">
        <v>7618356</v>
      </c>
      <c r="AP591" s="1">
        <v>15088489</v>
      </c>
      <c r="AQ591" s="1">
        <v>4319115</v>
      </c>
      <c r="AR591" s="1">
        <v>647867</v>
      </c>
      <c r="AS591" s="1">
        <v>0</v>
      </c>
      <c r="AT591" s="1">
        <f t="shared" si="62"/>
        <v>27673827</v>
      </c>
    </row>
    <row r="592" spans="1:46">
      <c r="A592" s="1" t="str">
        <f>"00671"</f>
        <v>00671</v>
      </c>
      <c r="B592" s="1" t="str">
        <f>"مهدي"</f>
        <v>مهدي</v>
      </c>
      <c r="C592" s="1" t="str">
        <f>"طاهري نيا"</f>
        <v>طاهري نيا</v>
      </c>
      <c r="D592" s="1" t="str">
        <f>"قراردادي کارگري"</f>
        <v>قراردادي کارگري</v>
      </c>
      <c r="E592" s="1" t="str">
        <f t="shared" si="63"/>
        <v>پروژه تعميرات نيروگاه بوشهر</v>
      </c>
      <c r="F592" s="1">
        <v>6511596</v>
      </c>
      <c r="G592" s="1">
        <v>3298450</v>
      </c>
      <c r="H592" s="1">
        <v>0</v>
      </c>
      <c r="I592" s="1">
        <v>4623233</v>
      </c>
      <c r="J592" s="1">
        <v>0</v>
      </c>
      <c r="K592" s="1">
        <v>0</v>
      </c>
      <c r="L592" s="1">
        <v>3620700</v>
      </c>
      <c r="M592" s="1">
        <v>400000</v>
      </c>
      <c r="N592" s="1">
        <v>3472851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4389565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2734257</v>
      </c>
      <c r="AE592" s="1">
        <v>0</v>
      </c>
      <c r="AF592" s="1">
        <v>1111269</v>
      </c>
      <c r="AG592" s="1">
        <v>0</v>
      </c>
      <c r="AH592" s="1">
        <v>0</v>
      </c>
      <c r="AI592" s="1">
        <v>0</v>
      </c>
      <c r="AJ592" s="1">
        <v>3166512</v>
      </c>
      <c r="AK592" s="1">
        <v>0</v>
      </c>
      <c r="AL592" s="1">
        <v>0</v>
      </c>
      <c r="AM592" s="1">
        <v>0</v>
      </c>
      <c r="AN592" s="1">
        <v>34428433</v>
      </c>
      <c r="AO592" s="1">
        <v>6436076</v>
      </c>
      <c r="AP592" s="1">
        <v>27992357</v>
      </c>
      <c r="AQ592" s="1">
        <v>6663433</v>
      </c>
      <c r="AR592" s="1">
        <v>999515</v>
      </c>
      <c r="AS592" s="1">
        <v>795000</v>
      </c>
      <c r="AT592" s="1">
        <f t="shared" si="62"/>
        <v>42886381</v>
      </c>
    </row>
    <row r="593" spans="1:46">
      <c r="A593" s="1" t="str">
        <f>"00672"</f>
        <v>00672</v>
      </c>
      <c r="B593" s="1" t="str">
        <f>"محسن"</f>
        <v>محسن</v>
      </c>
      <c r="C593" s="1" t="str">
        <f>"عباس پور بحراني"</f>
        <v>عباس پور بحراني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11607653</v>
      </c>
      <c r="G593" s="1">
        <v>0</v>
      </c>
      <c r="H593" s="1">
        <v>0</v>
      </c>
      <c r="I593" s="1">
        <v>9856756</v>
      </c>
      <c r="J593" s="1">
        <v>0</v>
      </c>
      <c r="K593" s="1">
        <v>3465000</v>
      </c>
      <c r="L593" s="1">
        <v>0</v>
      </c>
      <c r="M593" s="1">
        <v>400000</v>
      </c>
      <c r="N593" s="1">
        <v>2148142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9072501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1534387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6137549</v>
      </c>
      <c r="AM593" s="1">
        <v>0</v>
      </c>
      <c r="AN593" s="1">
        <v>45321988</v>
      </c>
      <c r="AO593" s="1">
        <v>12340768</v>
      </c>
      <c r="AP593" s="1">
        <v>32981220</v>
      </c>
      <c r="AQ593" s="1">
        <v>9064398</v>
      </c>
      <c r="AR593" s="1">
        <v>1359660</v>
      </c>
      <c r="AS593" s="1">
        <v>0</v>
      </c>
      <c r="AT593" s="1">
        <f t="shared" si="62"/>
        <v>55746046</v>
      </c>
    </row>
    <row r="594" spans="1:46">
      <c r="A594" s="1" t="str">
        <f>"00673"</f>
        <v>00673</v>
      </c>
      <c r="B594" s="1" t="str">
        <f>"حسن"</f>
        <v>حسن</v>
      </c>
      <c r="C594" s="1" t="str">
        <f>"عبدالله زاده"</f>
        <v>عبدالله زاده</v>
      </c>
      <c r="D594" s="1" t="str">
        <f t="shared" ref="D594:D599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7391654</v>
      </c>
      <c r="G594" s="1">
        <v>1852260</v>
      </c>
      <c r="H594" s="1">
        <v>0</v>
      </c>
      <c r="I594" s="1">
        <v>4508909</v>
      </c>
      <c r="J594" s="1">
        <v>0</v>
      </c>
      <c r="K594" s="1">
        <v>0</v>
      </c>
      <c r="L594" s="1">
        <v>4864775</v>
      </c>
      <c r="M594" s="1">
        <v>400000</v>
      </c>
      <c r="N594" s="1">
        <v>3695827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4941262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3069175</v>
      </c>
      <c r="AE594" s="1">
        <v>0</v>
      </c>
      <c r="AF594" s="1">
        <v>2222538</v>
      </c>
      <c r="AG594" s="1">
        <v>0</v>
      </c>
      <c r="AH594" s="1">
        <v>0</v>
      </c>
      <c r="AI594" s="1">
        <v>0</v>
      </c>
      <c r="AJ594" s="1">
        <v>1185447</v>
      </c>
      <c r="AK594" s="1">
        <v>0</v>
      </c>
      <c r="AL594" s="1">
        <v>0</v>
      </c>
      <c r="AM594" s="1">
        <v>0</v>
      </c>
      <c r="AN594" s="1">
        <v>35231847</v>
      </c>
      <c r="AO594" s="1">
        <v>13871130</v>
      </c>
      <c r="AP594" s="1">
        <v>21360717</v>
      </c>
      <c r="AQ594" s="1">
        <v>6601862</v>
      </c>
      <c r="AR594" s="1">
        <v>990279</v>
      </c>
      <c r="AS594" s="1">
        <v>300000</v>
      </c>
      <c r="AT594" s="1">
        <f t="shared" si="62"/>
        <v>43123988</v>
      </c>
    </row>
    <row r="595" spans="1:46">
      <c r="A595" s="1" t="str">
        <f>"00674"</f>
        <v>00674</v>
      </c>
      <c r="B595" s="1" t="str">
        <f>"علي"</f>
        <v>علي</v>
      </c>
      <c r="C595" s="1" t="str">
        <f>"عدالت پور"</f>
        <v>عدالت پور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5454550</v>
      </c>
      <c r="G595" s="1">
        <v>6629949</v>
      </c>
      <c r="H595" s="1">
        <v>0</v>
      </c>
      <c r="I595" s="1">
        <v>4090913</v>
      </c>
      <c r="J595" s="1">
        <v>0</v>
      </c>
      <c r="K595" s="1">
        <v>0</v>
      </c>
      <c r="L595" s="1">
        <v>3620700</v>
      </c>
      <c r="M595" s="1">
        <v>400000</v>
      </c>
      <c r="N595" s="1">
        <v>2870816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5611833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29778761</v>
      </c>
      <c r="AO595" s="1">
        <v>5253497</v>
      </c>
      <c r="AP595" s="1">
        <v>24525264</v>
      </c>
      <c r="AQ595" s="1">
        <v>5955752</v>
      </c>
      <c r="AR595" s="1">
        <v>893363</v>
      </c>
      <c r="AS595" s="1">
        <v>530000</v>
      </c>
      <c r="AT595" s="1">
        <f t="shared" si="62"/>
        <v>37157876</v>
      </c>
    </row>
    <row r="596" spans="1:46">
      <c r="A596" s="1" t="str">
        <f>"00675"</f>
        <v>00675</v>
      </c>
      <c r="B596" s="1" t="str">
        <f>"قاسم"</f>
        <v>قاسم</v>
      </c>
      <c r="C596" s="1" t="str">
        <f>"علوي"</f>
        <v>علوي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5359228</v>
      </c>
      <c r="G596" s="1">
        <v>3894186</v>
      </c>
      <c r="H596" s="1">
        <v>0</v>
      </c>
      <c r="I596" s="1">
        <v>4019421</v>
      </c>
      <c r="J596" s="1">
        <v>0</v>
      </c>
      <c r="K596" s="1">
        <v>0</v>
      </c>
      <c r="L596" s="1">
        <v>3620700</v>
      </c>
      <c r="M596" s="1">
        <v>400000</v>
      </c>
      <c r="N596" s="1">
        <v>2820646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5542399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1111269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27867849</v>
      </c>
      <c r="AO596" s="1">
        <v>5169627</v>
      </c>
      <c r="AP596" s="1">
        <v>22698222</v>
      </c>
      <c r="AQ596" s="1">
        <v>5351316</v>
      </c>
      <c r="AR596" s="1">
        <v>802697</v>
      </c>
      <c r="AS596" s="1">
        <v>795000</v>
      </c>
      <c r="AT596" s="1">
        <f t="shared" si="62"/>
        <v>34816862</v>
      </c>
    </row>
    <row r="597" spans="1:46">
      <c r="A597" s="1" t="str">
        <f>"00676"</f>
        <v>00676</v>
      </c>
      <c r="B597" s="1" t="str">
        <f>"ياسين"</f>
        <v>ياسين</v>
      </c>
      <c r="C597" s="1" t="str">
        <f>"علوي راد"</f>
        <v>علوي راد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5290384</v>
      </c>
      <c r="G597" s="1">
        <v>0</v>
      </c>
      <c r="H597" s="1">
        <v>0</v>
      </c>
      <c r="I597" s="1">
        <v>3967788</v>
      </c>
      <c r="J597" s="1">
        <v>0</v>
      </c>
      <c r="K597" s="1">
        <v>0</v>
      </c>
      <c r="L597" s="1">
        <v>3620700</v>
      </c>
      <c r="M597" s="1">
        <v>400000</v>
      </c>
      <c r="N597" s="1">
        <v>2784413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5492251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2349493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1974517</v>
      </c>
      <c r="AK597" s="1">
        <v>0</v>
      </c>
      <c r="AL597" s="1">
        <v>0</v>
      </c>
      <c r="AM597" s="1">
        <v>0</v>
      </c>
      <c r="AN597" s="1">
        <v>26979546</v>
      </c>
      <c r="AO597" s="1">
        <v>2701696</v>
      </c>
      <c r="AP597" s="1">
        <v>24277850</v>
      </c>
      <c r="AQ597" s="1">
        <v>5395909</v>
      </c>
      <c r="AR597" s="1">
        <v>809386</v>
      </c>
      <c r="AS597" s="1">
        <v>0</v>
      </c>
      <c r="AT597" s="1">
        <f t="shared" si="62"/>
        <v>33184841</v>
      </c>
    </row>
    <row r="598" spans="1:46">
      <c r="A598" s="1" t="str">
        <f>"00677"</f>
        <v>00677</v>
      </c>
      <c r="B598" s="1" t="str">
        <f>"رضا"</f>
        <v>رضا</v>
      </c>
      <c r="C598" s="1" t="str">
        <f>"ابراهيمي"</f>
        <v>ابراهيمي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7473975</v>
      </c>
      <c r="G598" s="1">
        <v>1440935</v>
      </c>
      <c r="H598" s="1">
        <v>0</v>
      </c>
      <c r="I598" s="1">
        <v>6128659</v>
      </c>
      <c r="J598" s="1">
        <v>0</v>
      </c>
      <c r="K598" s="1">
        <v>0</v>
      </c>
      <c r="L598" s="1">
        <v>3460800</v>
      </c>
      <c r="M598" s="1">
        <v>400000</v>
      </c>
      <c r="N598" s="1">
        <v>3959722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7207410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31171501</v>
      </c>
      <c r="AO598" s="1">
        <v>3951882</v>
      </c>
      <c r="AP598" s="1">
        <v>27219619</v>
      </c>
      <c r="AQ598" s="1">
        <v>6234300</v>
      </c>
      <c r="AR598" s="1">
        <v>935145</v>
      </c>
      <c r="AS598" s="1">
        <v>195000</v>
      </c>
      <c r="AT598" s="1">
        <f t="shared" si="62"/>
        <v>38535946</v>
      </c>
    </row>
    <row r="599" spans="1:46">
      <c r="A599" s="1" t="str">
        <f>"00680"</f>
        <v>00680</v>
      </c>
      <c r="B599" s="1" t="str">
        <f>"سجاد"</f>
        <v>سجاد</v>
      </c>
      <c r="C599" s="1" t="str">
        <f>"ارمي"</f>
        <v>ارمي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5671673</v>
      </c>
      <c r="G599" s="1">
        <v>3143080</v>
      </c>
      <c r="H599" s="1">
        <v>0</v>
      </c>
      <c r="I599" s="1">
        <v>3686588</v>
      </c>
      <c r="J599" s="1">
        <v>0</v>
      </c>
      <c r="K599" s="1">
        <v>0</v>
      </c>
      <c r="L599" s="1">
        <v>3620700</v>
      </c>
      <c r="M599" s="1">
        <v>400000</v>
      </c>
      <c r="N599" s="1">
        <v>2985091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5588497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2394608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2011571</v>
      </c>
      <c r="AK599" s="1">
        <v>0</v>
      </c>
      <c r="AL599" s="1">
        <v>0</v>
      </c>
      <c r="AM599" s="1">
        <v>0</v>
      </c>
      <c r="AN599" s="1">
        <v>30601808</v>
      </c>
      <c r="AO599" s="1">
        <v>10090787</v>
      </c>
      <c r="AP599" s="1">
        <v>20511021</v>
      </c>
      <c r="AQ599" s="1">
        <v>6120362</v>
      </c>
      <c r="AR599" s="1">
        <v>918054</v>
      </c>
      <c r="AS599" s="1">
        <v>300000</v>
      </c>
      <c r="AT599" s="1">
        <f t="shared" si="62"/>
        <v>37940224</v>
      </c>
    </row>
    <row r="600" spans="1:46">
      <c r="A600" s="1" t="str">
        <f>"00681"</f>
        <v>00681</v>
      </c>
      <c r="B600" s="1" t="str">
        <f>"علي"</f>
        <v>علي</v>
      </c>
      <c r="C600" s="1" t="str">
        <f>"اسمعيلي"</f>
        <v>اسمعيلي</v>
      </c>
      <c r="D600" s="1" t="str">
        <f>"قراردادي بهره بردار"</f>
        <v>قراردادي بهره بردار</v>
      </c>
      <c r="E600" s="1" t="str">
        <f>"پروژه بهره برداري نيروگاه بوشهر"</f>
        <v>پروژه بهره برداري نيروگاه بوشهر</v>
      </c>
      <c r="F600" s="1">
        <v>8047837</v>
      </c>
      <c r="G600" s="1">
        <v>0</v>
      </c>
      <c r="H600" s="1">
        <v>0</v>
      </c>
      <c r="I600" s="1">
        <v>3891349</v>
      </c>
      <c r="J600" s="1">
        <v>0</v>
      </c>
      <c r="K600" s="1">
        <v>4620000</v>
      </c>
      <c r="L600" s="1">
        <v>0</v>
      </c>
      <c r="M600" s="1">
        <v>400000</v>
      </c>
      <c r="N600" s="1">
        <v>1131164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1500949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807975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1131164</v>
      </c>
      <c r="AM600" s="1">
        <v>0</v>
      </c>
      <c r="AN600" s="1">
        <v>23741707</v>
      </c>
      <c r="AO600" s="1">
        <v>5378236</v>
      </c>
      <c r="AP600" s="1">
        <v>18363471</v>
      </c>
      <c r="AQ600" s="1">
        <v>4526088</v>
      </c>
      <c r="AR600" s="1">
        <v>678913</v>
      </c>
      <c r="AS600" s="1">
        <v>0</v>
      </c>
      <c r="AT600" s="1">
        <f t="shared" si="62"/>
        <v>28946708</v>
      </c>
    </row>
    <row r="601" spans="1:46">
      <c r="A601" s="1" t="str">
        <f>"00682"</f>
        <v>00682</v>
      </c>
      <c r="B601" s="1" t="str">
        <f>"محمد"</f>
        <v>محمد</v>
      </c>
      <c r="C601" s="1" t="str">
        <f>"افتخار"</f>
        <v>افتخار</v>
      </c>
      <c r="D601" s="1" t="str">
        <f t="shared" ref="D601:D614" si="65">"قراردادي کارگري"</f>
        <v>قراردادي کارگري</v>
      </c>
      <c r="E601" s="1" t="str">
        <f t="shared" ref="E601:E614" si="66">"پروژه تعميرات نيروگاه بوشهر"</f>
        <v>پروژه تعميرات نيروگاه بوشهر</v>
      </c>
      <c r="F601" s="1">
        <v>6487208</v>
      </c>
      <c r="G601" s="1">
        <v>10566613</v>
      </c>
      <c r="H601" s="1">
        <v>0</v>
      </c>
      <c r="I601" s="1">
        <v>4411301</v>
      </c>
      <c r="J601" s="1">
        <v>0</v>
      </c>
      <c r="K601" s="1">
        <v>0</v>
      </c>
      <c r="L601" s="1">
        <v>3620700</v>
      </c>
      <c r="M601" s="1">
        <v>400000</v>
      </c>
      <c r="N601" s="1">
        <v>3414320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6218729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36218871</v>
      </c>
      <c r="AO601" s="1">
        <v>9382816</v>
      </c>
      <c r="AP601" s="1">
        <v>26836055</v>
      </c>
      <c r="AQ601" s="1">
        <v>7243774</v>
      </c>
      <c r="AR601" s="1">
        <v>1086566</v>
      </c>
      <c r="AS601" s="1">
        <v>530000</v>
      </c>
      <c r="AT601" s="1">
        <f t="shared" si="62"/>
        <v>45079211</v>
      </c>
    </row>
    <row r="602" spans="1:46">
      <c r="A602" s="1" t="str">
        <f>"00684"</f>
        <v>00684</v>
      </c>
      <c r="B602" s="1" t="str">
        <f>"مسعود"</f>
        <v>مسعود</v>
      </c>
      <c r="C602" s="1" t="str">
        <f>"اميني"</f>
        <v>اميني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6993491</v>
      </c>
      <c r="G602" s="1">
        <v>2540419</v>
      </c>
      <c r="H602" s="1">
        <v>0</v>
      </c>
      <c r="I602" s="1">
        <v>5315053</v>
      </c>
      <c r="J602" s="1">
        <v>0</v>
      </c>
      <c r="K602" s="1">
        <v>0</v>
      </c>
      <c r="L602" s="1">
        <v>3620700</v>
      </c>
      <c r="M602" s="1">
        <v>400000</v>
      </c>
      <c r="N602" s="1">
        <v>3729862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2115910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25815435</v>
      </c>
      <c r="AO602" s="1">
        <v>3124463</v>
      </c>
      <c r="AP602" s="1">
        <v>22690972</v>
      </c>
      <c r="AQ602" s="1">
        <v>5163087</v>
      </c>
      <c r="AR602" s="1">
        <v>774463</v>
      </c>
      <c r="AS602" s="1">
        <v>390000</v>
      </c>
      <c r="AT602" s="1">
        <f t="shared" si="62"/>
        <v>32142985</v>
      </c>
    </row>
    <row r="603" spans="1:46">
      <c r="A603" s="1" t="str">
        <f>"00685"</f>
        <v>00685</v>
      </c>
      <c r="B603" s="1" t="str">
        <f>"مهران"</f>
        <v>مهران</v>
      </c>
      <c r="C603" s="1" t="str">
        <f>"اميني"</f>
        <v>اميني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8591017</v>
      </c>
      <c r="G603" s="1">
        <v>1421017</v>
      </c>
      <c r="H603" s="1">
        <v>0</v>
      </c>
      <c r="I603" s="1">
        <v>7130545</v>
      </c>
      <c r="J603" s="1">
        <v>0</v>
      </c>
      <c r="K603" s="1">
        <v>0</v>
      </c>
      <c r="L603" s="1">
        <v>3460800</v>
      </c>
      <c r="M603" s="1">
        <v>400000</v>
      </c>
      <c r="N603" s="1">
        <v>4581875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8716162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1111269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36512685</v>
      </c>
      <c r="AO603" s="1">
        <v>8186231</v>
      </c>
      <c r="AP603" s="1">
        <v>28326454</v>
      </c>
      <c r="AQ603" s="1">
        <v>7080283</v>
      </c>
      <c r="AR603" s="1">
        <v>1062042</v>
      </c>
      <c r="AS603" s="1">
        <v>795000</v>
      </c>
      <c r="AT603" s="1">
        <f t="shared" si="62"/>
        <v>45450010</v>
      </c>
    </row>
    <row r="604" spans="1:46">
      <c r="A604" s="1" t="str">
        <f>"00686"</f>
        <v>00686</v>
      </c>
      <c r="B604" s="1" t="str">
        <f>"مهدي"</f>
        <v>مهدي</v>
      </c>
      <c r="C604" s="1" t="str">
        <f>"باغباني"</f>
        <v>باغباني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7044648</v>
      </c>
      <c r="G604" s="1">
        <v>3086246</v>
      </c>
      <c r="H604" s="1">
        <v>0</v>
      </c>
      <c r="I604" s="1">
        <v>4860807</v>
      </c>
      <c r="J604" s="1">
        <v>0</v>
      </c>
      <c r="K604" s="1">
        <v>0</v>
      </c>
      <c r="L604" s="1">
        <v>3620700</v>
      </c>
      <c r="M604" s="1">
        <v>400000</v>
      </c>
      <c r="N604" s="1">
        <v>3757146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7170239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33262324</v>
      </c>
      <c r="AO604" s="1">
        <v>5208682</v>
      </c>
      <c r="AP604" s="1">
        <v>28053642</v>
      </c>
      <c r="AQ604" s="1">
        <v>6207957</v>
      </c>
      <c r="AR604" s="1">
        <v>931194</v>
      </c>
      <c r="AS604" s="1">
        <v>795000</v>
      </c>
      <c r="AT604" s="1">
        <f t="shared" si="62"/>
        <v>41196475</v>
      </c>
    </row>
    <row r="605" spans="1:46">
      <c r="A605" s="1" t="str">
        <f>"00687"</f>
        <v>00687</v>
      </c>
      <c r="B605" s="1" t="str">
        <f>"احسان"</f>
        <v>احسان</v>
      </c>
      <c r="C605" s="1" t="str">
        <f>"بختياري فرد"</f>
        <v>بختياري فرد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7265220</v>
      </c>
      <c r="G605" s="1">
        <v>1817709</v>
      </c>
      <c r="H605" s="1">
        <v>0</v>
      </c>
      <c r="I605" s="1">
        <v>5230958</v>
      </c>
      <c r="J605" s="1">
        <v>0</v>
      </c>
      <c r="K605" s="1">
        <v>0</v>
      </c>
      <c r="L605" s="1">
        <v>3641351</v>
      </c>
      <c r="M605" s="1">
        <v>400000</v>
      </c>
      <c r="N605" s="1">
        <v>3849123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4941930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2222538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30468829</v>
      </c>
      <c r="AO605" s="1">
        <v>7130243</v>
      </c>
      <c r="AP605" s="1">
        <v>23338586</v>
      </c>
      <c r="AQ605" s="1">
        <v>5649258</v>
      </c>
      <c r="AR605" s="1">
        <v>847389</v>
      </c>
      <c r="AS605" s="1">
        <v>1200000</v>
      </c>
      <c r="AT605" s="1">
        <f t="shared" si="62"/>
        <v>38165476</v>
      </c>
    </row>
    <row r="606" spans="1:46">
      <c r="A606" s="1" t="str">
        <f>"00688"</f>
        <v>00688</v>
      </c>
      <c r="B606" s="1" t="str">
        <f>"محمد"</f>
        <v>محمد</v>
      </c>
      <c r="C606" s="1" t="str">
        <f>"برگهي"</f>
        <v>برگهي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5258610</v>
      </c>
      <c r="G606" s="1">
        <v>3097910</v>
      </c>
      <c r="H606" s="1">
        <v>0</v>
      </c>
      <c r="I606" s="1">
        <v>3733613</v>
      </c>
      <c r="J606" s="1">
        <v>0</v>
      </c>
      <c r="K606" s="1">
        <v>0</v>
      </c>
      <c r="L606" s="1">
        <v>3649241</v>
      </c>
      <c r="M606" s="1">
        <v>400000</v>
      </c>
      <c r="N606" s="1">
        <v>2767690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5833658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2311373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2973994</v>
      </c>
      <c r="AK606" s="1">
        <v>0</v>
      </c>
      <c r="AL606" s="1">
        <v>0</v>
      </c>
      <c r="AM606" s="1">
        <v>0</v>
      </c>
      <c r="AN606" s="1">
        <v>33348627</v>
      </c>
      <c r="AO606" s="1">
        <v>6966770</v>
      </c>
      <c r="AP606" s="1">
        <v>26381857</v>
      </c>
      <c r="AQ606" s="1">
        <v>6225218</v>
      </c>
      <c r="AR606" s="1">
        <v>933783</v>
      </c>
      <c r="AS606" s="1">
        <v>2120000</v>
      </c>
      <c r="AT606" s="1">
        <f t="shared" si="62"/>
        <v>42627628</v>
      </c>
    </row>
    <row r="607" spans="1:46">
      <c r="A607" s="1" t="str">
        <f>"00689"</f>
        <v>00689</v>
      </c>
      <c r="B607" s="1" t="str">
        <f>"فرشيد"</f>
        <v>فرشيد</v>
      </c>
      <c r="C607" s="1" t="str">
        <f>"بوشهريان"</f>
        <v>بوشهريان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6203262</v>
      </c>
      <c r="G607" s="1">
        <v>4441284</v>
      </c>
      <c r="H607" s="1">
        <v>0</v>
      </c>
      <c r="I607" s="1">
        <v>3908055</v>
      </c>
      <c r="J607" s="1">
        <v>0</v>
      </c>
      <c r="K607" s="1">
        <v>0</v>
      </c>
      <c r="L607" s="1">
        <v>4880700</v>
      </c>
      <c r="M607" s="1">
        <v>400000</v>
      </c>
      <c r="N607" s="1">
        <v>3101631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6269967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3333807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33638706</v>
      </c>
      <c r="AO607" s="1">
        <v>7375278</v>
      </c>
      <c r="AP607" s="1">
        <v>26263428</v>
      </c>
      <c r="AQ607" s="1">
        <v>6060980</v>
      </c>
      <c r="AR607" s="1">
        <v>909147</v>
      </c>
      <c r="AS607" s="1">
        <v>530000</v>
      </c>
      <c r="AT607" s="1">
        <f t="shared" si="62"/>
        <v>41138833</v>
      </c>
    </row>
    <row r="608" spans="1:46">
      <c r="A608" s="1" t="str">
        <f>"00690"</f>
        <v>00690</v>
      </c>
      <c r="B608" s="1" t="str">
        <f>"بهروز"</f>
        <v>بهروز</v>
      </c>
      <c r="C608" s="1" t="str">
        <f>"پرويز"</f>
        <v>پرويز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5475733</v>
      </c>
      <c r="G608" s="1">
        <v>3071534</v>
      </c>
      <c r="H608" s="1">
        <v>0</v>
      </c>
      <c r="I608" s="1">
        <v>3613984</v>
      </c>
      <c r="J608" s="1">
        <v>0</v>
      </c>
      <c r="K608" s="1">
        <v>0</v>
      </c>
      <c r="L608" s="1">
        <v>3620700</v>
      </c>
      <c r="M608" s="1">
        <v>400000</v>
      </c>
      <c r="N608" s="1">
        <v>2881965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5469562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25633478</v>
      </c>
      <c r="AO608" s="1">
        <v>2934343</v>
      </c>
      <c r="AP608" s="1">
        <v>22699135</v>
      </c>
      <c r="AQ608" s="1">
        <v>5126696</v>
      </c>
      <c r="AR608" s="1">
        <v>769004</v>
      </c>
      <c r="AS608" s="1">
        <v>300000</v>
      </c>
      <c r="AT608" s="1">
        <f t="shared" si="62"/>
        <v>31829178</v>
      </c>
    </row>
    <row r="609" spans="1:46">
      <c r="A609" s="1" t="str">
        <f>"00691"</f>
        <v>00691</v>
      </c>
      <c r="B609" s="1" t="str">
        <f>"محمود"</f>
        <v>محمود</v>
      </c>
      <c r="C609" s="1" t="str">
        <f>"تمجيدي"</f>
        <v>تمجيدي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6762583</v>
      </c>
      <c r="G609" s="1">
        <v>2980393</v>
      </c>
      <c r="H609" s="1">
        <v>0</v>
      </c>
      <c r="I609" s="1">
        <v>4666183</v>
      </c>
      <c r="J609" s="1">
        <v>0</v>
      </c>
      <c r="K609" s="1">
        <v>0</v>
      </c>
      <c r="L609" s="1">
        <v>3620700</v>
      </c>
      <c r="M609" s="1">
        <v>400000</v>
      </c>
      <c r="N609" s="1">
        <v>3559254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6937508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2222538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32249159</v>
      </c>
      <c r="AO609" s="1">
        <v>5616391</v>
      </c>
      <c r="AP609" s="1">
        <v>26632768</v>
      </c>
      <c r="AQ609" s="1">
        <v>6005324</v>
      </c>
      <c r="AR609" s="1">
        <v>900799</v>
      </c>
      <c r="AS609" s="1">
        <v>585000</v>
      </c>
      <c r="AT609" s="1">
        <f t="shared" si="62"/>
        <v>39740282</v>
      </c>
    </row>
    <row r="610" spans="1:46">
      <c r="A610" s="1" t="str">
        <f>"00692"</f>
        <v>00692</v>
      </c>
      <c r="B610" s="1" t="str">
        <f>"محمد"</f>
        <v>محمد</v>
      </c>
      <c r="C610" s="1" t="str">
        <f>"تيموري"</f>
        <v>تيموري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7763521</v>
      </c>
      <c r="G610" s="1">
        <v>0</v>
      </c>
      <c r="H610" s="1">
        <v>0</v>
      </c>
      <c r="I610" s="1">
        <v>6288452</v>
      </c>
      <c r="J610" s="1">
        <v>0</v>
      </c>
      <c r="K610" s="1">
        <v>0</v>
      </c>
      <c r="L610" s="1">
        <v>3460800</v>
      </c>
      <c r="M610" s="1">
        <v>400000</v>
      </c>
      <c r="N610" s="1">
        <v>4140544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5209497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3247998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3760794</v>
      </c>
      <c r="AK610" s="1">
        <v>0</v>
      </c>
      <c r="AL610" s="1">
        <v>0</v>
      </c>
      <c r="AM610" s="1">
        <v>0</v>
      </c>
      <c r="AN610" s="1">
        <v>37594144</v>
      </c>
      <c r="AO610" s="1">
        <v>9320083</v>
      </c>
      <c r="AP610" s="1">
        <v>28274061</v>
      </c>
      <c r="AQ610" s="1">
        <v>7074321</v>
      </c>
      <c r="AR610" s="1">
        <v>1061148</v>
      </c>
      <c r="AS610" s="1">
        <v>1060000</v>
      </c>
      <c r="AT610" s="1">
        <f t="shared" si="62"/>
        <v>46789613</v>
      </c>
    </row>
    <row r="611" spans="1:46">
      <c r="A611" s="1" t="str">
        <f>"00693"</f>
        <v>00693</v>
      </c>
      <c r="B611" s="1" t="str">
        <f>"قاسم"</f>
        <v>قاسم</v>
      </c>
      <c r="C611" s="1" t="str">
        <f>"جالبوتي"</f>
        <v>جالبوتي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5994710</v>
      </c>
      <c r="G611" s="1">
        <v>5311782</v>
      </c>
      <c r="H611" s="1">
        <v>0</v>
      </c>
      <c r="I611" s="1">
        <v>4316191</v>
      </c>
      <c r="J611" s="1">
        <v>0</v>
      </c>
      <c r="K611" s="1">
        <v>0</v>
      </c>
      <c r="L611" s="1">
        <v>3620700</v>
      </c>
      <c r="M611" s="1">
        <v>400000</v>
      </c>
      <c r="N611" s="1">
        <v>3155110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6412415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32533446</v>
      </c>
      <c r="AO611" s="1">
        <v>6662153</v>
      </c>
      <c r="AP611" s="1">
        <v>25871293</v>
      </c>
      <c r="AQ611" s="1">
        <v>6062182</v>
      </c>
      <c r="AR611" s="1">
        <v>909327</v>
      </c>
      <c r="AS611" s="1">
        <v>795000</v>
      </c>
      <c r="AT611" s="1">
        <f t="shared" si="62"/>
        <v>40299955</v>
      </c>
    </row>
    <row r="612" spans="1:46">
      <c r="A612" s="1" t="str">
        <f>"00695"</f>
        <v>00695</v>
      </c>
      <c r="B612" s="1" t="str">
        <f>"جليل"</f>
        <v>جليل</v>
      </c>
      <c r="C612" s="1" t="str">
        <f>"جمالي"</f>
        <v>جمالي</v>
      </c>
      <c r="D612" s="1" t="str">
        <f t="shared" si="65"/>
        <v>قراردادي کارگري</v>
      </c>
      <c r="E612" s="1" t="str">
        <f t="shared" si="66"/>
        <v>پروژه تعميرات نيروگاه بوشهر</v>
      </c>
      <c r="F612" s="1">
        <v>7367013</v>
      </c>
      <c r="G612" s="1">
        <v>7735111</v>
      </c>
      <c r="H612" s="1">
        <v>0</v>
      </c>
      <c r="I612" s="1">
        <v>5893610</v>
      </c>
      <c r="J612" s="1">
        <v>0</v>
      </c>
      <c r="K612" s="1">
        <v>0</v>
      </c>
      <c r="L612" s="1">
        <v>3460800</v>
      </c>
      <c r="M612" s="1">
        <v>400000</v>
      </c>
      <c r="N612" s="1">
        <v>3929074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5869882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1111269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36866759</v>
      </c>
      <c r="AO612" s="1">
        <v>5728049</v>
      </c>
      <c r="AP612" s="1">
        <v>31138710</v>
      </c>
      <c r="AQ612" s="1">
        <v>7151098</v>
      </c>
      <c r="AR612" s="1">
        <v>1072665</v>
      </c>
      <c r="AS612" s="1">
        <v>600000</v>
      </c>
      <c r="AT612" s="1">
        <f t="shared" si="62"/>
        <v>45690522</v>
      </c>
    </row>
    <row r="613" spans="1:46">
      <c r="A613" s="1" t="str">
        <f>"00697"</f>
        <v>00697</v>
      </c>
      <c r="B613" s="1" t="str">
        <f>"افضل"</f>
        <v>افضل</v>
      </c>
      <c r="C613" s="1" t="str">
        <f>"حسن پور"</f>
        <v>حسن پور</v>
      </c>
      <c r="D613" s="1" t="str">
        <f t="shared" si="65"/>
        <v>قراردادي کارگري</v>
      </c>
      <c r="E613" s="1" t="str">
        <f t="shared" si="66"/>
        <v>پروژه تعميرات نيروگاه بوشهر</v>
      </c>
      <c r="F613" s="1">
        <v>7430225</v>
      </c>
      <c r="G613" s="1">
        <v>0</v>
      </c>
      <c r="H613" s="1">
        <v>0</v>
      </c>
      <c r="I613" s="1">
        <v>6018482</v>
      </c>
      <c r="J613" s="1">
        <v>0</v>
      </c>
      <c r="K613" s="1">
        <v>0</v>
      </c>
      <c r="L613" s="1">
        <v>3460800</v>
      </c>
      <c r="M613" s="1">
        <v>400000</v>
      </c>
      <c r="N613" s="1">
        <v>3962786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9843809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3130844</v>
      </c>
      <c r="AE613" s="1">
        <v>0</v>
      </c>
      <c r="AF613" s="1">
        <v>2222538</v>
      </c>
      <c r="AG613" s="1">
        <v>0</v>
      </c>
      <c r="AH613" s="1">
        <v>0</v>
      </c>
      <c r="AI613" s="1">
        <v>0</v>
      </c>
      <c r="AJ613" s="1">
        <v>4300254</v>
      </c>
      <c r="AK613" s="1">
        <v>0</v>
      </c>
      <c r="AL613" s="1">
        <v>0</v>
      </c>
      <c r="AM613" s="1">
        <v>0</v>
      </c>
      <c r="AN613" s="1">
        <v>41869738</v>
      </c>
      <c r="AO613" s="1">
        <v>5766984</v>
      </c>
      <c r="AP613" s="1">
        <v>36102754</v>
      </c>
      <c r="AQ613" s="1">
        <v>7929440</v>
      </c>
      <c r="AR613" s="1">
        <v>1189416</v>
      </c>
      <c r="AS613" s="1">
        <v>530000</v>
      </c>
      <c r="AT613" s="1">
        <f t="shared" si="62"/>
        <v>51518594</v>
      </c>
    </row>
    <row r="614" spans="1:46">
      <c r="A614" s="1" t="str">
        <f>"00698"</f>
        <v>00698</v>
      </c>
      <c r="B614" s="1" t="str">
        <f>"سيدعلي"</f>
        <v>سيدعلي</v>
      </c>
      <c r="C614" s="1" t="str">
        <f>"حسيني ملائي"</f>
        <v>حسيني ملائي</v>
      </c>
      <c r="D614" s="1" t="str">
        <f t="shared" si="65"/>
        <v>قراردادي کارگري</v>
      </c>
      <c r="E614" s="1" t="str">
        <f t="shared" si="66"/>
        <v>پروژه تعميرات نيروگاه بوشهر</v>
      </c>
      <c r="F614" s="1">
        <v>8244956</v>
      </c>
      <c r="G614" s="1">
        <v>10302936</v>
      </c>
      <c r="H614" s="1">
        <v>0</v>
      </c>
      <c r="I614" s="1">
        <v>5936368</v>
      </c>
      <c r="J614" s="1">
        <v>0</v>
      </c>
      <c r="K614" s="1">
        <v>0</v>
      </c>
      <c r="L614" s="1">
        <v>3620700</v>
      </c>
      <c r="M614" s="1">
        <v>400000</v>
      </c>
      <c r="N614" s="1">
        <v>4228182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7975618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1393600</v>
      </c>
      <c r="AD614" s="1">
        <v>0</v>
      </c>
      <c r="AE614" s="1">
        <v>0</v>
      </c>
      <c r="AF614" s="1">
        <v>2222538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45424898</v>
      </c>
      <c r="AO614" s="1">
        <v>9565626</v>
      </c>
      <c r="AP614" s="1">
        <v>35859272</v>
      </c>
      <c r="AQ614" s="1">
        <v>8640472</v>
      </c>
      <c r="AR614" s="1">
        <v>1296071</v>
      </c>
      <c r="AS614" s="1">
        <v>1060000</v>
      </c>
      <c r="AT614" s="1">
        <f t="shared" si="62"/>
        <v>56421441</v>
      </c>
    </row>
    <row r="615" spans="1:46">
      <c r="A615" s="1" t="str">
        <f>"00699"</f>
        <v>00699</v>
      </c>
      <c r="B615" s="1" t="str">
        <f>"حسن"</f>
        <v>حسن</v>
      </c>
      <c r="C615" s="1" t="str">
        <f>"حيدريان"</f>
        <v>حيدريان</v>
      </c>
      <c r="D615" s="1" t="str">
        <f>"قراردادي بهره بردار"</f>
        <v>قراردادي بهره بردار</v>
      </c>
      <c r="E615" s="1" t="str">
        <f>"پروژه بهره برداري نيروگاه بوشهر"</f>
        <v>پروژه بهره برداري نيروگاه بوشهر</v>
      </c>
      <c r="F615" s="1">
        <v>7638434</v>
      </c>
      <c r="G615" s="1">
        <v>1700585</v>
      </c>
      <c r="H615" s="1">
        <v>0</v>
      </c>
      <c r="I615" s="1">
        <v>3823431</v>
      </c>
      <c r="J615" s="1">
        <v>0</v>
      </c>
      <c r="K615" s="1">
        <v>3465000</v>
      </c>
      <c r="L615" s="1">
        <v>0</v>
      </c>
      <c r="M615" s="1">
        <v>400000</v>
      </c>
      <c r="N615" s="1">
        <v>984741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1413473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703387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984741</v>
      </c>
      <c r="AM615" s="1">
        <v>0</v>
      </c>
      <c r="AN615" s="1">
        <v>22213792</v>
      </c>
      <c r="AO615" s="1">
        <v>5796309</v>
      </c>
      <c r="AP615" s="1">
        <v>16417483</v>
      </c>
      <c r="AQ615" s="1">
        <v>4442758</v>
      </c>
      <c r="AR615" s="1">
        <v>666414</v>
      </c>
      <c r="AS615" s="1">
        <v>0</v>
      </c>
      <c r="AT615" s="1">
        <f t="shared" si="62"/>
        <v>27322964</v>
      </c>
    </row>
    <row r="616" spans="1:46">
      <c r="A616" s="1" t="str">
        <f>"00700"</f>
        <v>00700</v>
      </c>
      <c r="B616" s="1" t="str">
        <f>"مصطفي"</f>
        <v>مصطفي</v>
      </c>
      <c r="C616" s="1" t="str">
        <f>"خاتومه"</f>
        <v>خاتومه</v>
      </c>
      <c r="D616" s="1" t="str">
        <f>"قراردادي کارگري"</f>
        <v>قراردادي کارگري</v>
      </c>
      <c r="E616" s="1" t="str">
        <f t="shared" ref="E616:E625" si="67">"پروژه تعميرات نيروگاه بوشهر"</f>
        <v>پروژه تعميرات نيروگاه بوشهر</v>
      </c>
      <c r="F616" s="1">
        <v>5364524</v>
      </c>
      <c r="G616" s="1">
        <v>1189412</v>
      </c>
      <c r="H616" s="1">
        <v>0</v>
      </c>
      <c r="I616" s="1">
        <v>3272360</v>
      </c>
      <c r="J616" s="1">
        <v>0</v>
      </c>
      <c r="K616" s="1">
        <v>0</v>
      </c>
      <c r="L616" s="1">
        <v>3622960</v>
      </c>
      <c r="M616" s="1">
        <v>400000</v>
      </c>
      <c r="N616" s="1">
        <v>2823434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5306649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2262492</v>
      </c>
      <c r="AE616" s="1">
        <v>0</v>
      </c>
      <c r="AF616" s="1">
        <v>1111269</v>
      </c>
      <c r="AG616" s="1">
        <v>0</v>
      </c>
      <c r="AH616" s="1">
        <v>0</v>
      </c>
      <c r="AI616" s="1">
        <v>0</v>
      </c>
      <c r="AJ616" s="1">
        <v>2854590</v>
      </c>
      <c r="AK616" s="1">
        <v>0</v>
      </c>
      <c r="AL616" s="1">
        <v>0</v>
      </c>
      <c r="AM616" s="1">
        <v>0</v>
      </c>
      <c r="AN616" s="1">
        <v>29307690</v>
      </c>
      <c r="AO616" s="1">
        <v>6109351</v>
      </c>
      <c r="AP616" s="1">
        <v>23198339</v>
      </c>
      <c r="AQ616" s="1">
        <v>5639284</v>
      </c>
      <c r="AR616" s="1">
        <v>845893</v>
      </c>
      <c r="AS616" s="1">
        <v>795000</v>
      </c>
      <c r="AT616" s="1">
        <f t="shared" si="62"/>
        <v>36587867</v>
      </c>
    </row>
    <row r="617" spans="1:46">
      <c r="A617" s="1" t="str">
        <f>"00701"</f>
        <v>00701</v>
      </c>
      <c r="B617" s="1" t="str">
        <f>"رضا"</f>
        <v>رضا</v>
      </c>
      <c r="C617" s="1" t="str">
        <f>"خدري"</f>
        <v>خدري</v>
      </c>
      <c r="D617" s="1" t="str">
        <f>"قراردادي کارگري"</f>
        <v>قراردادي کارگري</v>
      </c>
      <c r="E617" s="1" t="str">
        <f t="shared" si="67"/>
        <v>پروژه تعميرات نيروگاه بوشهر</v>
      </c>
      <c r="F617" s="1">
        <v>7683071</v>
      </c>
      <c r="G617" s="1">
        <v>9633501</v>
      </c>
      <c r="H617" s="1">
        <v>0</v>
      </c>
      <c r="I617" s="1">
        <v>6146456</v>
      </c>
      <c r="J617" s="1">
        <v>0</v>
      </c>
      <c r="K617" s="1">
        <v>0</v>
      </c>
      <c r="L617" s="1">
        <v>3460800</v>
      </c>
      <c r="M617" s="1">
        <v>400000</v>
      </c>
      <c r="N617" s="1">
        <v>4097638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5035352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37556818</v>
      </c>
      <c r="AO617" s="1">
        <v>4926466</v>
      </c>
      <c r="AP617" s="1">
        <v>32630352</v>
      </c>
      <c r="AQ617" s="1">
        <v>7511364</v>
      </c>
      <c r="AR617" s="1">
        <v>1126705</v>
      </c>
      <c r="AS617" s="1">
        <v>195000</v>
      </c>
      <c r="AT617" s="1">
        <f t="shared" si="62"/>
        <v>46389887</v>
      </c>
    </row>
    <row r="618" spans="1:46">
      <c r="A618" s="1" t="str">
        <f>"00702"</f>
        <v>00702</v>
      </c>
      <c r="B618" s="1" t="str">
        <f>"عبدالرسول"</f>
        <v>عبدالرسول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7"/>
        <v>پروژه تعميرات نيروگاه بوشهر</v>
      </c>
      <c r="F618" s="1">
        <v>4682496</v>
      </c>
      <c r="G618" s="1">
        <v>18009627</v>
      </c>
      <c r="H618" s="1">
        <v>0</v>
      </c>
      <c r="I618" s="1">
        <v>2996797</v>
      </c>
      <c r="J618" s="1">
        <v>0</v>
      </c>
      <c r="K618" s="1">
        <v>0</v>
      </c>
      <c r="L618" s="1">
        <v>5368508</v>
      </c>
      <c r="M618" s="1">
        <v>400000</v>
      </c>
      <c r="N618" s="1">
        <v>2341247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5193383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3333807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43425865</v>
      </c>
      <c r="AO618" s="1">
        <v>7025640</v>
      </c>
      <c r="AP618" s="1">
        <v>36400225</v>
      </c>
      <c r="AQ618" s="1">
        <v>8018412</v>
      </c>
      <c r="AR618" s="1">
        <v>1202762</v>
      </c>
      <c r="AS618" s="1">
        <v>585000</v>
      </c>
      <c r="AT618" s="1">
        <f t="shared" si="62"/>
        <v>53232039</v>
      </c>
    </row>
    <row r="619" spans="1:46">
      <c r="A619" s="1" t="str">
        <f>"00703"</f>
        <v>00703</v>
      </c>
      <c r="B619" s="1" t="str">
        <f>"محمدحسين"</f>
        <v>محمدحسين</v>
      </c>
      <c r="C619" s="1" t="str">
        <f>"دريابگرد"</f>
        <v>دريابگرد</v>
      </c>
      <c r="D619" s="1" t="str">
        <f>"قراردادي بهره بردار"</f>
        <v>قراردادي بهره بردار</v>
      </c>
      <c r="E619" s="1" t="str">
        <f t="shared" si="67"/>
        <v>پروژه تعميرات نيروگاه بوشهر</v>
      </c>
      <c r="F619" s="1">
        <v>9946260</v>
      </c>
      <c r="G619" s="1">
        <v>1124538</v>
      </c>
      <c r="H619" s="1">
        <v>0</v>
      </c>
      <c r="I619" s="1">
        <v>7541598</v>
      </c>
      <c r="J619" s="1">
        <v>0</v>
      </c>
      <c r="K619" s="1">
        <v>3465000</v>
      </c>
      <c r="L619" s="1">
        <v>0</v>
      </c>
      <c r="M619" s="1">
        <v>400000</v>
      </c>
      <c r="N619" s="1">
        <v>2032729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5562119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1348500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4413272</v>
      </c>
      <c r="AM619" s="1">
        <v>0</v>
      </c>
      <c r="AN619" s="1">
        <v>36934016</v>
      </c>
      <c r="AO619" s="1">
        <v>8344333</v>
      </c>
      <c r="AP619" s="1">
        <v>28589683</v>
      </c>
      <c r="AQ619" s="1">
        <v>7386803</v>
      </c>
      <c r="AR619" s="1">
        <v>1108020</v>
      </c>
      <c r="AS619" s="1">
        <v>0</v>
      </c>
      <c r="AT619" s="1">
        <f t="shared" si="62"/>
        <v>45428839</v>
      </c>
    </row>
    <row r="620" spans="1:46">
      <c r="A620" s="1" t="str">
        <f>"00704"</f>
        <v>00704</v>
      </c>
      <c r="B620" s="1" t="str">
        <f>"وحيد"</f>
        <v>وحيد</v>
      </c>
      <c r="C620" s="1" t="str">
        <f>"زنده بودي"</f>
        <v>زنده بودي</v>
      </c>
      <c r="D620" s="1" t="str">
        <f t="shared" ref="D620:D625" si="68">"قراردادي کارگري"</f>
        <v>قراردادي کارگري</v>
      </c>
      <c r="E620" s="1" t="str">
        <f t="shared" si="67"/>
        <v>پروژه تعميرات نيروگاه بوشهر</v>
      </c>
      <c r="F620" s="1">
        <v>5915275</v>
      </c>
      <c r="G620" s="1">
        <v>1529622</v>
      </c>
      <c r="H620" s="1">
        <v>0</v>
      </c>
      <c r="I620" s="1">
        <v>4199845</v>
      </c>
      <c r="J620" s="1">
        <v>0</v>
      </c>
      <c r="K620" s="1">
        <v>0</v>
      </c>
      <c r="L620" s="1">
        <v>3620700</v>
      </c>
      <c r="M620" s="1">
        <v>400000</v>
      </c>
      <c r="N620" s="1">
        <v>3113302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4128552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25118565</v>
      </c>
      <c r="AO620" s="1">
        <v>2780511</v>
      </c>
      <c r="AP620" s="1">
        <v>22338054</v>
      </c>
      <c r="AQ620" s="1">
        <v>4801459</v>
      </c>
      <c r="AR620" s="1">
        <v>720219</v>
      </c>
      <c r="AS620" s="1">
        <v>530000</v>
      </c>
      <c r="AT620" s="1">
        <f t="shared" si="62"/>
        <v>31170243</v>
      </c>
    </row>
    <row r="621" spans="1:46">
      <c r="A621" s="1" t="str">
        <f>"00705"</f>
        <v>00705</v>
      </c>
      <c r="B621" s="1" t="str">
        <f>"امين"</f>
        <v>امين</v>
      </c>
      <c r="C621" s="1" t="str">
        <f>"زيارتي"</f>
        <v>زيارتي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5984118</v>
      </c>
      <c r="G621" s="1">
        <v>3363601</v>
      </c>
      <c r="H621" s="1">
        <v>0</v>
      </c>
      <c r="I621" s="1">
        <v>4009359</v>
      </c>
      <c r="J621" s="1">
        <v>0</v>
      </c>
      <c r="K621" s="1">
        <v>0</v>
      </c>
      <c r="L621" s="1">
        <v>3620700</v>
      </c>
      <c r="M621" s="1">
        <v>400000</v>
      </c>
      <c r="N621" s="1">
        <v>3149536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6300981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27928295</v>
      </c>
      <c r="AO621" s="1">
        <v>3275953</v>
      </c>
      <c r="AP621" s="1">
        <v>24652342</v>
      </c>
      <c r="AQ621" s="1">
        <v>5585659</v>
      </c>
      <c r="AR621" s="1">
        <v>837849</v>
      </c>
      <c r="AS621" s="1">
        <v>530000</v>
      </c>
      <c r="AT621" s="1">
        <f t="shared" si="62"/>
        <v>34881803</v>
      </c>
    </row>
    <row r="622" spans="1:46">
      <c r="A622" s="1" t="str">
        <f>"00706"</f>
        <v>00706</v>
      </c>
      <c r="B622" s="1" t="str">
        <f>"اميد"</f>
        <v>اميد</v>
      </c>
      <c r="C622" s="1" t="str">
        <f>"شکيبايي"</f>
        <v>شکيبايي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5851726</v>
      </c>
      <c r="G622" s="1">
        <v>7080133</v>
      </c>
      <c r="H622" s="1">
        <v>0</v>
      </c>
      <c r="I622" s="1">
        <v>4330278</v>
      </c>
      <c r="J622" s="1">
        <v>0</v>
      </c>
      <c r="K622" s="1">
        <v>0</v>
      </c>
      <c r="L622" s="1">
        <v>3620700</v>
      </c>
      <c r="M622" s="1">
        <v>400000</v>
      </c>
      <c r="N622" s="1">
        <v>3079856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5698594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1111269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32272556</v>
      </c>
      <c r="AO622" s="1">
        <v>5717223</v>
      </c>
      <c r="AP622" s="1">
        <v>26555333</v>
      </c>
      <c r="AQ622" s="1">
        <v>6232257</v>
      </c>
      <c r="AR622" s="1">
        <v>934839</v>
      </c>
      <c r="AS622" s="1">
        <v>795000</v>
      </c>
      <c r="AT622" s="1">
        <f t="shared" si="62"/>
        <v>40234652</v>
      </c>
    </row>
    <row r="623" spans="1:46">
      <c r="A623" s="1" t="str">
        <f>"00707"</f>
        <v>00707</v>
      </c>
      <c r="B623" s="1" t="str">
        <f>"حسين"</f>
        <v>حسين</v>
      </c>
      <c r="C623" s="1" t="str">
        <f>"غلام پور"</f>
        <v>غلام پور</v>
      </c>
      <c r="D623" s="1" t="str">
        <f t="shared" si="68"/>
        <v>قراردادي کارگري</v>
      </c>
      <c r="E623" s="1" t="str">
        <f t="shared" si="67"/>
        <v>پروژه تعميرات نيروگاه بوشهر</v>
      </c>
      <c r="F623" s="1">
        <v>7249784</v>
      </c>
      <c r="G623" s="1">
        <v>3456531</v>
      </c>
      <c r="H623" s="1">
        <v>0</v>
      </c>
      <c r="I623" s="1">
        <v>6234815</v>
      </c>
      <c r="J623" s="1">
        <v>0</v>
      </c>
      <c r="K623" s="1">
        <v>0</v>
      </c>
      <c r="L623" s="1">
        <v>3460800</v>
      </c>
      <c r="M623" s="1">
        <v>400000</v>
      </c>
      <c r="N623" s="1">
        <v>3815677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7123544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1111269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33952420</v>
      </c>
      <c r="AO623" s="1">
        <v>5978108</v>
      </c>
      <c r="AP623" s="1">
        <v>27974312</v>
      </c>
      <c r="AQ623" s="1">
        <v>6568230</v>
      </c>
      <c r="AR623" s="1">
        <v>985235</v>
      </c>
      <c r="AS623" s="1">
        <v>585000</v>
      </c>
      <c r="AT623" s="1">
        <f t="shared" si="62"/>
        <v>42090885</v>
      </c>
    </row>
    <row r="624" spans="1:46">
      <c r="A624" s="1" t="str">
        <f>"00708"</f>
        <v>00708</v>
      </c>
      <c r="B624" s="1" t="str">
        <f>"محمود"</f>
        <v>محمود</v>
      </c>
      <c r="C624" s="1" t="str">
        <f>"محمدي"</f>
        <v>محمدي</v>
      </c>
      <c r="D624" s="1" t="str">
        <f t="shared" si="68"/>
        <v>قراردادي کارگري</v>
      </c>
      <c r="E624" s="1" t="str">
        <f t="shared" si="67"/>
        <v>پروژه تعميرات نيروگاه بوشهر</v>
      </c>
      <c r="F624" s="1">
        <v>7207351</v>
      </c>
      <c r="G624" s="1">
        <v>3150325</v>
      </c>
      <c r="H624" s="1">
        <v>0</v>
      </c>
      <c r="I624" s="1">
        <v>5045146</v>
      </c>
      <c r="J624" s="1">
        <v>0</v>
      </c>
      <c r="K624" s="1">
        <v>0</v>
      </c>
      <c r="L624" s="1">
        <v>3620700</v>
      </c>
      <c r="M624" s="1">
        <v>400000</v>
      </c>
      <c r="N624" s="1">
        <v>3818464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7311123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2222538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33875647</v>
      </c>
      <c r="AO624" s="1">
        <v>5077977</v>
      </c>
      <c r="AP624" s="1">
        <v>28797670</v>
      </c>
      <c r="AQ624" s="1">
        <v>6330622</v>
      </c>
      <c r="AR624" s="1">
        <v>949593</v>
      </c>
      <c r="AS624" s="1">
        <v>1060000</v>
      </c>
      <c r="AT624" s="1">
        <f t="shared" si="62"/>
        <v>42215862</v>
      </c>
    </row>
    <row r="625" spans="1:46">
      <c r="A625" s="1" t="str">
        <f>"00709"</f>
        <v>00709</v>
      </c>
      <c r="B625" s="1" t="str">
        <f>"سالار"</f>
        <v>سالار</v>
      </c>
      <c r="C625" s="1" t="str">
        <f>"نيکنام"</f>
        <v>نيکنام</v>
      </c>
      <c r="D625" s="1" t="str">
        <f t="shared" si="68"/>
        <v>قراردادي کارگري</v>
      </c>
      <c r="E625" s="1" t="str">
        <f t="shared" si="67"/>
        <v>پروژه تعميرات نيروگاه بوشهر</v>
      </c>
      <c r="F625" s="1">
        <v>5443959</v>
      </c>
      <c r="G625" s="1">
        <v>2362773</v>
      </c>
      <c r="H625" s="1">
        <v>0</v>
      </c>
      <c r="I625" s="1">
        <v>3810771</v>
      </c>
      <c r="J625" s="1">
        <v>0</v>
      </c>
      <c r="K625" s="1">
        <v>0</v>
      </c>
      <c r="L625" s="1">
        <v>3620700</v>
      </c>
      <c r="M625" s="1">
        <v>400000</v>
      </c>
      <c r="N625" s="1">
        <v>2865242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5861828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25465273</v>
      </c>
      <c r="AO625" s="1">
        <v>4022569</v>
      </c>
      <c r="AP625" s="1">
        <v>21442704</v>
      </c>
      <c r="AQ625" s="1">
        <v>5093055</v>
      </c>
      <c r="AR625" s="1">
        <v>763958</v>
      </c>
      <c r="AS625" s="1">
        <v>600000</v>
      </c>
      <c r="AT625" s="1">
        <f t="shared" si="62"/>
        <v>31922286</v>
      </c>
    </row>
    <row r="626" spans="1:46">
      <c r="A626" s="1" t="str">
        <f>"00712"</f>
        <v>00712</v>
      </c>
      <c r="B626" s="1" t="str">
        <f>"محسن"</f>
        <v>محسن</v>
      </c>
      <c r="C626" s="1" t="str">
        <f>"خورشيدي"</f>
        <v>خورشيدي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14423952</v>
      </c>
      <c r="G626" s="1">
        <v>3864703</v>
      </c>
      <c r="H626" s="1">
        <v>0</v>
      </c>
      <c r="I626" s="1">
        <v>9429649</v>
      </c>
      <c r="J626" s="1">
        <v>0</v>
      </c>
      <c r="K626" s="1">
        <v>5500000</v>
      </c>
      <c r="L626" s="1">
        <v>0</v>
      </c>
      <c r="M626" s="1">
        <v>400000</v>
      </c>
      <c r="N626" s="1">
        <v>2197439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1270000</v>
      </c>
      <c r="U626" s="1">
        <v>0</v>
      </c>
      <c r="V626" s="1">
        <v>5516345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1569600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2197439</v>
      </c>
      <c r="AM626" s="1">
        <v>0</v>
      </c>
      <c r="AN626" s="1">
        <v>47469127</v>
      </c>
      <c r="AO626" s="1">
        <v>12427217</v>
      </c>
      <c r="AP626" s="1">
        <v>35041910</v>
      </c>
      <c r="AQ626" s="1">
        <v>9239825</v>
      </c>
      <c r="AR626" s="1">
        <v>1385974</v>
      </c>
      <c r="AS626" s="1">
        <v>0</v>
      </c>
      <c r="AT626" s="1">
        <f t="shared" si="62"/>
        <v>58094926</v>
      </c>
    </row>
    <row r="627" spans="1:46">
      <c r="A627" s="1" t="str">
        <f>"00713"</f>
        <v>00713</v>
      </c>
      <c r="B627" s="1" t="str">
        <f>"جعفر"</f>
        <v>جعفر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6116510</v>
      </c>
      <c r="G627" s="1">
        <v>7158450</v>
      </c>
      <c r="H627" s="1">
        <v>0</v>
      </c>
      <c r="I627" s="1">
        <v>4526218</v>
      </c>
      <c r="J627" s="1">
        <v>0</v>
      </c>
      <c r="K627" s="1">
        <v>0</v>
      </c>
      <c r="L627" s="1">
        <v>3620700</v>
      </c>
      <c r="M627" s="1">
        <v>400000</v>
      </c>
      <c r="N627" s="1">
        <v>3219216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8352363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3333807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37827264</v>
      </c>
      <c r="AO627" s="1">
        <v>6143282</v>
      </c>
      <c r="AP627" s="1">
        <v>31683982</v>
      </c>
      <c r="AQ627" s="1">
        <v>6898691</v>
      </c>
      <c r="AR627" s="1">
        <v>1034804</v>
      </c>
      <c r="AS627" s="1">
        <v>1325000</v>
      </c>
      <c r="AT627" s="1">
        <f t="shared" si="62"/>
        <v>47085759</v>
      </c>
    </row>
    <row r="628" spans="1:46">
      <c r="A628" s="1" t="str">
        <f>"00714"</f>
        <v>00714</v>
      </c>
      <c r="B628" s="1" t="str">
        <f>"محمد"</f>
        <v>محمد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6339312</v>
      </c>
      <c r="G628" s="1">
        <v>7675048</v>
      </c>
      <c r="H628" s="1">
        <v>0</v>
      </c>
      <c r="I628" s="1">
        <v>4564305</v>
      </c>
      <c r="J628" s="1">
        <v>0</v>
      </c>
      <c r="K628" s="1">
        <v>0</v>
      </c>
      <c r="L628" s="1">
        <v>3620700</v>
      </c>
      <c r="M628" s="1">
        <v>400000</v>
      </c>
      <c r="N628" s="1">
        <v>3358576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8431558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37712037</v>
      </c>
      <c r="AO628" s="1">
        <v>6912156</v>
      </c>
      <c r="AP628" s="1">
        <v>30799881</v>
      </c>
      <c r="AQ628" s="1">
        <v>7097900</v>
      </c>
      <c r="AR628" s="1">
        <v>1064685</v>
      </c>
      <c r="AS628" s="1">
        <v>795000</v>
      </c>
      <c r="AT628" s="1">
        <f t="shared" si="62"/>
        <v>46669622</v>
      </c>
    </row>
    <row r="629" spans="1:46">
      <c r="A629" s="1" t="str">
        <f>"00715"</f>
        <v>00715</v>
      </c>
      <c r="B629" s="1" t="str">
        <f>"احمد"</f>
        <v>احمد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7791304</v>
      </c>
      <c r="G629" s="1">
        <v>14853756</v>
      </c>
      <c r="H629" s="1">
        <v>0</v>
      </c>
      <c r="I629" s="1">
        <v>5765565</v>
      </c>
      <c r="J629" s="1">
        <v>0</v>
      </c>
      <c r="K629" s="1">
        <v>0</v>
      </c>
      <c r="L629" s="1">
        <v>3620700</v>
      </c>
      <c r="M629" s="1">
        <v>400000</v>
      </c>
      <c r="N629" s="1">
        <v>4127843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10034381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47693549</v>
      </c>
      <c r="AO629" s="1">
        <v>10277182</v>
      </c>
      <c r="AP629" s="1">
        <v>37416367</v>
      </c>
      <c r="AQ629" s="1">
        <v>9538710</v>
      </c>
      <c r="AR629" s="1">
        <v>1430806</v>
      </c>
      <c r="AS629" s="1">
        <v>1590000</v>
      </c>
      <c r="AT629" s="1">
        <f t="shared" si="62"/>
        <v>60253065</v>
      </c>
    </row>
    <row r="630" spans="1:46">
      <c r="A630" s="1" t="str">
        <f>"00716"</f>
        <v>00716</v>
      </c>
      <c r="B630" s="1" t="str">
        <f>"شهربانو"</f>
        <v>شهربانو</v>
      </c>
      <c r="C630" s="1" t="str">
        <f>"قايدزاده مخبلندي"</f>
        <v>قايدزاده مخبلندي</v>
      </c>
      <c r="D630" s="1" t="str">
        <f>"قراردادي بهره بردار"</f>
        <v>قراردادي بهره بردار</v>
      </c>
      <c r="E630" s="1" t="str">
        <f>"پروژه بهره برداري نيروگاه بوشهر"</f>
        <v>پروژه بهره برداري نيروگاه بوشهر</v>
      </c>
      <c r="F630" s="1">
        <v>9898263</v>
      </c>
      <c r="G630" s="1">
        <v>173490</v>
      </c>
      <c r="H630" s="1">
        <v>0</v>
      </c>
      <c r="I630" s="1">
        <v>6865483</v>
      </c>
      <c r="J630" s="1">
        <v>0</v>
      </c>
      <c r="K630" s="1">
        <v>3465000</v>
      </c>
      <c r="L630" s="1">
        <v>0</v>
      </c>
      <c r="M630" s="1">
        <v>400000</v>
      </c>
      <c r="N630" s="1">
        <v>1703176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2162996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1216554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1946486</v>
      </c>
      <c r="AM630" s="1">
        <v>0</v>
      </c>
      <c r="AN630" s="1">
        <v>28931448</v>
      </c>
      <c r="AO630" s="1">
        <v>5491602</v>
      </c>
      <c r="AP630" s="1">
        <v>23439846</v>
      </c>
      <c r="AQ630" s="1">
        <v>5786290</v>
      </c>
      <c r="AR630" s="1">
        <v>867943</v>
      </c>
      <c r="AS630" s="1">
        <v>0</v>
      </c>
      <c r="AT630" s="1">
        <f t="shared" si="62"/>
        <v>35585681</v>
      </c>
    </row>
    <row r="631" spans="1:46">
      <c r="A631" s="1" t="str">
        <f>"00717"</f>
        <v>00717</v>
      </c>
      <c r="B631" s="1" t="str">
        <f>"شاپور"</f>
        <v>شاپور</v>
      </c>
      <c r="C631" s="1" t="str">
        <f>"دشتيان"</f>
        <v>دشتيان</v>
      </c>
      <c r="D631" s="1" t="str">
        <f t="shared" ref="D631:D645" si="69">"قراردادي کارگري"</f>
        <v>قراردادي کارگري</v>
      </c>
      <c r="E631" s="1" t="str">
        <f t="shared" ref="E631:E655" si="70">"پروژه تعميرات نيروگاه بوشهر"</f>
        <v>پروژه تعميرات نيروگاه بوشهر</v>
      </c>
      <c r="F631" s="1">
        <v>10682743</v>
      </c>
      <c r="G631" s="1">
        <v>2550317</v>
      </c>
      <c r="H631" s="1">
        <v>0</v>
      </c>
      <c r="I631" s="1">
        <v>8866677</v>
      </c>
      <c r="J631" s="1">
        <v>0</v>
      </c>
      <c r="K631" s="1">
        <v>0</v>
      </c>
      <c r="L631" s="1">
        <v>3460800</v>
      </c>
      <c r="M631" s="1">
        <v>400000</v>
      </c>
      <c r="N631" s="1">
        <v>5697462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6268094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2222538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41248631</v>
      </c>
      <c r="AO631" s="1">
        <v>12612846</v>
      </c>
      <c r="AP631" s="1">
        <v>28635785</v>
      </c>
      <c r="AQ631" s="1">
        <v>7805219</v>
      </c>
      <c r="AR631" s="1">
        <v>1170783</v>
      </c>
      <c r="AS631" s="1">
        <v>1200000</v>
      </c>
      <c r="AT631" s="1">
        <f t="shared" si="62"/>
        <v>51424633</v>
      </c>
    </row>
    <row r="632" spans="1:46">
      <c r="A632" s="1" t="str">
        <f>"00718"</f>
        <v>00718</v>
      </c>
      <c r="B632" s="1" t="str">
        <f>"احسان"</f>
        <v>احسان</v>
      </c>
      <c r="C632" s="1" t="str">
        <f>"صالحي"</f>
        <v>صالحي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6873793</v>
      </c>
      <c r="G632" s="1">
        <v>5738804</v>
      </c>
      <c r="H632" s="1">
        <v>0</v>
      </c>
      <c r="I632" s="1">
        <v>4949131</v>
      </c>
      <c r="J632" s="1">
        <v>0</v>
      </c>
      <c r="K632" s="1">
        <v>0</v>
      </c>
      <c r="L632" s="1">
        <v>3620700</v>
      </c>
      <c r="M632" s="1">
        <v>400000</v>
      </c>
      <c r="N632" s="1">
        <v>3617786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9047020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2859211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3935180</v>
      </c>
      <c r="AK632" s="1">
        <v>0</v>
      </c>
      <c r="AL632" s="1">
        <v>0</v>
      </c>
      <c r="AM632" s="1">
        <v>0</v>
      </c>
      <c r="AN632" s="1">
        <v>44364163</v>
      </c>
      <c r="AO632" s="1">
        <v>4932047</v>
      </c>
      <c r="AP632" s="1">
        <v>39432116</v>
      </c>
      <c r="AQ632" s="1">
        <v>8428325</v>
      </c>
      <c r="AR632" s="1">
        <v>1264249</v>
      </c>
      <c r="AS632" s="1">
        <v>0</v>
      </c>
      <c r="AT632" s="1">
        <f t="shared" si="62"/>
        <v>54056737</v>
      </c>
    </row>
    <row r="633" spans="1:46">
      <c r="A633" s="1" t="str">
        <f>"00719"</f>
        <v>00719</v>
      </c>
      <c r="B633" s="1" t="str">
        <f>"روح اله"</f>
        <v>روح اله</v>
      </c>
      <c r="C633" s="1" t="str">
        <f>"احمدي"</f>
        <v>احمدي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5158062</v>
      </c>
      <c r="G633" s="1">
        <v>3153363</v>
      </c>
      <c r="H633" s="1">
        <v>0</v>
      </c>
      <c r="I633" s="1">
        <v>3146418</v>
      </c>
      <c r="J633" s="1">
        <v>0</v>
      </c>
      <c r="K633" s="1">
        <v>0</v>
      </c>
      <c r="L633" s="1">
        <v>5342618</v>
      </c>
      <c r="M633" s="1">
        <v>400000</v>
      </c>
      <c r="N633" s="1">
        <v>2579031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7799497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2433919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3363588</v>
      </c>
      <c r="AK633" s="1">
        <v>0</v>
      </c>
      <c r="AL633" s="1">
        <v>0</v>
      </c>
      <c r="AM633" s="1">
        <v>0</v>
      </c>
      <c r="AN633" s="1">
        <v>35587765</v>
      </c>
      <c r="AO633" s="1">
        <v>4964178</v>
      </c>
      <c r="AP633" s="1">
        <v>30623587</v>
      </c>
      <c r="AQ633" s="1">
        <v>6895299</v>
      </c>
      <c r="AR633" s="1">
        <v>1034295</v>
      </c>
      <c r="AS633" s="1">
        <v>795000</v>
      </c>
      <c r="AT633" s="1">
        <f t="shared" si="62"/>
        <v>44312359</v>
      </c>
    </row>
    <row r="634" spans="1:46">
      <c r="A634" s="1" t="str">
        <f>"00720"</f>
        <v>00720</v>
      </c>
      <c r="B634" s="1" t="str">
        <f>"علي کرم"</f>
        <v>علي کرم</v>
      </c>
      <c r="C634" s="1" t="str">
        <f>"جعفري"</f>
        <v>جعفري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5703447</v>
      </c>
      <c r="G634" s="1">
        <v>1628054</v>
      </c>
      <c r="H634" s="1">
        <v>0</v>
      </c>
      <c r="I634" s="1">
        <v>4163517</v>
      </c>
      <c r="J634" s="1">
        <v>0</v>
      </c>
      <c r="K634" s="1">
        <v>0</v>
      </c>
      <c r="L634" s="1">
        <v>3900974</v>
      </c>
      <c r="M634" s="1">
        <v>400000</v>
      </c>
      <c r="N634" s="1">
        <v>3001814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8038691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2515463</v>
      </c>
      <c r="AE634" s="1">
        <v>0</v>
      </c>
      <c r="AF634" s="1">
        <v>3333807</v>
      </c>
      <c r="AG634" s="1">
        <v>0</v>
      </c>
      <c r="AH634" s="1">
        <v>0</v>
      </c>
      <c r="AI634" s="1">
        <v>0</v>
      </c>
      <c r="AJ634" s="1">
        <v>2315455</v>
      </c>
      <c r="AK634" s="1">
        <v>0</v>
      </c>
      <c r="AL634" s="1">
        <v>0</v>
      </c>
      <c r="AM634" s="1">
        <v>0</v>
      </c>
      <c r="AN634" s="1">
        <v>36101222</v>
      </c>
      <c r="AO634" s="1">
        <v>6330307</v>
      </c>
      <c r="AP634" s="1">
        <v>29770915</v>
      </c>
      <c r="AQ634" s="1">
        <v>6553483</v>
      </c>
      <c r="AR634" s="1">
        <v>983022</v>
      </c>
      <c r="AS634" s="1">
        <v>1590000</v>
      </c>
      <c r="AT634" s="1">
        <f t="shared" si="62"/>
        <v>45227727</v>
      </c>
    </row>
    <row r="635" spans="1:46">
      <c r="A635" s="1" t="str">
        <f>"00721"</f>
        <v>00721</v>
      </c>
      <c r="B635" s="1" t="str">
        <f>"بهنام"</f>
        <v>بهنام</v>
      </c>
      <c r="C635" s="1" t="str">
        <f>"حسين آبادي چاه عربي"</f>
        <v>حسين آبادي چاه عربي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7601914</v>
      </c>
      <c r="G635" s="1">
        <v>1772888</v>
      </c>
      <c r="H635" s="1">
        <v>0</v>
      </c>
      <c r="I635" s="1">
        <v>5397359</v>
      </c>
      <c r="J635" s="1">
        <v>0</v>
      </c>
      <c r="K635" s="1">
        <v>0</v>
      </c>
      <c r="L635" s="1">
        <v>3620700</v>
      </c>
      <c r="M635" s="1">
        <v>400000</v>
      </c>
      <c r="N635" s="1">
        <v>4027504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9744890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3097122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2836621</v>
      </c>
      <c r="AK635" s="1">
        <v>0</v>
      </c>
      <c r="AL635" s="1">
        <v>0</v>
      </c>
      <c r="AM635" s="1">
        <v>0</v>
      </c>
      <c r="AN635" s="1">
        <v>41821536</v>
      </c>
      <c r="AO635" s="1">
        <v>6412885</v>
      </c>
      <c r="AP635" s="1">
        <v>35408651</v>
      </c>
      <c r="AQ635" s="1">
        <v>7919800</v>
      </c>
      <c r="AR635" s="1">
        <v>1187970</v>
      </c>
      <c r="AS635" s="1">
        <v>1060000</v>
      </c>
      <c r="AT635" s="1">
        <f t="shared" si="62"/>
        <v>51989306</v>
      </c>
    </row>
    <row r="636" spans="1:46">
      <c r="A636" s="1" t="str">
        <f>"00722"</f>
        <v>00722</v>
      </c>
      <c r="B636" s="1" t="str">
        <f>"امير"</f>
        <v>امير</v>
      </c>
      <c r="C636" s="1" t="str">
        <f>"داس زرين"</f>
        <v>داس زرين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5377554</v>
      </c>
      <c r="G636" s="1">
        <v>4766409</v>
      </c>
      <c r="H636" s="1">
        <v>0</v>
      </c>
      <c r="I636" s="1">
        <v>3871839</v>
      </c>
      <c r="J636" s="1">
        <v>0</v>
      </c>
      <c r="K636" s="1">
        <v>0</v>
      </c>
      <c r="L636" s="1">
        <v>3636522</v>
      </c>
      <c r="M636" s="1">
        <v>400000</v>
      </c>
      <c r="N636" s="1">
        <v>2868029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7591735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2363092</v>
      </c>
      <c r="AE636" s="1">
        <v>0</v>
      </c>
      <c r="AF636" s="1">
        <v>0</v>
      </c>
      <c r="AG636" s="1">
        <v>0</v>
      </c>
      <c r="AH636" s="1">
        <v>0</v>
      </c>
      <c r="AI636" s="1">
        <v>2500000</v>
      </c>
      <c r="AJ636" s="1">
        <v>3268395</v>
      </c>
      <c r="AK636" s="1">
        <v>0</v>
      </c>
      <c r="AL636" s="1">
        <v>0</v>
      </c>
      <c r="AM636" s="1">
        <v>0</v>
      </c>
      <c r="AN636" s="1">
        <v>37743575</v>
      </c>
      <c r="AO636" s="1">
        <v>5814920</v>
      </c>
      <c r="AP636" s="1">
        <v>31928655</v>
      </c>
      <c r="AQ636" s="1">
        <v>7048715</v>
      </c>
      <c r="AR636" s="1">
        <v>1057307</v>
      </c>
      <c r="AS636" s="1">
        <v>530000</v>
      </c>
      <c r="AT636" s="1">
        <f t="shared" si="62"/>
        <v>46379597</v>
      </c>
    </row>
    <row r="637" spans="1:46">
      <c r="A637" s="1" t="str">
        <f>"00723"</f>
        <v>00723</v>
      </c>
      <c r="B637" s="1" t="str">
        <f>"غلامرضا"</f>
        <v>غلامرضا</v>
      </c>
      <c r="C637" s="1" t="str">
        <f>"شاکري"</f>
        <v>شاکري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8732994</v>
      </c>
      <c r="G637" s="1">
        <v>6924251</v>
      </c>
      <c r="H637" s="1">
        <v>0</v>
      </c>
      <c r="I637" s="1">
        <v>6113096</v>
      </c>
      <c r="J637" s="1">
        <v>0</v>
      </c>
      <c r="K637" s="1">
        <v>0</v>
      </c>
      <c r="L637" s="1">
        <v>3620700</v>
      </c>
      <c r="M637" s="1">
        <v>400000</v>
      </c>
      <c r="N637" s="1">
        <v>4626752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10821159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3464031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4748058</v>
      </c>
      <c r="AK637" s="1">
        <v>0</v>
      </c>
      <c r="AL637" s="1">
        <v>0</v>
      </c>
      <c r="AM637" s="1">
        <v>0</v>
      </c>
      <c r="AN637" s="1">
        <v>52773579</v>
      </c>
      <c r="AO637" s="1">
        <v>13381619</v>
      </c>
      <c r="AP637" s="1">
        <v>39391960</v>
      </c>
      <c r="AQ637" s="1">
        <v>10110208</v>
      </c>
      <c r="AR637" s="1">
        <v>1516531</v>
      </c>
      <c r="AS637" s="1">
        <v>-265000</v>
      </c>
      <c r="AT637" s="1">
        <f t="shared" si="62"/>
        <v>64135318</v>
      </c>
    </row>
    <row r="638" spans="1:46">
      <c r="A638" s="1" t="str">
        <f>"00724"</f>
        <v>00724</v>
      </c>
      <c r="B638" s="1" t="str">
        <f>"محسن"</f>
        <v>محسن</v>
      </c>
      <c r="C638" s="1" t="str">
        <f>"شيخياني"</f>
        <v>شيخياني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6654963</v>
      </c>
      <c r="G638" s="1">
        <v>1400276</v>
      </c>
      <c r="H638" s="1">
        <v>0</v>
      </c>
      <c r="I638" s="1">
        <v>4791573</v>
      </c>
      <c r="J638" s="1">
        <v>0</v>
      </c>
      <c r="K638" s="1">
        <v>0</v>
      </c>
      <c r="L638" s="1">
        <v>3620700</v>
      </c>
      <c r="M638" s="1">
        <v>400000</v>
      </c>
      <c r="N638" s="1">
        <v>3525808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8840939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2788957</v>
      </c>
      <c r="AE638" s="1">
        <v>0</v>
      </c>
      <c r="AF638" s="1">
        <v>3333807</v>
      </c>
      <c r="AG638" s="1">
        <v>0</v>
      </c>
      <c r="AH638" s="1">
        <v>0</v>
      </c>
      <c r="AI638" s="1">
        <v>0</v>
      </c>
      <c r="AJ638" s="1">
        <v>2560505</v>
      </c>
      <c r="AK638" s="1">
        <v>0</v>
      </c>
      <c r="AL638" s="1">
        <v>0</v>
      </c>
      <c r="AM638" s="1">
        <v>0</v>
      </c>
      <c r="AN638" s="1">
        <v>39017528</v>
      </c>
      <c r="AO638" s="1">
        <v>5866245</v>
      </c>
      <c r="AP638" s="1">
        <v>33151283</v>
      </c>
      <c r="AQ638" s="1">
        <v>7136744</v>
      </c>
      <c r="AR638" s="1">
        <v>1070512</v>
      </c>
      <c r="AS638" s="1">
        <v>1060000</v>
      </c>
      <c r="AT638" s="1">
        <f t="shared" si="62"/>
        <v>48284784</v>
      </c>
    </row>
    <row r="639" spans="1:46">
      <c r="A639" s="1" t="str">
        <f>"00725"</f>
        <v>00725</v>
      </c>
      <c r="B639" s="1" t="str">
        <f>"سيد مهدي"</f>
        <v>سيد مهدي</v>
      </c>
      <c r="C639" s="1" t="str">
        <f>"عسکري"</f>
        <v>عسکري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7149168</v>
      </c>
      <c r="G639" s="1">
        <v>8900554</v>
      </c>
      <c r="H639" s="1">
        <v>0</v>
      </c>
      <c r="I639" s="1">
        <v>5147401</v>
      </c>
      <c r="J639" s="1">
        <v>0</v>
      </c>
      <c r="K639" s="1">
        <v>0</v>
      </c>
      <c r="L639" s="1">
        <v>4085700</v>
      </c>
      <c r="M639" s="1">
        <v>400000</v>
      </c>
      <c r="N639" s="1">
        <v>3762720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6980509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1111269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38637321</v>
      </c>
      <c r="AO639" s="1">
        <v>6666170</v>
      </c>
      <c r="AP639" s="1">
        <v>31971151</v>
      </c>
      <c r="AQ639" s="1">
        <v>7505210</v>
      </c>
      <c r="AR639" s="1">
        <v>1125782</v>
      </c>
      <c r="AS639" s="1">
        <v>530000</v>
      </c>
      <c r="AT639" s="1">
        <f t="shared" si="62"/>
        <v>47798313</v>
      </c>
    </row>
    <row r="640" spans="1:46">
      <c r="A640" s="1" t="str">
        <f>"00726"</f>
        <v>00726</v>
      </c>
      <c r="B640" s="1" t="str">
        <f>"مهدي"</f>
        <v>مهدي</v>
      </c>
      <c r="C640" s="1" t="str">
        <f>"زارعي ونوول"</f>
        <v>زارعي ونوول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7491436</v>
      </c>
      <c r="G640" s="1">
        <v>0</v>
      </c>
      <c r="H640" s="1">
        <v>0</v>
      </c>
      <c r="I640" s="1">
        <v>5244005</v>
      </c>
      <c r="J640" s="1">
        <v>0</v>
      </c>
      <c r="K640" s="1">
        <v>0</v>
      </c>
      <c r="L640" s="1">
        <v>3620700</v>
      </c>
      <c r="M640" s="1">
        <v>400000</v>
      </c>
      <c r="N640" s="1">
        <v>3968973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4910651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3048767</v>
      </c>
      <c r="AE640" s="1">
        <v>0</v>
      </c>
      <c r="AF640" s="1">
        <v>2222538</v>
      </c>
      <c r="AG640" s="1">
        <v>0</v>
      </c>
      <c r="AH640" s="1">
        <v>0</v>
      </c>
      <c r="AI640" s="1">
        <v>0</v>
      </c>
      <c r="AJ640" s="1">
        <v>2355338</v>
      </c>
      <c r="AK640" s="1">
        <v>0</v>
      </c>
      <c r="AL640" s="1">
        <v>0</v>
      </c>
      <c r="AM640" s="1">
        <v>0</v>
      </c>
      <c r="AN640" s="1">
        <v>34362408</v>
      </c>
      <c r="AO640" s="1">
        <v>11234632</v>
      </c>
      <c r="AP640" s="1">
        <v>23127776</v>
      </c>
      <c r="AQ640" s="1">
        <v>6427974</v>
      </c>
      <c r="AR640" s="1">
        <v>964196</v>
      </c>
      <c r="AS640" s="1">
        <v>1200000</v>
      </c>
      <c r="AT640" s="1">
        <f t="shared" si="62"/>
        <v>42954578</v>
      </c>
    </row>
    <row r="641" spans="1:46">
      <c r="A641" s="1" t="str">
        <f>"00727"</f>
        <v>00727</v>
      </c>
      <c r="B641" s="1" t="str">
        <f>"عبدالناصر"</f>
        <v>عبدالناصر</v>
      </c>
      <c r="C641" s="1" t="str">
        <f>"بچاچري نژاد"</f>
        <v>بچاچري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5777587</v>
      </c>
      <c r="G641" s="1">
        <v>0</v>
      </c>
      <c r="H641" s="1">
        <v>0</v>
      </c>
      <c r="I641" s="1">
        <v>4390966</v>
      </c>
      <c r="J641" s="1">
        <v>0</v>
      </c>
      <c r="K641" s="1">
        <v>0</v>
      </c>
      <c r="L641" s="1">
        <v>4104501</v>
      </c>
      <c r="M641" s="1">
        <v>400000</v>
      </c>
      <c r="N641" s="1">
        <v>3040835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6490792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4445076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29749757</v>
      </c>
      <c r="AO641" s="1">
        <v>5715168</v>
      </c>
      <c r="AP641" s="1">
        <v>24034589</v>
      </c>
      <c r="AQ641" s="1">
        <v>5060936</v>
      </c>
      <c r="AR641" s="1">
        <v>759140</v>
      </c>
      <c r="AS641" s="1">
        <v>1060000</v>
      </c>
      <c r="AT641" s="1">
        <f t="shared" si="62"/>
        <v>36629833</v>
      </c>
    </row>
    <row r="642" spans="1:46">
      <c r="A642" s="1" t="str">
        <f>"00728"</f>
        <v>00728</v>
      </c>
      <c r="B642" s="1" t="str">
        <f>"مهدي"</f>
        <v>مهدي</v>
      </c>
      <c r="C642" s="1" t="str">
        <f>"آبسته"</f>
        <v>آبسته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5353932</v>
      </c>
      <c r="G642" s="1">
        <v>7051780</v>
      </c>
      <c r="H642" s="1">
        <v>0</v>
      </c>
      <c r="I642" s="1">
        <v>3801292</v>
      </c>
      <c r="J642" s="1">
        <v>0</v>
      </c>
      <c r="K642" s="1">
        <v>0</v>
      </c>
      <c r="L642" s="1">
        <v>3620700</v>
      </c>
      <c r="M642" s="1">
        <v>400000</v>
      </c>
      <c r="N642" s="1">
        <v>2817859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5897355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30042918</v>
      </c>
      <c r="AO642" s="1">
        <v>5267170</v>
      </c>
      <c r="AP642" s="1">
        <v>24775748</v>
      </c>
      <c r="AQ642" s="1">
        <v>6008584</v>
      </c>
      <c r="AR642" s="1">
        <v>901288</v>
      </c>
      <c r="AS642" s="1">
        <v>530000</v>
      </c>
      <c r="AT642" s="1">
        <f t="shared" si="62"/>
        <v>37482790</v>
      </c>
    </row>
    <row r="643" spans="1:46">
      <c r="A643" s="1" t="str">
        <f>"00729"</f>
        <v>00729</v>
      </c>
      <c r="B643" s="1" t="str">
        <f>"مصطفي"</f>
        <v>مصطفي</v>
      </c>
      <c r="C643" s="1" t="str">
        <f>"ايرج زاده"</f>
        <v>ايرج زاده</v>
      </c>
      <c r="D643" s="1" t="str">
        <f t="shared" si="69"/>
        <v>قراردادي کارگري</v>
      </c>
      <c r="E643" s="1" t="str">
        <f t="shared" si="70"/>
        <v>پروژه تعميرات نيروگاه بوشهر</v>
      </c>
      <c r="F643" s="1">
        <v>5724630</v>
      </c>
      <c r="G643" s="1">
        <v>6078175</v>
      </c>
      <c r="H643" s="1">
        <v>0</v>
      </c>
      <c r="I643" s="1">
        <v>4007241</v>
      </c>
      <c r="J643" s="1">
        <v>0</v>
      </c>
      <c r="K643" s="1">
        <v>0</v>
      </c>
      <c r="L643" s="1">
        <v>3620700</v>
      </c>
      <c r="M643" s="1">
        <v>400000</v>
      </c>
      <c r="N643" s="1">
        <v>3012963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6163609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30107318</v>
      </c>
      <c r="AO643" s="1">
        <v>3056885</v>
      </c>
      <c r="AP643" s="1">
        <v>27050433</v>
      </c>
      <c r="AQ643" s="1">
        <v>6021464</v>
      </c>
      <c r="AR643" s="1">
        <v>903220</v>
      </c>
      <c r="AS643" s="1">
        <v>265000</v>
      </c>
      <c r="AT643" s="1">
        <f t="shared" ref="AT643:AT706" si="71">AS643+AR643+AQ643+AN643</f>
        <v>37297002</v>
      </c>
    </row>
    <row r="644" spans="1:46">
      <c r="A644" s="1" t="str">
        <f>"00731"</f>
        <v>00731</v>
      </c>
      <c r="B644" s="1" t="str">
        <f>"امير"</f>
        <v>امير</v>
      </c>
      <c r="C644" s="1" t="str">
        <f>"جمالي نژاد"</f>
        <v>جمالي نژاد</v>
      </c>
      <c r="D644" s="1" t="str">
        <f t="shared" si="69"/>
        <v>قراردادي کارگري</v>
      </c>
      <c r="E644" s="1" t="str">
        <f t="shared" si="70"/>
        <v>پروژه تعميرات نيروگاه بوشهر</v>
      </c>
      <c r="F644" s="1">
        <v>7391480</v>
      </c>
      <c r="G644" s="1">
        <v>4032936</v>
      </c>
      <c r="H644" s="1">
        <v>0</v>
      </c>
      <c r="I644" s="1">
        <v>5247951</v>
      </c>
      <c r="J644" s="1">
        <v>0</v>
      </c>
      <c r="K644" s="1">
        <v>0</v>
      </c>
      <c r="L644" s="1">
        <v>3620700</v>
      </c>
      <c r="M644" s="1">
        <v>400000</v>
      </c>
      <c r="N644" s="1">
        <v>3916016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7478271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3026422</v>
      </c>
      <c r="AE644" s="1">
        <v>0</v>
      </c>
      <c r="AF644" s="1">
        <v>2222538</v>
      </c>
      <c r="AG644" s="1">
        <v>0</v>
      </c>
      <c r="AH644" s="1">
        <v>0</v>
      </c>
      <c r="AI644" s="1">
        <v>0</v>
      </c>
      <c r="AJ644" s="1">
        <v>3871619</v>
      </c>
      <c r="AK644" s="1">
        <v>0</v>
      </c>
      <c r="AL644" s="1">
        <v>0</v>
      </c>
      <c r="AM644" s="1">
        <v>0</v>
      </c>
      <c r="AN644" s="1">
        <v>42307933</v>
      </c>
      <c r="AO644" s="1">
        <v>6494600</v>
      </c>
      <c r="AP644" s="1">
        <v>35813333</v>
      </c>
      <c r="AQ644" s="1">
        <v>8017079</v>
      </c>
      <c r="AR644" s="1">
        <v>1202562</v>
      </c>
      <c r="AS644" s="1">
        <v>1060000</v>
      </c>
      <c r="AT644" s="1">
        <f t="shared" si="71"/>
        <v>52587574</v>
      </c>
    </row>
    <row r="645" spans="1:46">
      <c r="A645" s="1" t="str">
        <f>"00732"</f>
        <v>00732</v>
      </c>
      <c r="B645" s="1" t="str">
        <f>"محمد امين"</f>
        <v>محمد امين</v>
      </c>
      <c r="C645" s="1" t="str">
        <f>"جوي"</f>
        <v>جوي</v>
      </c>
      <c r="D645" s="1" t="str">
        <f t="shared" si="69"/>
        <v>قراردادي کارگري</v>
      </c>
      <c r="E645" s="1" t="str">
        <f t="shared" si="70"/>
        <v>پروژه تعميرات نيروگاه بوشهر</v>
      </c>
      <c r="F645" s="1">
        <v>6063554</v>
      </c>
      <c r="G645" s="1">
        <v>7382030</v>
      </c>
      <c r="H645" s="1">
        <v>0</v>
      </c>
      <c r="I645" s="1">
        <v>4244488</v>
      </c>
      <c r="J645" s="1">
        <v>0</v>
      </c>
      <c r="K645" s="1">
        <v>0</v>
      </c>
      <c r="L645" s="1">
        <v>3620700</v>
      </c>
      <c r="M645" s="1">
        <v>400000</v>
      </c>
      <c r="N645" s="1">
        <v>3191344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6423929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32426045</v>
      </c>
      <c r="AO645" s="1">
        <v>4850409</v>
      </c>
      <c r="AP645" s="1">
        <v>27575636</v>
      </c>
      <c r="AQ645" s="1">
        <v>6485209</v>
      </c>
      <c r="AR645" s="1">
        <v>972781</v>
      </c>
      <c r="AS645" s="1">
        <v>600000</v>
      </c>
      <c r="AT645" s="1">
        <f t="shared" si="71"/>
        <v>40484035</v>
      </c>
    </row>
    <row r="646" spans="1:46">
      <c r="A646" s="1" t="str">
        <f>"00733"</f>
        <v>00733</v>
      </c>
      <c r="B646" s="1" t="str">
        <f>"محمد"</f>
        <v>محمد</v>
      </c>
      <c r="C646" s="1" t="str">
        <f>"چم کوري"</f>
        <v>چم کوري</v>
      </c>
      <c r="D646" s="1" t="str">
        <f>"قراردادي بهره بردار"</f>
        <v>قراردادي بهره بردار</v>
      </c>
      <c r="E646" s="1" t="str">
        <f t="shared" si="70"/>
        <v>پروژه تعميرات نيروگاه بوشهر</v>
      </c>
      <c r="F646" s="1">
        <v>11523344</v>
      </c>
      <c r="G646" s="1">
        <v>13062208</v>
      </c>
      <c r="H646" s="1">
        <v>0</v>
      </c>
      <c r="I646" s="1">
        <v>8902969</v>
      </c>
      <c r="J646" s="1">
        <v>0</v>
      </c>
      <c r="K646" s="1">
        <v>4620000</v>
      </c>
      <c r="L646" s="1">
        <v>0</v>
      </c>
      <c r="M646" s="1">
        <v>400000</v>
      </c>
      <c r="N646" s="1">
        <v>2112459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10308502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1508900</v>
      </c>
      <c r="AF646" s="1">
        <v>1111269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4587055</v>
      </c>
      <c r="AM646" s="1">
        <v>0</v>
      </c>
      <c r="AN646" s="1">
        <v>59236706</v>
      </c>
      <c r="AO646" s="1">
        <v>20050352</v>
      </c>
      <c r="AP646" s="1">
        <v>39186354</v>
      </c>
      <c r="AQ646" s="1">
        <v>11625087</v>
      </c>
      <c r="AR646" s="1">
        <v>1743763</v>
      </c>
      <c r="AS646" s="1">
        <v>0</v>
      </c>
      <c r="AT646" s="1">
        <f t="shared" si="71"/>
        <v>72605556</v>
      </c>
    </row>
    <row r="647" spans="1:46">
      <c r="A647" s="1" t="str">
        <f>"00734"</f>
        <v>00734</v>
      </c>
      <c r="B647" s="1" t="str">
        <f>"حسين"</f>
        <v>حسين</v>
      </c>
      <c r="C647" s="1" t="str">
        <f>"حيدريان"</f>
        <v>حيدريان</v>
      </c>
      <c r="D647" s="1" t="str">
        <f t="shared" ref="D647:D655" si="72">"قراردادي کارگري"</f>
        <v>قراردادي کارگري</v>
      </c>
      <c r="E647" s="1" t="str">
        <f t="shared" si="70"/>
        <v>پروژه تعميرات نيروگاه بوشهر</v>
      </c>
      <c r="F647" s="1">
        <v>5634604</v>
      </c>
      <c r="G647" s="1">
        <v>0</v>
      </c>
      <c r="H647" s="1">
        <v>0</v>
      </c>
      <c r="I647" s="1">
        <v>3944222</v>
      </c>
      <c r="J647" s="1">
        <v>0</v>
      </c>
      <c r="K647" s="1">
        <v>0</v>
      </c>
      <c r="L647" s="1">
        <v>3620700</v>
      </c>
      <c r="M647" s="1">
        <v>400000</v>
      </c>
      <c r="N647" s="1">
        <v>2965581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6094462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2424766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1038780</v>
      </c>
      <c r="AK647" s="1">
        <v>0</v>
      </c>
      <c r="AL647" s="1">
        <v>0</v>
      </c>
      <c r="AM647" s="1">
        <v>0</v>
      </c>
      <c r="AN647" s="1">
        <v>27223115</v>
      </c>
      <c r="AO647" s="1">
        <v>10603874</v>
      </c>
      <c r="AP647" s="1">
        <v>16619241</v>
      </c>
      <c r="AQ647" s="1">
        <v>5444623</v>
      </c>
      <c r="AR647" s="1">
        <v>816693</v>
      </c>
      <c r="AS647" s="1">
        <v>1800000</v>
      </c>
      <c r="AT647" s="1">
        <f t="shared" si="71"/>
        <v>35284431</v>
      </c>
    </row>
    <row r="648" spans="1:46">
      <c r="A648" s="1" t="str">
        <f>"00735"</f>
        <v>00735</v>
      </c>
      <c r="B648" s="1" t="str">
        <f>"هادي"</f>
        <v>هادي</v>
      </c>
      <c r="C648" s="1" t="str">
        <f>"خبازي"</f>
        <v>خبازي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5941753</v>
      </c>
      <c r="G648" s="1">
        <v>3380314</v>
      </c>
      <c r="H648" s="1">
        <v>0</v>
      </c>
      <c r="I648" s="1">
        <v>4159227</v>
      </c>
      <c r="J648" s="1">
        <v>0</v>
      </c>
      <c r="K648" s="1">
        <v>0</v>
      </c>
      <c r="L648" s="1">
        <v>3620700</v>
      </c>
      <c r="M648" s="1">
        <v>400000</v>
      </c>
      <c r="N648" s="1">
        <v>3127238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6330377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28059609</v>
      </c>
      <c r="AO648" s="1">
        <v>4873541</v>
      </c>
      <c r="AP648" s="1">
        <v>23186068</v>
      </c>
      <c r="AQ648" s="1">
        <v>5611922</v>
      </c>
      <c r="AR648" s="1">
        <v>841788</v>
      </c>
      <c r="AS648" s="1">
        <v>300000</v>
      </c>
      <c r="AT648" s="1">
        <f t="shared" si="71"/>
        <v>34813319</v>
      </c>
    </row>
    <row r="649" spans="1:46">
      <c r="A649" s="1" t="str">
        <f>"00736"</f>
        <v>00736</v>
      </c>
      <c r="B649" s="1" t="str">
        <f>"امير"</f>
        <v>امير</v>
      </c>
      <c r="C649" s="1" t="str">
        <f>"روزرخ"</f>
        <v>روزرخ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8458848</v>
      </c>
      <c r="G649" s="1">
        <v>7863659</v>
      </c>
      <c r="H649" s="1">
        <v>0</v>
      </c>
      <c r="I649" s="1">
        <v>6767078</v>
      </c>
      <c r="J649" s="1">
        <v>0</v>
      </c>
      <c r="K649" s="1">
        <v>0</v>
      </c>
      <c r="L649" s="1">
        <v>3460800</v>
      </c>
      <c r="M649" s="1">
        <v>400000</v>
      </c>
      <c r="N649" s="1">
        <v>4511386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8520849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1111269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42193889</v>
      </c>
      <c r="AO649" s="1">
        <v>7963007</v>
      </c>
      <c r="AP649" s="1">
        <v>34230882</v>
      </c>
      <c r="AQ649" s="1">
        <v>8216524</v>
      </c>
      <c r="AR649" s="1">
        <v>1232479</v>
      </c>
      <c r="AS649" s="1">
        <v>900000</v>
      </c>
      <c r="AT649" s="1">
        <f t="shared" si="71"/>
        <v>52542892</v>
      </c>
    </row>
    <row r="650" spans="1:46">
      <c r="A650" s="1" t="str">
        <f>"00737"</f>
        <v>00737</v>
      </c>
      <c r="B650" s="1" t="str">
        <f>"ماشاءاله"</f>
        <v>ماشاءاله</v>
      </c>
      <c r="C650" s="1" t="str">
        <f>"رفيعي"</f>
        <v>رفيعي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8669864</v>
      </c>
      <c r="G650" s="1">
        <v>23000795</v>
      </c>
      <c r="H650" s="1">
        <v>0</v>
      </c>
      <c r="I650" s="1">
        <v>6415700</v>
      </c>
      <c r="J650" s="1">
        <v>0</v>
      </c>
      <c r="K650" s="1">
        <v>0</v>
      </c>
      <c r="L650" s="1">
        <v>3620700</v>
      </c>
      <c r="M650" s="1">
        <v>400000</v>
      </c>
      <c r="N650" s="1">
        <v>4593306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7625868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3333807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58760040</v>
      </c>
      <c r="AO650" s="1">
        <v>10754774</v>
      </c>
      <c r="AP650" s="1">
        <v>48005266</v>
      </c>
      <c r="AQ650" s="1">
        <v>11085247</v>
      </c>
      <c r="AR650" s="1">
        <v>1662787</v>
      </c>
      <c r="AS650" s="1">
        <v>1325000</v>
      </c>
      <c r="AT650" s="1">
        <f t="shared" si="71"/>
        <v>72833074</v>
      </c>
    </row>
    <row r="651" spans="1:46">
      <c r="A651" s="1" t="str">
        <f>"00738"</f>
        <v>00738</v>
      </c>
      <c r="B651" s="1" t="str">
        <f>"احمد"</f>
        <v>احمد</v>
      </c>
      <c r="C651" s="1" t="str">
        <f>"غلامي"</f>
        <v>غلامي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5618577</v>
      </c>
      <c r="G651" s="1">
        <v>3263870</v>
      </c>
      <c r="H651" s="1">
        <v>0</v>
      </c>
      <c r="I651" s="1">
        <v>4101561</v>
      </c>
      <c r="J651" s="1">
        <v>0</v>
      </c>
      <c r="K651" s="1">
        <v>0</v>
      </c>
      <c r="L651" s="1">
        <v>4113953</v>
      </c>
      <c r="M651" s="1">
        <v>400000</v>
      </c>
      <c r="N651" s="1">
        <v>2976730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8056761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2521623</v>
      </c>
      <c r="AE651" s="1">
        <v>0</v>
      </c>
      <c r="AF651" s="1">
        <v>2222538</v>
      </c>
      <c r="AG651" s="1">
        <v>0</v>
      </c>
      <c r="AH651" s="1">
        <v>0</v>
      </c>
      <c r="AI651" s="1">
        <v>0</v>
      </c>
      <c r="AJ651" s="1">
        <v>3481461</v>
      </c>
      <c r="AK651" s="1">
        <v>0</v>
      </c>
      <c r="AL651" s="1">
        <v>0</v>
      </c>
      <c r="AM651" s="1">
        <v>0</v>
      </c>
      <c r="AN651" s="1">
        <v>37857074</v>
      </c>
      <c r="AO651" s="1">
        <v>8473522</v>
      </c>
      <c r="AP651" s="1">
        <v>29383552</v>
      </c>
      <c r="AQ651" s="1">
        <v>7126907</v>
      </c>
      <c r="AR651" s="1">
        <v>1069036</v>
      </c>
      <c r="AS651" s="1">
        <v>1060000</v>
      </c>
      <c r="AT651" s="1">
        <f t="shared" si="71"/>
        <v>47113017</v>
      </c>
    </row>
    <row r="652" spans="1:46">
      <c r="A652" s="1" t="str">
        <f>"00739"</f>
        <v>00739</v>
      </c>
      <c r="B652" s="1" t="str">
        <f>"سعيد"</f>
        <v>سعيد</v>
      </c>
      <c r="C652" s="1" t="str">
        <f>"آقايي کردشامي"</f>
        <v>آقايي کردشامي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5915275</v>
      </c>
      <c r="G652" s="1">
        <v>10367551</v>
      </c>
      <c r="H652" s="1">
        <v>0</v>
      </c>
      <c r="I652" s="1">
        <v>4258998</v>
      </c>
      <c r="J652" s="1">
        <v>0</v>
      </c>
      <c r="K652" s="1">
        <v>0</v>
      </c>
      <c r="L652" s="1">
        <v>3620700</v>
      </c>
      <c r="M652" s="1">
        <v>400000</v>
      </c>
      <c r="N652" s="1">
        <v>3113302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5660544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2222538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36658908</v>
      </c>
      <c r="AO652" s="1">
        <v>5041564</v>
      </c>
      <c r="AP652" s="1">
        <v>31617344</v>
      </c>
      <c r="AQ652" s="1">
        <v>6887274</v>
      </c>
      <c r="AR652" s="1">
        <v>1033091</v>
      </c>
      <c r="AS652" s="1">
        <v>780000</v>
      </c>
      <c r="AT652" s="1">
        <f t="shared" si="71"/>
        <v>45359273</v>
      </c>
    </row>
    <row r="653" spans="1:46">
      <c r="A653" s="1" t="str">
        <f>"00740"</f>
        <v>00740</v>
      </c>
      <c r="B653" s="1" t="str">
        <f>"محمد"</f>
        <v>محمد</v>
      </c>
      <c r="C653" s="1" t="str">
        <f>"ماهيني"</f>
        <v>ماهيني</v>
      </c>
      <c r="D653" s="1" t="str">
        <f t="shared" si="72"/>
        <v>قراردادي کارگري</v>
      </c>
      <c r="E653" s="1" t="str">
        <f t="shared" si="70"/>
        <v>پروژه تعميرات نيروگاه بوشهر</v>
      </c>
      <c r="F653" s="1">
        <v>6164172</v>
      </c>
      <c r="G653" s="1">
        <v>5421837</v>
      </c>
      <c r="H653" s="1">
        <v>0</v>
      </c>
      <c r="I653" s="1">
        <v>4623129</v>
      </c>
      <c r="J653" s="1">
        <v>0</v>
      </c>
      <c r="K653" s="1">
        <v>0</v>
      </c>
      <c r="L653" s="1">
        <v>3620700</v>
      </c>
      <c r="M653" s="1">
        <v>400000</v>
      </c>
      <c r="N653" s="1">
        <v>3244301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1915230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26489369</v>
      </c>
      <c r="AO653" s="1">
        <v>3438184</v>
      </c>
      <c r="AP653" s="1">
        <v>23051185</v>
      </c>
      <c r="AQ653" s="1">
        <v>5297874</v>
      </c>
      <c r="AR653" s="1">
        <v>794681</v>
      </c>
      <c r="AS653" s="1">
        <v>530000</v>
      </c>
      <c r="AT653" s="1">
        <f t="shared" si="71"/>
        <v>33111924</v>
      </c>
    </row>
    <row r="654" spans="1:46">
      <c r="A654" s="1" t="str">
        <f>"00742"</f>
        <v>00742</v>
      </c>
      <c r="B654" s="1" t="str">
        <f>"امير"</f>
        <v>امير</v>
      </c>
      <c r="C654" s="1" t="str">
        <f>"رستمي پور"</f>
        <v>رستمي پور</v>
      </c>
      <c r="D654" s="1" t="str">
        <f t="shared" si="72"/>
        <v>قراردادي کارگري</v>
      </c>
      <c r="E654" s="1" t="str">
        <f t="shared" si="70"/>
        <v>پروژه تعميرات نيروگاه بوشهر</v>
      </c>
      <c r="F654" s="1">
        <v>5401594</v>
      </c>
      <c r="G654" s="1">
        <v>0</v>
      </c>
      <c r="H654" s="1">
        <v>0</v>
      </c>
      <c r="I654" s="1">
        <v>4105211</v>
      </c>
      <c r="J654" s="1">
        <v>0</v>
      </c>
      <c r="K654" s="1">
        <v>0</v>
      </c>
      <c r="L654" s="1">
        <v>3620700</v>
      </c>
      <c r="M654" s="1">
        <v>400000</v>
      </c>
      <c r="N654" s="1">
        <v>2842944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1747045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19217494</v>
      </c>
      <c r="AO654" s="1">
        <v>5465990</v>
      </c>
      <c r="AP654" s="1">
        <v>13751504</v>
      </c>
      <c r="AQ654" s="1">
        <v>3843499</v>
      </c>
      <c r="AR654" s="1">
        <v>576525</v>
      </c>
      <c r="AS654" s="1">
        <v>195000</v>
      </c>
      <c r="AT654" s="1">
        <f t="shared" si="71"/>
        <v>23832518</v>
      </c>
    </row>
    <row r="655" spans="1:46">
      <c r="A655" s="1" t="str">
        <f>"00743"</f>
        <v>00743</v>
      </c>
      <c r="B655" s="1" t="str">
        <f>"حسين"</f>
        <v>حسين</v>
      </c>
      <c r="C655" s="1" t="str">
        <f>"جباري فرد"</f>
        <v>جباري فرد</v>
      </c>
      <c r="D655" s="1" t="str">
        <f t="shared" si="72"/>
        <v>قراردادي کارگري</v>
      </c>
      <c r="E655" s="1" t="str">
        <f t="shared" si="70"/>
        <v>پروژه تعميرات نيروگاه بوشهر</v>
      </c>
      <c r="F655" s="1">
        <v>5968231</v>
      </c>
      <c r="G655" s="1">
        <v>1516635</v>
      </c>
      <c r="H655" s="1">
        <v>0</v>
      </c>
      <c r="I655" s="1">
        <v>4237444</v>
      </c>
      <c r="J655" s="1">
        <v>0</v>
      </c>
      <c r="K655" s="1">
        <v>0</v>
      </c>
      <c r="L655" s="1">
        <v>3620700</v>
      </c>
      <c r="M655" s="1">
        <v>400000</v>
      </c>
      <c r="N655" s="1">
        <v>3141174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3832017</v>
      </c>
      <c r="W655" s="1">
        <v>1100000</v>
      </c>
      <c r="X655" s="1">
        <v>0</v>
      </c>
      <c r="Y655" s="1">
        <v>0</v>
      </c>
      <c r="Z655" s="1">
        <v>0</v>
      </c>
      <c r="AA655" s="1">
        <v>2500000</v>
      </c>
      <c r="AB655" s="1">
        <v>0</v>
      </c>
      <c r="AC655" s="1">
        <v>0</v>
      </c>
      <c r="AD655" s="1">
        <v>1187728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27503929</v>
      </c>
      <c r="AO655" s="1">
        <v>5727326</v>
      </c>
      <c r="AP655" s="1">
        <v>21776603</v>
      </c>
      <c r="AQ655" s="1">
        <v>5000786</v>
      </c>
      <c r="AR655" s="1">
        <v>750118</v>
      </c>
      <c r="AS655" s="1">
        <v>600000</v>
      </c>
      <c r="AT655" s="1">
        <f t="shared" si="71"/>
        <v>33854833</v>
      </c>
    </row>
    <row r="656" spans="1:46">
      <c r="A656" s="1" t="str">
        <f>"00744"</f>
        <v>00744</v>
      </c>
      <c r="B656" s="1" t="str">
        <f>"منصور"</f>
        <v>منصور</v>
      </c>
      <c r="C656" s="1" t="str">
        <f>"صفايان آزاد"</f>
        <v>صفايان آزاد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11309524</v>
      </c>
      <c r="G656" s="1">
        <v>6886901</v>
      </c>
      <c r="H656" s="1">
        <v>0</v>
      </c>
      <c r="I656" s="1">
        <v>8005016</v>
      </c>
      <c r="J656" s="1">
        <v>0</v>
      </c>
      <c r="K656" s="1">
        <v>4620000</v>
      </c>
      <c r="L656" s="1">
        <v>0</v>
      </c>
      <c r="M656" s="1">
        <v>400000</v>
      </c>
      <c r="N656" s="1">
        <v>1828666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1270000</v>
      </c>
      <c r="U656" s="1">
        <v>0</v>
      </c>
      <c r="V656" s="1">
        <v>9690670</v>
      </c>
      <c r="W656" s="1">
        <v>1100000</v>
      </c>
      <c r="X656" s="1">
        <v>1696429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1306190</v>
      </c>
      <c r="AF656" s="1">
        <v>2222538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5639504</v>
      </c>
      <c r="AM656" s="1">
        <v>0</v>
      </c>
      <c r="AN656" s="1">
        <v>55975438</v>
      </c>
      <c r="AO656" s="1">
        <v>13744057</v>
      </c>
      <c r="AP656" s="1">
        <v>42231381</v>
      </c>
      <c r="AQ656" s="1">
        <v>10496580</v>
      </c>
      <c r="AR656" s="1">
        <v>1574487</v>
      </c>
      <c r="AS656" s="1">
        <v>0</v>
      </c>
      <c r="AT656" s="1">
        <f t="shared" si="71"/>
        <v>68046505</v>
      </c>
    </row>
    <row r="657" spans="1:46">
      <c r="A657" s="1" t="str">
        <f>"00745"</f>
        <v>00745</v>
      </c>
      <c r="B657" s="1" t="str">
        <f>"بهروز"</f>
        <v>بهروز</v>
      </c>
      <c r="C657" s="1" t="str">
        <f>"بحراني"</f>
        <v>بحراني</v>
      </c>
      <c r="D657" s="1" t="str">
        <f>"قراردادي بهره بردار"</f>
        <v>قراردادي بهره بردار</v>
      </c>
      <c r="E657" s="1" t="str">
        <f>"پروژه تعميرات نيروگاه بوشهر"</f>
        <v>پروژه تعميرات نيروگاه بوشهر</v>
      </c>
      <c r="F657" s="1">
        <v>14978909</v>
      </c>
      <c r="G657" s="1">
        <v>6628227</v>
      </c>
      <c r="H657" s="1">
        <v>0</v>
      </c>
      <c r="I657" s="1">
        <v>11631657</v>
      </c>
      <c r="J657" s="1">
        <v>0</v>
      </c>
      <c r="K657" s="1">
        <v>5500000</v>
      </c>
      <c r="L657" s="1">
        <v>0</v>
      </c>
      <c r="M657" s="1">
        <v>400000</v>
      </c>
      <c r="N657" s="1">
        <v>2457239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10555728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1755171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4071996</v>
      </c>
      <c r="AM657" s="1">
        <v>0</v>
      </c>
      <c r="AN657" s="1">
        <v>59078927</v>
      </c>
      <c r="AO657" s="1">
        <v>15349992</v>
      </c>
      <c r="AP657" s="1">
        <v>43728935</v>
      </c>
      <c r="AQ657" s="1">
        <v>11815785</v>
      </c>
      <c r="AR657" s="1">
        <v>1772368</v>
      </c>
      <c r="AS657" s="1">
        <v>0</v>
      </c>
      <c r="AT657" s="1">
        <f t="shared" si="71"/>
        <v>72667080</v>
      </c>
    </row>
    <row r="658" spans="1:46">
      <c r="A658" s="1" t="str">
        <f>"00746"</f>
        <v>00746</v>
      </c>
      <c r="B658" s="1" t="str">
        <f>"عبدالکريم"</f>
        <v>عبدالکريم</v>
      </c>
      <c r="C658" s="1" t="str">
        <f>"اسفندياري"</f>
        <v>اسفندياري</v>
      </c>
      <c r="D658" s="1" t="str">
        <f>"قراردادي کارگري"</f>
        <v>قراردادي کارگري</v>
      </c>
      <c r="E658" s="1" t="str">
        <f>"پروژه تعميرات نيروگاه بوشهر"</f>
        <v>پروژه تعميرات نيروگاه بوشهر</v>
      </c>
      <c r="F658" s="1">
        <v>7523001</v>
      </c>
      <c r="G658" s="1">
        <v>3749266</v>
      </c>
      <c r="H658" s="1">
        <v>0</v>
      </c>
      <c r="I658" s="1">
        <v>5416561</v>
      </c>
      <c r="J658" s="1">
        <v>0</v>
      </c>
      <c r="K658" s="1">
        <v>0</v>
      </c>
      <c r="L658" s="1">
        <v>3620700</v>
      </c>
      <c r="M658" s="1">
        <v>400000</v>
      </c>
      <c r="N658" s="1">
        <v>3985696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9700222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3081894</v>
      </c>
      <c r="AE658" s="1">
        <v>0</v>
      </c>
      <c r="AF658" s="1">
        <v>4445076</v>
      </c>
      <c r="AG658" s="1">
        <v>0</v>
      </c>
      <c r="AH658" s="1">
        <v>0</v>
      </c>
      <c r="AI658" s="1">
        <v>0</v>
      </c>
      <c r="AJ658" s="1">
        <v>2822977</v>
      </c>
      <c r="AK658" s="1">
        <v>0</v>
      </c>
      <c r="AL658" s="1">
        <v>0</v>
      </c>
      <c r="AM658" s="1">
        <v>0</v>
      </c>
      <c r="AN658" s="1">
        <v>45845393</v>
      </c>
      <c r="AO658" s="1">
        <v>8127427</v>
      </c>
      <c r="AP658" s="1">
        <v>37717966</v>
      </c>
      <c r="AQ658" s="1">
        <v>8280063</v>
      </c>
      <c r="AR658" s="1">
        <v>1242010</v>
      </c>
      <c r="AS658" s="1">
        <v>795000</v>
      </c>
      <c r="AT658" s="1">
        <f t="shared" si="71"/>
        <v>56162466</v>
      </c>
    </row>
    <row r="659" spans="1:46">
      <c r="A659" s="1" t="str">
        <f>"00747"</f>
        <v>00747</v>
      </c>
      <c r="B659" s="1" t="str">
        <f>"محراب"</f>
        <v>محراب</v>
      </c>
      <c r="C659" s="1" t="str">
        <f>"احمدي زاده"</f>
        <v>احمدي زاده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7068195</v>
      </c>
      <c r="G659" s="1">
        <v>6715992</v>
      </c>
      <c r="H659" s="1">
        <v>0</v>
      </c>
      <c r="I659" s="1">
        <v>5654556</v>
      </c>
      <c r="J659" s="1">
        <v>0</v>
      </c>
      <c r="K659" s="1">
        <v>0</v>
      </c>
      <c r="L659" s="1">
        <v>3460800</v>
      </c>
      <c r="M659" s="1">
        <v>400000</v>
      </c>
      <c r="N659" s="1">
        <v>3769703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5631479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34911994</v>
      </c>
      <c r="AO659" s="1">
        <v>6774307</v>
      </c>
      <c r="AP659" s="1">
        <v>28137687</v>
      </c>
      <c r="AQ659" s="1">
        <v>6760145</v>
      </c>
      <c r="AR659" s="1">
        <v>1014022</v>
      </c>
      <c r="AS659" s="1">
        <v>585000</v>
      </c>
      <c r="AT659" s="1">
        <f t="shared" si="71"/>
        <v>43271161</v>
      </c>
    </row>
    <row r="660" spans="1:46">
      <c r="A660" s="1" t="str">
        <f>"00748"</f>
        <v>00748</v>
      </c>
      <c r="B660" s="1" t="str">
        <f>"يعقوب"</f>
        <v>يعقوب</v>
      </c>
      <c r="C660" s="1" t="str">
        <f>"افراز"</f>
        <v>افراز</v>
      </c>
      <c r="D660" s="1" t="str">
        <f>"قراردادي بهره بردار"</f>
        <v>قراردادي بهره بردار</v>
      </c>
      <c r="E660" s="1" t="str">
        <f>"پروژه بهره برداري نيروگاه بوشهر"</f>
        <v>پروژه بهره برداري نيروگاه بوشهر</v>
      </c>
      <c r="F660" s="1">
        <v>7827120</v>
      </c>
      <c r="G660" s="1">
        <v>0</v>
      </c>
      <c r="H660" s="1">
        <v>0</v>
      </c>
      <c r="I660" s="1">
        <v>3738776</v>
      </c>
      <c r="J660" s="1">
        <v>0</v>
      </c>
      <c r="K660" s="1">
        <v>4620000</v>
      </c>
      <c r="L660" s="1">
        <v>0</v>
      </c>
      <c r="M660" s="1">
        <v>400000</v>
      </c>
      <c r="N660" s="1">
        <v>1051878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1442099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751342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1051878</v>
      </c>
      <c r="AM660" s="1">
        <v>0</v>
      </c>
      <c r="AN660" s="1">
        <v>24205631</v>
      </c>
      <c r="AO660" s="1">
        <v>6282278</v>
      </c>
      <c r="AP660" s="1">
        <v>17923353</v>
      </c>
      <c r="AQ660" s="1">
        <v>4396619</v>
      </c>
      <c r="AR660" s="1">
        <v>659493</v>
      </c>
      <c r="AS660" s="1">
        <v>0</v>
      </c>
      <c r="AT660" s="1">
        <f t="shared" si="71"/>
        <v>29261743</v>
      </c>
    </row>
    <row r="661" spans="1:46">
      <c r="A661" s="1" t="str">
        <f>"00749"</f>
        <v>00749</v>
      </c>
      <c r="B661" s="1" t="str">
        <f>"عليرضا"</f>
        <v>عليرضا</v>
      </c>
      <c r="C661" s="1" t="str">
        <f>"بدره"</f>
        <v>بدره</v>
      </c>
      <c r="D661" s="1" t="str">
        <f t="shared" ref="D661:D669" si="73">"قراردادي کارگري"</f>
        <v>قراردادي کارگري</v>
      </c>
      <c r="E661" s="1" t="str">
        <f t="shared" ref="E661:E669" si="74">"پروژه تعميرات نيروگاه بوشهر"</f>
        <v>پروژه تعميرات نيروگاه بوشهر</v>
      </c>
      <c r="F661" s="1">
        <v>5274497</v>
      </c>
      <c r="G661" s="1">
        <v>3319946</v>
      </c>
      <c r="H661" s="1">
        <v>0</v>
      </c>
      <c r="I661" s="1">
        <v>3797638</v>
      </c>
      <c r="J661" s="1">
        <v>0</v>
      </c>
      <c r="K661" s="1">
        <v>0</v>
      </c>
      <c r="L661" s="1">
        <v>3620700</v>
      </c>
      <c r="M661" s="1">
        <v>400000</v>
      </c>
      <c r="N661" s="1">
        <v>2776051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4327066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1111269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25727167</v>
      </c>
      <c r="AO661" s="1">
        <v>3353113</v>
      </c>
      <c r="AP661" s="1">
        <v>22374054</v>
      </c>
      <c r="AQ661" s="1">
        <v>4923180</v>
      </c>
      <c r="AR661" s="1">
        <v>738477</v>
      </c>
      <c r="AS661" s="1">
        <v>795000</v>
      </c>
      <c r="AT661" s="1">
        <f t="shared" si="71"/>
        <v>32183824</v>
      </c>
    </row>
    <row r="662" spans="1:46">
      <c r="A662" s="1" t="str">
        <f>"00750"</f>
        <v>00750</v>
      </c>
      <c r="B662" s="1" t="str">
        <f>"ابوالفضل"</f>
        <v>ابوالفضل</v>
      </c>
      <c r="C662" s="1" t="str">
        <f>"جمالي"</f>
        <v>جمالي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7918677</v>
      </c>
      <c r="G662" s="1">
        <v>809642</v>
      </c>
      <c r="H662" s="1">
        <v>0</v>
      </c>
      <c r="I662" s="1">
        <v>6493315</v>
      </c>
      <c r="J662" s="1">
        <v>0</v>
      </c>
      <c r="K662" s="1">
        <v>0</v>
      </c>
      <c r="L662" s="1">
        <v>3460800</v>
      </c>
      <c r="M662" s="1">
        <v>400000</v>
      </c>
      <c r="N662" s="1">
        <v>4223296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5663061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30068791</v>
      </c>
      <c r="AO662" s="1">
        <v>5844815</v>
      </c>
      <c r="AP662" s="1">
        <v>24223976</v>
      </c>
      <c r="AQ662" s="1">
        <v>6013758</v>
      </c>
      <c r="AR662" s="1">
        <v>902064</v>
      </c>
      <c r="AS662" s="1">
        <v>300000</v>
      </c>
      <c r="AT662" s="1">
        <f t="shared" si="71"/>
        <v>37284613</v>
      </c>
    </row>
    <row r="663" spans="1:46">
      <c r="A663" s="1" t="str">
        <f>"00751"</f>
        <v>00751</v>
      </c>
      <c r="B663" s="1" t="str">
        <f>"علي اصغر"</f>
        <v>علي اصغر</v>
      </c>
      <c r="C663" s="1" t="str">
        <f>"رستمي پور"</f>
        <v>رستمي پور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8401383</v>
      </c>
      <c r="G663" s="1">
        <v>215387</v>
      </c>
      <c r="H663" s="1">
        <v>0</v>
      </c>
      <c r="I663" s="1">
        <v>6889134</v>
      </c>
      <c r="J663" s="1">
        <v>0</v>
      </c>
      <c r="K663" s="1">
        <v>0</v>
      </c>
      <c r="L663" s="1">
        <v>3460800</v>
      </c>
      <c r="M663" s="1">
        <v>400000</v>
      </c>
      <c r="N663" s="1">
        <v>4480736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6306674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2222538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33476652</v>
      </c>
      <c r="AO663" s="1">
        <v>5010945</v>
      </c>
      <c r="AP663" s="1">
        <v>28465707</v>
      </c>
      <c r="AQ663" s="1">
        <v>6250823</v>
      </c>
      <c r="AR663" s="1">
        <v>937623</v>
      </c>
      <c r="AS663" s="1">
        <v>1060000</v>
      </c>
      <c r="AT663" s="1">
        <f t="shared" si="71"/>
        <v>41725098</v>
      </c>
    </row>
    <row r="664" spans="1:46">
      <c r="A664" s="1" t="str">
        <f>"00752"</f>
        <v>00752</v>
      </c>
      <c r="B664" s="1" t="str">
        <f>"سجاد"</f>
        <v>سجاد</v>
      </c>
      <c r="C664" s="1" t="str">
        <f>"رضائيان"</f>
        <v>رضائيان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7740535</v>
      </c>
      <c r="G664" s="1">
        <v>13495827</v>
      </c>
      <c r="H664" s="1">
        <v>0</v>
      </c>
      <c r="I664" s="1">
        <v>6347239</v>
      </c>
      <c r="J664" s="1">
        <v>0</v>
      </c>
      <c r="K664" s="1">
        <v>0</v>
      </c>
      <c r="L664" s="1">
        <v>3460800</v>
      </c>
      <c r="M664" s="1">
        <v>400000</v>
      </c>
      <c r="N664" s="1">
        <v>4128286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7242769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2222538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46137994</v>
      </c>
      <c r="AO664" s="1">
        <v>8149374</v>
      </c>
      <c r="AP664" s="1">
        <v>37988620</v>
      </c>
      <c r="AQ664" s="1">
        <v>8783091</v>
      </c>
      <c r="AR664" s="1">
        <v>1317464</v>
      </c>
      <c r="AS664" s="1">
        <v>0</v>
      </c>
      <c r="AT664" s="1">
        <f t="shared" si="71"/>
        <v>56238549</v>
      </c>
    </row>
    <row r="665" spans="1:46">
      <c r="A665" s="1" t="str">
        <f>"00753"</f>
        <v>00753</v>
      </c>
      <c r="B665" s="1" t="str">
        <f>"احمد"</f>
        <v>احمد</v>
      </c>
      <c r="C665" s="1" t="str">
        <f>"كرمي"</f>
        <v>كرمي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7091181</v>
      </c>
      <c r="G665" s="1">
        <v>12540442</v>
      </c>
      <c r="H665" s="1">
        <v>0</v>
      </c>
      <c r="I665" s="1">
        <v>5814768</v>
      </c>
      <c r="J665" s="1">
        <v>0</v>
      </c>
      <c r="K665" s="1">
        <v>0</v>
      </c>
      <c r="L665" s="1">
        <v>3460800</v>
      </c>
      <c r="M665" s="1">
        <v>400000</v>
      </c>
      <c r="N665" s="1">
        <v>3781964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5520422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40820846</v>
      </c>
      <c r="AO665" s="1">
        <v>5843336</v>
      </c>
      <c r="AP665" s="1">
        <v>34977510</v>
      </c>
      <c r="AQ665" s="1">
        <v>7941915</v>
      </c>
      <c r="AR665" s="1">
        <v>1191287</v>
      </c>
      <c r="AS665" s="1">
        <v>795000</v>
      </c>
      <c r="AT665" s="1">
        <f t="shared" si="71"/>
        <v>50749048</v>
      </c>
    </row>
    <row r="666" spans="1:46">
      <c r="A666" s="1" t="str">
        <f>"00754"</f>
        <v>00754</v>
      </c>
      <c r="B666" s="1" t="str">
        <f>"احمد"</f>
        <v>احمد</v>
      </c>
      <c r="C666" s="1" t="str">
        <f>"كره بندي"</f>
        <v>كره بندي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7257829</v>
      </c>
      <c r="G666" s="1">
        <v>3599194</v>
      </c>
      <c r="H666" s="1">
        <v>0</v>
      </c>
      <c r="I666" s="1">
        <v>5806264</v>
      </c>
      <c r="J666" s="1">
        <v>0</v>
      </c>
      <c r="K666" s="1">
        <v>0</v>
      </c>
      <c r="L666" s="1">
        <v>3460800</v>
      </c>
      <c r="M666" s="1">
        <v>400000</v>
      </c>
      <c r="N666" s="1">
        <v>3870842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5583413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31078342</v>
      </c>
      <c r="AO666" s="1">
        <v>5647828</v>
      </c>
      <c r="AP666" s="1">
        <v>25430514</v>
      </c>
      <c r="AQ666" s="1">
        <v>6215668</v>
      </c>
      <c r="AR666" s="1">
        <v>932350</v>
      </c>
      <c r="AS666" s="1">
        <v>300000</v>
      </c>
      <c r="AT666" s="1">
        <f t="shared" si="71"/>
        <v>38526360</v>
      </c>
    </row>
    <row r="667" spans="1:46">
      <c r="A667" s="1" t="str">
        <f>"00756"</f>
        <v>00756</v>
      </c>
      <c r="B667" s="1" t="str">
        <f>"محمد مهدي"</f>
        <v>محمد مهدي</v>
      </c>
      <c r="C667" s="1" t="str">
        <f>"نعيمي محمد آبادي"</f>
        <v>نعيمي محمد آبادي</v>
      </c>
      <c r="D667" s="1" t="str">
        <f t="shared" si="73"/>
        <v>قراردادي کارگري</v>
      </c>
      <c r="E667" s="1" t="str">
        <f t="shared" si="74"/>
        <v>پروژه تعميرات نيروگاه بوشهر</v>
      </c>
      <c r="F667" s="1">
        <v>7700310</v>
      </c>
      <c r="G667" s="1">
        <v>4705943</v>
      </c>
      <c r="H667" s="1">
        <v>0</v>
      </c>
      <c r="I667" s="1">
        <v>6314254</v>
      </c>
      <c r="J667" s="1">
        <v>0</v>
      </c>
      <c r="K667" s="1">
        <v>0</v>
      </c>
      <c r="L667" s="1">
        <v>3460800</v>
      </c>
      <c r="M667" s="1">
        <v>400000</v>
      </c>
      <c r="N667" s="1">
        <v>4106832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5308905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1111269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34208313</v>
      </c>
      <c r="AO667" s="1">
        <v>4932431</v>
      </c>
      <c r="AP667" s="1">
        <v>29275882</v>
      </c>
      <c r="AQ667" s="1">
        <v>6619409</v>
      </c>
      <c r="AR667" s="1">
        <v>992911</v>
      </c>
      <c r="AS667" s="1">
        <v>795000</v>
      </c>
      <c r="AT667" s="1">
        <f t="shared" si="71"/>
        <v>42615633</v>
      </c>
    </row>
    <row r="668" spans="1:46">
      <c r="A668" s="1" t="str">
        <f>"00757"</f>
        <v>00757</v>
      </c>
      <c r="B668" s="1" t="str">
        <f>"عباس"</f>
        <v>عباس</v>
      </c>
      <c r="C668" s="1" t="str">
        <f>"جوکار"</f>
        <v>جوکار</v>
      </c>
      <c r="D668" s="1" t="str">
        <f t="shared" si="73"/>
        <v>قراردادي کارگري</v>
      </c>
      <c r="E668" s="1" t="str">
        <f t="shared" si="74"/>
        <v>پروژه تعميرات نيروگاه بوشهر</v>
      </c>
      <c r="F668" s="1">
        <v>7091181</v>
      </c>
      <c r="G668" s="1">
        <v>3821001</v>
      </c>
      <c r="H668" s="1">
        <v>0</v>
      </c>
      <c r="I668" s="1">
        <v>5672945</v>
      </c>
      <c r="J668" s="1">
        <v>0</v>
      </c>
      <c r="K668" s="1">
        <v>0</v>
      </c>
      <c r="L668" s="1">
        <v>3460800</v>
      </c>
      <c r="M668" s="1">
        <v>400000</v>
      </c>
      <c r="N668" s="1">
        <v>3781964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4946584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30274475</v>
      </c>
      <c r="AO668" s="1">
        <v>9654803</v>
      </c>
      <c r="AP668" s="1">
        <v>20619672</v>
      </c>
      <c r="AQ668" s="1">
        <v>6054895</v>
      </c>
      <c r="AR668" s="1">
        <v>908234</v>
      </c>
      <c r="AS668" s="1">
        <v>300000</v>
      </c>
      <c r="AT668" s="1">
        <f t="shared" si="71"/>
        <v>37537604</v>
      </c>
    </row>
    <row r="669" spans="1:46">
      <c r="A669" s="1" t="str">
        <f>"00758"</f>
        <v>00758</v>
      </c>
      <c r="B669" s="1" t="str">
        <f>"حسين"</f>
        <v>حسين</v>
      </c>
      <c r="C669" s="1" t="str">
        <f>"شنبدي"</f>
        <v>شنبدي</v>
      </c>
      <c r="D669" s="1" t="str">
        <f t="shared" si="73"/>
        <v>قراردادي کارگري</v>
      </c>
      <c r="E669" s="1" t="str">
        <f t="shared" si="74"/>
        <v>پروژه تعميرات نيروگاه بوشهر</v>
      </c>
      <c r="F669" s="1">
        <v>6291965</v>
      </c>
      <c r="G669" s="1">
        <v>1735071</v>
      </c>
      <c r="H669" s="1">
        <v>0</v>
      </c>
      <c r="I669" s="1">
        <v>4656054</v>
      </c>
      <c r="J669" s="1">
        <v>0</v>
      </c>
      <c r="K669" s="1">
        <v>0</v>
      </c>
      <c r="L669" s="1">
        <v>3620700</v>
      </c>
      <c r="M669" s="1">
        <v>400000</v>
      </c>
      <c r="N669" s="1">
        <v>3333491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8536972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2685331</v>
      </c>
      <c r="AE669" s="1">
        <v>0</v>
      </c>
      <c r="AF669" s="1">
        <v>2222538</v>
      </c>
      <c r="AG669" s="1">
        <v>0</v>
      </c>
      <c r="AH669" s="1">
        <v>0</v>
      </c>
      <c r="AI669" s="1">
        <v>0</v>
      </c>
      <c r="AJ669" s="1">
        <v>3701485</v>
      </c>
      <c r="AK669" s="1">
        <v>0</v>
      </c>
      <c r="AL669" s="1">
        <v>0</v>
      </c>
      <c r="AM669" s="1">
        <v>0</v>
      </c>
      <c r="AN669" s="1">
        <v>38283607</v>
      </c>
      <c r="AO669" s="1">
        <v>5824514</v>
      </c>
      <c r="AP669" s="1">
        <v>32459093</v>
      </c>
      <c r="AQ669" s="1">
        <v>7212214</v>
      </c>
      <c r="AR669" s="1">
        <v>1081832</v>
      </c>
      <c r="AS669" s="1">
        <v>530000</v>
      </c>
      <c r="AT669" s="1">
        <f t="shared" si="71"/>
        <v>47107653</v>
      </c>
    </row>
    <row r="670" spans="1:46">
      <c r="A670" s="1" t="str">
        <f>"00759"</f>
        <v>00759</v>
      </c>
      <c r="B670" s="1" t="str">
        <f>"داريوش"</f>
        <v>داريوش</v>
      </c>
      <c r="C670" s="1" t="str">
        <f>"گرگين"</f>
        <v>گرگين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21851520</v>
      </c>
      <c r="G670" s="1">
        <v>49201416</v>
      </c>
      <c r="H670" s="1">
        <v>0</v>
      </c>
      <c r="I670" s="1">
        <v>16405029</v>
      </c>
      <c r="J670" s="1">
        <v>0</v>
      </c>
      <c r="K670" s="1">
        <v>5500000</v>
      </c>
      <c r="L670" s="1">
        <v>0</v>
      </c>
      <c r="M670" s="1">
        <v>400000</v>
      </c>
      <c r="N670" s="1">
        <v>3461741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8577487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2472672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3461741</v>
      </c>
      <c r="AM670" s="1">
        <v>0</v>
      </c>
      <c r="AN670" s="1">
        <v>115765413</v>
      </c>
      <c r="AO670" s="1">
        <v>20564182</v>
      </c>
      <c r="AP670" s="1">
        <v>95201231</v>
      </c>
      <c r="AQ670" s="1">
        <v>15557766</v>
      </c>
      <c r="AR670" s="1">
        <v>2333665</v>
      </c>
      <c r="AS670" s="1">
        <v>0</v>
      </c>
      <c r="AT670" s="1">
        <f t="shared" si="71"/>
        <v>133656844</v>
      </c>
    </row>
    <row r="671" spans="1:46">
      <c r="A671" s="1" t="str">
        <f>"00760"</f>
        <v>00760</v>
      </c>
      <c r="B671" s="1" t="str">
        <f>"محمدرضا"</f>
        <v>محمدرضا</v>
      </c>
      <c r="C671" s="1" t="str">
        <f>"ميهن دوست"</f>
        <v>ميهن دوست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8717441</v>
      </c>
      <c r="G671" s="1">
        <v>5297315</v>
      </c>
      <c r="H671" s="1">
        <v>0</v>
      </c>
      <c r="I671" s="1">
        <v>7496999</v>
      </c>
      <c r="J671" s="1">
        <v>0</v>
      </c>
      <c r="K671" s="1">
        <v>0</v>
      </c>
      <c r="L671" s="1">
        <v>3460800</v>
      </c>
      <c r="M671" s="1">
        <v>400000</v>
      </c>
      <c r="N671" s="1">
        <v>4649302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2582454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1111269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34815580</v>
      </c>
      <c r="AO671" s="1">
        <v>6344452</v>
      </c>
      <c r="AP671" s="1">
        <v>28471128</v>
      </c>
      <c r="AQ671" s="1">
        <v>6740862</v>
      </c>
      <c r="AR671" s="1">
        <v>1011129</v>
      </c>
      <c r="AS671" s="1">
        <v>795000</v>
      </c>
      <c r="AT671" s="1">
        <f t="shared" si="71"/>
        <v>43362571</v>
      </c>
    </row>
    <row r="672" spans="1:46">
      <c r="A672" s="1" t="str">
        <f>"00761"</f>
        <v>00761</v>
      </c>
      <c r="B672" s="1" t="str">
        <f>"محمود"</f>
        <v>محمود</v>
      </c>
      <c r="C672" s="1" t="str">
        <f>"كره بندي"</f>
        <v>كره بندي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7389564</v>
      </c>
      <c r="G672" s="1">
        <v>5423191</v>
      </c>
      <c r="H672" s="1">
        <v>0</v>
      </c>
      <c r="I672" s="1">
        <v>4581530</v>
      </c>
      <c r="J672" s="1">
        <v>0</v>
      </c>
      <c r="K672" s="1">
        <v>0</v>
      </c>
      <c r="L672" s="1">
        <v>4880700</v>
      </c>
      <c r="M672" s="1">
        <v>400000</v>
      </c>
      <c r="N672" s="1">
        <v>3694783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6999788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3081987</v>
      </c>
      <c r="AE672" s="1">
        <v>0</v>
      </c>
      <c r="AF672" s="1">
        <v>3333807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40885350</v>
      </c>
      <c r="AO672" s="1">
        <v>9825284</v>
      </c>
      <c r="AP672" s="1">
        <v>31060066</v>
      </c>
      <c r="AQ672" s="1">
        <v>7510309</v>
      </c>
      <c r="AR672" s="1">
        <v>1126546</v>
      </c>
      <c r="AS672" s="1">
        <v>795000</v>
      </c>
      <c r="AT672" s="1">
        <f t="shared" si="71"/>
        <v>50317205</v>
      </c>
    </row>
    <row r="673" spans="1:46">
      <c r="A673" s="1" t="str">
        <f>"00762"</f>
        <v>00762</v>
      </c>
      <c r="B673" s="1" t="str">
        <f>"صديقه"</f>
        <v>صديقه</v>
      </c>
      <c r="C673" s="1" t="str">
        <f>"سالمي زاده"</f>
        <v>سالمي زاده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9167050</v>
      </c>
      <c r="G673" s="1">
        <v>576862</v>
      </c>
      <c r="H673" s="1">
        <v>0</v>
      </c>
      <c r="I673" s="1">
        <v>6928705</v>
      </c>
      <c r="J673" s="1">
        <v>0</v>
      </c>
      <c r="K673" s="1">
        <v>2475000</v>
      </c>
      <c r="L673" s="1">
        <v>0</v>
      </c>
      <c r="M673" s="1">
        <v>240000</v>
      </c>
      <c r="N673" s="1">
        <v>1514099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3095708</v>
      </c>
      <c r="W673" s="1">
        <v>660000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1081499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1946699</v>
      </c>
      <c r="AM673" s="1">
        <v>0</v>
      </c>
      <c r="AN673" s="1">
        <v>27685622</v>
      </c>
      <c r="AO673" s="1">
        <v>7045185</v>
      </c>
      <c r="AP673" s="1">
        <v>20640437</v>
      </c>
      <c r="AQ673" s="1">
        <v>5537124</v>
      </c>
      <c r="AR673" s="1">
        <v>830569</v>
      </c>
      <c r="AS673" s="1">
        <v>0</v>
      </c>
      <c r="AT673" s="1">
        <f t="shared" si="71"/>
        <v>34053315</v>
      </c>
    </row>
    <row r="674" spans="1:46">
      <c r="A674" s="1" t="str">
        <f>"00763"</f>
        <v>00763</v>
      </c>
      <c r="B674" s="1" t="str">
        <f>"داوود"</f>
        <v>داوود</v>
      </c>
      <c r="C674" s="1" t="str">
        <f>"حاجي نژاد"</f>
        <v>حاجي نژاد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15006305</v>
      </c>
      <c r="G674" s="1">
        <v>6902286</v>
      </c>
      <c r="H674" s="1">
        <v>0</v>
      </c>
      <c r="I674" s="1">
        <v>11814367</v>
      </c>
      <c r="J674" s="1">
        <v>0</v>
      </c>
      <c r="K674" s="1">
        <v>5500000</v>
      </c>
      <c r="L674" s="1">
        <v>0</v>
      </c>
      <c r="M674" s="1">
        <v>400000</v>
      </c>
      <c r="N674" s="1">
        <v>2479224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1270000</v>
      </c>
      <c r="U674" s="1">
        <v>0</v>
      </c>
      <c r="V674" s="1">
        <v>12009094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1770874</v>
      </c>
      <c r="AF674" s="1">
        <v>2222538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4250098</v>
      </c>
      <c r="AM674" s="1">
        <v>0</v>
      </c>
      <c r="AN674" s="1">
        <v>64724786</v>
      </c>
      <c r="AO674" s="1">
        <v>12265937</v>
      </c>
      <c r="AP674" s="1">
        <v>52458849</v>
      </c>
      <c r="AQ674" s="1">
        <v>12246450</v>
      </c>
      <c r="AR674" s="1">
        <v>1836967</v>
      </c>
      <c r="AS674" s="1">
        <v>0</v>
      </c>
      <c r="AT674" s="1">
        <f t="shared" si="71"/>
        <v>78808203</v>
      </c>
    </row>
    <row r="675" spans="1:46">
      <c r="A675" s="1" t="str">
        <f>"00765"</f>
        <v>00765</v>
      </c>
      <c r="B675" s="1" t="str">
        <f>"فرخ"</f>
        <v>فرخ</v>
      </c>
      <c r="C675" s="1" t="str">
        <f>"يگانه"</f>
        <v>يگانه</v>
      </c>
      <c r="D675" s="1" t="str">
        <f>"قراردادي کارگري"</f>
        <v>قراردادي کارگري</v>
      </c>
      <c r="E675" s="1" t="str">
        <f>"پروژه تعميرات نيروگاه بوشهر"</f>
        <v>پروژه تعميرات نيروگاه بوشهر</v>
      </c>
      <c r="F675" s="1">
        <v>7759739</v>
      </c>
      <c r="G675" s="1">
        <v>10131081</v>
      </c>
      <c r="H675" s="1">
        <v>0</v>
      </c>
      <c r="I675" s="1">
        <v>5587012</v>
      </c>
      <c r="J675" s="1">
        <v>0</v>
      </c>
      <c r="K675" s="1">
        <v>0</v>
      </c>
      <c r="L675" s="1">
        <v>3620700</v>
      </c>
      <c r="M675" s="1">
        <v>400000</v>
      </c>
      <c r="N675" s="1">
        <v>4111120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5136625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2222538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40068815</v>
      </c>
      <c r="AO675" s="1">
        <v>8709912</v>
      </c>
      <c r="AP675" s="1">
        <v>31358903</v>
      </c>
      <c r="AQ675" s="1">
        <v>7569255</v>
      </c>
      <c r="AR675" s="1">
        <v>1135388</v>
      </c>
      <c r="AS675" s="1">
        <v>1060000</v>
      </c>
      <c r="AT675" s="1">
        <f t="shared" si="71"/>
        <v>49833458</v>
      </c>
    </row>
    <row r="676" spans="1:46">
      <c r="A676" s="1" t="str">
        <f>"00767"</f>
        <v>00767</v>
      </c>
      <c r="B676" s="1" t="str">
        <f>"محمد سعيد"</f>
        <v>محمد سعيد</v>
      </c>
      <c r="C676" s="1" t="str">
        <f>"احتشامي نيا"</f>
        <v>احتشامي نيا</v>
      </c>
      <c r="D676" s="1" t="str">
        <f t="shared" ref="D676:D687" si="75">"قراردادي بهره بردار"</f>
        <v>قراردادي بهره بردار</v>
      </c>
      <c r="E676" s="1" t="str">
        <f t="shared" ref="E676:E687" si="76">"پروژه بهره برداري نيروگاه بوشهر"</f>
        <v>پروژه بهره برداري نيروگاه بوشهر</v>
      </c>
      <c r="F676" s="1">
        <v>11490972</v>
      </c>
      <c r="G676" s="1">
        <v>13854129</v>
      </c>
      <c r="H676" s="1">
        <v>0</v>
      </c>
      <c r="I676" s="1">
        <v>9502349</v>
      </c>
      <c r="J676" s="1">
        <v>0</v>
      </c>
      <c r="K676" s="1">
        <v>3465000</v>
      </c>
      <c r="L676" s="1">
        <v>0</v>
      </c>
      <c r="M676" s="1">
        <v>400000</v>
      </c>
      <c r="N676" s="1">
        <v>2124145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1270000</v>
      </c>
      <c r="U676" s="1">
        <v>0</v>
      </c>
      <c r="V676" s="1">
        <v>10520459</v>
      </c>
      <c r="W676" s="1">
        <v>1100000</v>
      </c>
      <c r="X676" s="1">
        <v>1723646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1517245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9030756</v>
      </c>
      <c r="AM676" s="1">
        <v>0</v>
      </c>
      <c r="AN676" s="1">
        <v>65998701</v>
      </c>
      <c r="AO676" s="1">
        <v>9518422</v>
      </c>
      <c r="AP676" s="1">
        <v>56480279</v>
      </c>
      <c r="AQ676" s="1">
        <v>12945740</v>
      </c>
      <c r="AR676" s="1">
        <v>1941861</v>
      </c>
      <c r="AS676" s="1">
        <v>0</v>
      </c>
      <c r="AT676" s="1">
        <f t="shared" si="71"/>
        <v>80886302</v>
      </c>
    </row>
    <row r="677" spans="1:46">
      <c r="A677" s="1" t="str">
        <f>"00768"</f>
        <v>00768</v>
      </c>
      <c r="B677" s="1" t="str">
        <f>"کسري"</f>
        <v>کسري</v>
      </c>
      <c r="C677" s="1" t="str">
        <f>"اشتري"</f>
        <v>اشتري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11133016</v>
      </c>
      <c r="G677" s="1">
        <v>4753521</v>
      </c>
      <c r="H677" s="1">
        <v>0</v>
      </c>
      <c r="I677" s="1">
        <v>8246739</v>
      </c>
      <c r="J677" s="1">
        <v>0</v>
      </c>
      <c r="K677" s="1">
        <v>3465000</v>
      </c>
      <c r="L677" s="1">
        <v>0</v>
      </c>
      <c r="M677" s="1">
        <v>400000</v>
      </c>
      <c r="N677" s="1">
        <v>1963869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1270000</v>
      </c>
      <c r="U677" s="1">
        <v>0</v>
      </c>
      <c r="V677" s="1">
        <v>6652158</v>
      </c>
      <c r="W677" s="1">
        <v>1100000</v>
      </c>
      <c r="X677" s="1">
        <v>1669952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1402764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6818759</v>
      </c>
      <c r="AM677" s="1">
        <v>0</v>
      </c>
      <c r="AN677" s="1">
        <v>48875778</v>
      </c>
      <c r="AO677" s="1">
        <v>8286436</v>
      </c>
      <c r="AP677" s="1">
        <v>40589342</v>
      </c>
      <c r="AQ677" s="1">
        <v>9521156</v>
      </c>
      <c r="AR677" s="1">
        <v>1428173</v>
      </c>
      <c r="AS677" s="1">
        <v>0</v>
      </c>
      <c r="AT677" s="1">
        <f t="shared" si="71"/>
        <v>59825107</v>
      </c>
    </row>
    <row r="678" spans="1:46">
      <c r="A678" s="1" t="str">
        <f>"00769"</f>
        <v>00769</v>
      </c>
      <c r="B678" s="1" t="str">
        <f>"مرتضي"</f>
        <v>مرتضي</v>
      </c>
      <c r="C678" s="1" t="str">
        <f>"ايمري"</f>
        <v>ايمري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11055695</v>
      </c>
      <c r="G678" s="1">
        <v>2764428</v>
      </c>
      <c r="H678" s="1">
        <v>0</v>
      </c>
      <c r="I678" s="1">
        <v>8080642</v>
      </c>
      <c r="J678" s="1">
        <v>0</v>
      </c>
      <c r="K678" s="1">
        <v>4620000</v>
      </c>
      <c r="L678" s="1">
        <v>0</v>
      </c>
      <c r="M678" s="1">
        <v>400000</v>
      </c>
      <c r="N678" s="1">
        <v>1962629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12718250</v>
      </c>
      <c r="W678" s="1">
        <v>1100000</v>
      </c>
      <c r="X678" s="1">
        <v>1535793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1401878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6905516</v>
      </c>
      <c r="AM678" s="1">
        <v>0</v>
      </c>
      <c r="AN678" s="1">
        <v>52544831</v>
      </c>
      <c r="AO678" s="1">
        <v>12372895</v>
      </c>
      <c r="AP678" s="1">
        <v>40171936</v>
      </c>
      <c r="AQ678" s="1">
        <v>10508966</v>
      </c>
      <c r="AR678" s="1">
        <v>1576345</v>
      </c>
      <c r="AS678" s="1">
        <v>0</v>
      </c>
      <c r="AT678" s="1">
        <f t="shared" si="71"/>
        <v>64630142</v>
      </c>
    </row>
    <row r="679" spans="1:46">
      <c r="A679" s="1" t="str">
        <f>"00770"</f>
        <v>00770</v>
      </c>
      <c r="B679" s="1" t="str">
        <f>"حميد"</f>
        <v>حميد</v>
      </c>
      <c r="C679" s="1" t="str">
        <f>"آل عبدي"</f>
        <v>آل عبدي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15432552</v>
      </c>
      <c r="G679" s="1">
        <v>7083229</v>
      </c>
      <c r="H679" s="1">
        <v>0</v>
      </c>
      <c r="I679" s="1">
        <v>12125720</v>
      </c>
      <c r="J679" s="1">
        <v>0</v>
      </c>
      <c r="K679" s="1">
        <v>5500000</v>
      </c>
      <c r="L679" s="1">
        <v>0</v>
      </c>
      <c r="M679" s="1">
        <v>400000</v>
      </c>
      <c r="N679" s="1">
        <v>2636950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8095119</v>
      </c>
      <c r="W679" s="1">
        <v>1100000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1883535</v>
      </c>
      <c r="AF679" s="1">
        <v>1111269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8396838</v>
      </c>
      <c r="AM679" s="1">
        <v>0</v>
      </c>
      <c r="AN679" s="1">
        <v>63765212</v>
      </c>
      <c r="AO679" s="1">
        <v>8266989</v>
      </c>
      <c r="AP679" s="1">
        <v>55498223</v>
      </c>
      <c r="AQ679" s="1">
        <v>12530789</v>
      </c>
      <c r="AR679" s="1">
        <v>1879618</v>
      </c>
      <c r="AS679" s="1">
        <v>0</v>
      </c>
      <c r="AT679" s="1">
        <f t="shared" si="71"/>
        <v>78175619</v>
      </c>
    </row>
    <row r="680" spans="1:46">
      <c r="A680" s="1" t="str">
        <f>"00771"</f>
        <v>00771</v>
      </c>
      <c r="B680" s="1" t="str">
        <f>"عبيد"</f>
        <v>عبيد</v>
      </c>
      <c r="C680" s="1" t="str">
        <f>"بابائي"</f>
        <v>بابائي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11112690</v>
      </c>
      <c r="G680" s="1">
        <v>972360</v>
      </c>
      <c r="H680" s="1">
        <v>0</v>
      </c>
      <c r="I680" s="1">
        <v>0</v>
      </c>
      <c r="J680" s="1">
        <v>0</v>
      </c>
      <c r="K680" s="1">
        <v>6930000</v>
      </c>
      <c r="L680" s="1">
        <v>0</v>
      </c>
      <c r="M680" s="1">
        <v>400000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1270000</v>
      </c>
      <c r="U680" s="1">
        <v>0</v>
      </c>
      <c r="V680" s="1">
        <v>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21785050</v>
      </c>
      <c r="AO680" s="1">
        <v>1966054</v>
      </c>
      <c r="AP680" s="1">
        <v>19818996</v>
      </c>
      <c r="AQ680" s="1">
        <v>4103010</v>
      </c>
      <c r="AR680" s="1">
        <v>615452</v>
      </c>
      <c r="AS680" s="1">
        <v>265000</v>
      </c>
      <c r="AT680" s="1">
        <f t="shared" si="71"/>
        <v>26768512</v>
      </c>
    </row>
    <row r="681" spans="1:46">
      <c r="A681" s="1" t="str">
        <f>"00772"</f>
        <v>00772</v>
      </c>
      <c r="B681" s="1" t="str">
        <f>"عباس"</f>
        <v>عباس</v>
      </c>
      <c r="C681" s="1" t="str">
        <f>"بيات"</f>
        <v>بيات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11495790</v>
      </c>
      <c r="G681" s="1">
        <v>7459203</v>
      </c>
      <c r="H681" s="1">
        <v>0</v>
      </c>
      <c r="I681" s="1">
        <v>9769698</v>
      </c>
      <c r="J681" s="1">
        <v>0</v>
      </c>
      <c r="K681" s="1">
        <v>4620000</v>
      </c>
      <c r="L681" s="1">
        <v>0</v>
      </c>
      <c r="M681" s="1">
        <v>400000</v>
      </c>
      <c r="N681" s="1">
        <v>2127140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10525148</v>
      </c>
      <c r="W681" s="1">
        <v>1100000</v>
      </c>
      <c r="X681" s="1">
        <v>1621566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1519385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9040077</v>
      </c>
      <c r="AM681" s="1">
        <v>0</v>
      </c>
      <c r="AN681" s="1">
        <v>62059276</v>
      </c>
      <c r="AO681" s="1">
        <v>10934079</v>
      </c>
      <c r="AP681" s="1">
        <v>51125197</v>
      </c>
      <c r="AQ681" s="1">
        <v>11935601</v>
      </c>
      <c r="AR681" s="1">
        <v>1790340</v>
      </c>
      <c r="AS681" s="1">
        <v>0</v>
      </c>
      <c r="AT681" s="1">
        <f t="shared" si="71"/>
        <v>75785217</v>
      </c>
    </row>
    <row r="682" spans="1:46">
      <c r="A682" s="1" t="str">
        <f>"00773"</f>
        <v>00773</v>
      </c>
      <c r="B682" s="1" t="str">
        <f>"بهنام"</f>
        <v>بهنام</v>
      </c>
      <c r="C682" s="1" t="str">
        <f>"داسمه"</f>
        <v>داسمه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11839050</v>
      </c>
      <c r="G682" s="1">
        <v>7702664</v>
      </c>
      <c r="H682" s="1">
        <v>0</v>
      </c>
      <c r="I682" s="1">
        <v>9881427</v>
      </c>
      <c r="J682" s="1">
        <v>0</v>
      </c>
      <c r="K682" s="1">
        <v>4620000</v>
      </c>
      <c r="L682" s="1">
        <v>0</v>
      </c>
      <c r="M682" s="1">
        <v>400000</v>
      </c>
      <c r="N682" s="1">
        <v>2253830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10868679</v>
      </c>
      <c r="W682" s="1">
        <v>1100000</v>
      </c>
      <c r="X682" s="1">
        <v>1775858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1609878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9476067</v>
      </c>
      <c r="AM682" s="1">
        <v>0</v>
      </c>
      <c r="AN682" s="1">
        <v>62797453</v>
      </c>
      <c r="AO682" s="1">
        <v>14292137</v>
      </c>
      <c r="AP682" s="1">
        <v>48505316</v>
      </c>
      <c r="AQ682" s="1">
        <v>12305491</v>
      </c>
      <c r="AR682" s="1">
        <v>1845824</v>
      </c>
      <c r="AS682" s="1">
        <v>0</v>
      </c>
      <c r="AT682" s="1">
        <f t="shared" si="71"/>
        <v>76948768</v>
      </c>
    </row>
    <row r="683" spans="1:46">
      <c r="A683" s="1" t="str">
        <f>"00774"</f>
        <v>00774</v>
      </c>
      <c r="B683" s="1" t="str">
        <f>"رضا"</f>
        <v>رضا</v>
      </c>
      <c r="C683" s="1" t="str">
        <f>"درکهء"</f>
        <v>درکهء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10825167</v>
      </c>
      <c r="G683" s="1">
        <v>5814381</v>
      </c>
      <c r="H683" s="1">
        <v>0</v>
      </c>
      <c r="I683" s="1">
        <v>7941923</v>
      </c>
      <c r="J683" s="1">
        <v>0</v>
      </c>
      <c r="K683" s="1">
        <v>4620000</v>
      </c>
      <c r="L683" s="1">
        <v>0</v>
      </c>
      <c r="M683" s="1">
        <v>400000</v>
      </c>
      <c r="N683" s="1">
        <v>1843398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7716371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1316714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3581460</v>
      </c>
      <c r="AM683" s="1">
        <v>0</v>
      </c>
      <c r="AN683" s="1">
        <v>46429414</v>
      </c>
      <c r="AO683" s="1">
        <v>9903456</v>
      </c>
      <c r="AP683" s="1">
        <v>36525958</v>
      </c>
      <c r="AQ683" s="1">
        <v>9031883</v>
      </c>
      <c r="AR683" s="1">
        <v>1354782</v>
      </c>
      <c r="AS683" s="1">
        <v>0</v>
      </c>
      <c r="AT683" s="1">
        <f t="shared" si="71"/>
        <v>56816079</v>
      </c>
    </row>
    <row r="684" spans="1:46">
      <c r="A684" s="1" t="str">
        <f>"00775"</f>
        <v>00775</v>
      </c>
      <c r="B684" s="1" t="str">
        <f>"محسن"</f>
        <v>محسن</v>
      </c>
      <c r="C684" s="1" t="str">
        <f>"رشيدي کوچي"</f>
        <v>رشيدي کوچي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11529733</v>
      </c>
      <c r="G684" s="1">
        <v>4037155</v>
      </c>
      <c r="H684" s="1">
        <v>0</v>
      </c>
      <c r="I684" s="1">
        <v>9448344</v>
      </c>
      <c r="J684" s="1">
        <v>0</v>
      </c>
      <c r="K684" s="1">
        <v>4620000</v>
      </c>
      <c r="L684" s="1">
        <v>0</v>
      </c>
      <c r="M684" s="1">
        <v>400000</v>
      </c>
      <c r="N684" s="1">
        <v>2117315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9979311</v>
      </c>
      <c r="W684" s="1">
        <v>1100000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1512368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4960567</v>
      </c>
      <c r="AM684" s="1">
        <v>0</v>
      </c>
      <c r="AN684" s="1">
        <v>50974793</v>
      </c>
      <c r="AO684" s="1">
        <v>10075857</v>
      </c>
      <c r="AP684" s="1">
        <v>40898936</v>
      </c>
      <c r="AQ684" s="1">
        <v>9940959</v>
      </c>
      <c r="AR684" s="1">
        <v>1491144</v>
      </c>
      <c r="AS684" s="1">
        <v>0</v>
      </c>
      <c r="AT684" s="1">
        <f t="shared" si="71"/>
        <v>62406896</v>
      </c>
    </row>
    <row r="685" spans="1:46">
      <c r="A685" s="1" t="str">
        <f>"00776"</f>
        <v>00776</v>
      </c>
      <c r="B685" s="1" t="str">
        <f>"مرتضي"</f>
        <v>مرتضي</v>
      </c>
      <c r="C685" s="1" t="str">
        <f>"زائري"</f>
        <v>زائري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10282511</v>
      </c>
      <c r="G685" s="1">
        <v>5755658</v>
      </c>
      <c r="H685" s="1">
        <v>0</v>
      </c>
      <c r="I685" s="1">
        <v>6947859</v>
      </c>
      <c r="J685" s="1">
        <v>0</v>
      </c>
      <c r="K685" s="1">
        <v>4620000</v>
      </c>
      <c r="L685" s="1">
        <v>0</v>
      </c>
      <c r="M685" s="1">
        <v>400000</v>
      </c>
      <c r="N685" s="1">
        <v>1672180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11348549</v>
      </c>
      <c r="W685" s="1">
        <v>1100000</v>
      </c>
      <c r="X685" s="1">
        <v>1542377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1194415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6142455</v>
      </c>
      <c r="AM685" s="1">
        <v>0</v>
      </c>
      <c r="AN685" s="1">
        <v>52276004</v>
      </c>
      <c r="AO685" s="1">
        <v>10187008</v>
      </c>
      <c r="AP685" s="1">
        <v>42088996</v>
      </c>
      <c r="AQ685" s="1">
        <v>10201201</v>
      </c>
      <c r="AR685" s="1">
        <v>1530180</v>
      </c>
      <c r="AS685" s="1">
        <v>0</v>
      </c>
      <c r="AT685" s="1">
        <f t="shared" si="71"/>
        <v>64007385</v>
      </c>
    </row>
    <row r="686" spans="1:46">
      <c r="A686" s="1" t="str">
        <f>"00777"</f>
        <v>00777</v>
      </c>
      <c r="B686" s="1" t="str">
        <f>"محمدجواد"</f>
        <v>محمدجواد</v>
      </c>
      <c r="C686" s="1" t="str">
        <f>"صابري نژاد"</f>
        <v>صابري نژاد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13279621</v>
      </c>
      <c r="G686" s="1">
        <v>6256023</v>
      </c>
      <c r="H686" s="1">
        <v>0</v>
      </c>
      <c r="I686" s="1">
        <v>11367842</v>
      </c>
      <c r="J686" s="1">
        <v>0</v>
      </c>
      <c r="K686" s="1">
        <v>0</v>
      </c>
      <c r="L686" s="1">
        <v>0</v>
      </c>
      <c r="M686" s="1">
        <v>400000</v>
      </c>
      <c r="N686" s="1">
        <v>2566827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8912956</v>
      </c>
      <c r="W686" s="1">
        <v>1100000</v>
      </c>
      <c r="X686" s="1">
        <v>1991943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1833447</v>
      </c>
      <c r="AF686" s="1">
        <v>2222538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9704243</v>
      </c>
      <c r="AM686" s="1">
        <v>0</v>
      </c>
      <c r="AN686" s="1">
        <v>60905440</v>
      </c>
      <c r="AO686" s="1">
        <v>10319621</v>
      </c>
      <c r="AP686" s="1">
        <v>50585819</v>
      </c>
      <c r="AQ686" s="1">
        <v>11482580</v>
      </c>
      <c r="AR686" s="1">
        <v>1722387</v>
      </c>
      <c r="AS686" s="1">
        <v>0</v>
      </c>
      <c r="AT686" s="1">
        <f t="shared" si="71"/>
        <v>74110407</v>
      </c>
    </row>
    <row r="687" spans="1:46">
      <c r="A687" s="1" t="str">
        <f>"00778"</f>
        <v>00778</v>
      </c>
      <c r="B687" s="1" t="str">
        <f>"محمود"</f>
        <v>محمود</v>
      </c>
      <c r="C687" s="1" t="str">
        <f>"عبدلي نديکي"</f>
        <v>عبدلي نديکي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11100887</v>
      </c>
      <c r="G687" s="1">
        <v>10641286</v>
      </c>
      <c r="H687" s="1">
        <v>0</v>
      </c>
      <c r="I687" s="1">
        <v>8510483</v>
      </c>
      <c r="J687" s="1">
        <v>0</v>
      </c>
      <c r="K687" s="1">
        <v>4620000</v>
      </c>
      <c r="L687" s="1">
        <v>0</v>
      </c>
      <c r="M687" s="1">
        <v>400000</v>
      </c>
      <c r="N687" s="1">
        <v>1982001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1270000</v>
      </c>
      <c r="U687" s="1">
        <v>0</v>
      </c>
      <c r="V687" s="1">
        <v>12959250</v>
      </c>
      <c r="W687" s="1">
        <v>1100000</v>
      </c>
      <c r="X687" s="1">
        <v>1665133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1415715</v>
      </c>
      <c r="AF687" s="1">
        <v>2222538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6954497</v>
      </c>
      <c r="AM687" s="1">
        <v>0</v>
      </c>
      <c r="AN687" s="1">
        <v>64841790</v>
      </c>
      <c r="AO687" s="1">
        <v>28118928</v>
      </c>
      <c r="AP687" s="1">
        <v>36722862</v>
      </c>
      <c r="AQ687" s="1">
        <v>12269850</v>
      </c>
      <c r="AR687" s="1">
        <v>1840478</v>
      </c>
      <c r="AS687" s="1">
        <v>0</v>
      </c>
      <c r="AT687" s="1">
        <f t="shared" si="71"/>
        <v>78952118</v>
      </c>
    </row>
    <row r="688" spans="1:46">
      <c r="A688" s="1" t="str">
        <f>"00779"</f>
        <v>00779</v>
      </c>
      <c r="B688" s="1" t="str">
        <f>"سيدمجتبي"</f>
        <v>سيدمجتبي</v>
      </c>
      <c r="C688" s="1" t="str">
        <f>"علي زاده"</f>
        <v>علي زاده</v>
      </c>
      <c r="D688" s="1" t="str">
        <f>"قراردادي کارگري"</f>
        <v>قراردادي کارگري</v>
      </c>
      <c r="E688" s="1" t="str">
        <f>"پروژه تعميرات نيروگاه بوشهر"</f>
        <v>پروژه تعميرات نيروگاه بوشهر</v>
      </c>
      <c r="F688" s="1">
        <v>5181927</v>
      </c>
      <c r="G688" s="1">
        <v>0</v>
      </c>
      <c r="H688" s="1">
        <v>0</v>
      </c>
      <c r="I688" s="1">
        <v>3782807</v>
      </c>
      <c r="J688" s="1">
        <v>0</v>
      </c>
      <c r="K688" s="1">
        <v>0</v>
      </c>
      <c r="L688" s="1">
        <v>3620700</v>
      </c>
      <c r="M688" s="1">
        <v>400000</v>
      </c>
      <c r="N688" s="1">
        <v>2745392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3786936</v>
      </c>
      <c r="W688" s="1">
        <v>1100000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2299624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1784324</v>
      </c>
      <c r="AK688" s="1">
        <v>0</v>
      </c>
      <c r="AL688" s="1">
        <v>0</v>
      </c>
      <c r="AM688" s="1">
        <v>0</v>
      </c>
      <c r="AN688" s="1">
        <v>24701710</v>
      </c>
      <c r="AO688" s="1">
        <v>4735786</v>
      </c>
      <c r="AP688" s="1">
        <v>19965924</v>
      </c>
      <c r="AQ688" s="1">
        <v>4940342</v>
      </c>
      <c r="AR688" s="1">
        <v>741051</v>
      </c>
      <c r="AS688" s="1">
        <v>300000</v>
      </c>
      <c r="AT688" s="1">
        <f t="shared" si="71"/>
        <v>30683103</v>
      </c>
    </row>
    <row r="689" spans="1:46">
      <c r="A689" s="1" t="str">
        <f>"00780"</f>
        <v>00780</v>
      </c>
      <c r="B689" s="1" t="str">
        <f>"حسين"</f>
        <v>حسين</v>
      </c>
      <c r="C689" s="1" t="str">
        <f>"فردين پور"</f>
        <v>فردين پور</v>
      </c>
      <c r="D689" s="1" t="str">
        <f t="shared" ref="D689:D718" si="77">"قراردادي بهره بردار"</f>
        <v>قراردادي بهره بردار</v>
      </c>
      <c r="E689" s="1" t="str">
        <f t="shared" ref="E689:E717" si="78">"پروژه بهره برداري نيروگاه بوشهر"</f>
        <v>پروژه بهره برداري نيروگاه بوشهر</v>
      </c>
      <c r="F689" s="1">
        <v>10220626</v>
      </c>
      <c r="G689" s="1">
        <v>1944140</v>
      </c>
      <c r="H689" s="1">
        <v>0</v>
      </c>
      <c r="I689" s="1">
        <v>7114525</v>
      </c>
      <c r="J689" s="1">
        <v>0</v>
      </c>
      <c r="K689" s="1">
        <v>3465000</v>
      </c>
      <c r="L689" s="1">
        <v>0</v>
      </c>
      <c r="M689" s="1">
        <v>400000</v>
      </c>
      <c r="N689" s="1">
        <v>1652766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11312984</v>
      </c>
      <c r="W689" s="1">
        <v>1100000</v>
      </c>
      <c r="X689" s="1">
        <v>1533094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1180547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6607829</v>
      </c>
      <c r="AM689" s="1">
        <v>0</v>
      </c>
      <c r="AN689" s="1">
        <v>46531511</v>
      </c>
      <c r="AO689" s="1">
        <v>8517967</v>
      </c>
      <c r="AP689" s="1">
        <v>38013544</v>
      </c>
      <c r="AQ689" s="1">
        <v>9306302</v>
      </c>
      <c r="AR689" s="1">
        <v>1395945</v>
      </c>
      <c r="AS689" s="1">
        <v>0</v>
      </c>
      <c r="AT689" s="1">
        <f t="shared" si="71"/>
        <v>57233758</v>
      </c>
    </row>
    <row r="690" spans="1:46">
      <c r="A690" s="1" t="str">
        <f>"00781"</f>
        <v>00781</v>
      </c>
      <c r="B690" s="1" t="str">
        <f>"محسن"</f>
        <v>محسن</v>
      </c>
      <c r="C690" s="1" t="str">
        <f>"فلاح زاده ابرقويي"</f>
        <v>فلاح زاده ابرقويي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11224098</v>
      </c>
      <c r="G690" s="1">
        <v>4511484</v>
      </c>
      <c r="H690" s="1">
        <v>0</v>
      </c>
      <c r="I690" s="1">
        <v>8159145</v>
      </c>
      <c r="J690" s="1">
        <v>0</v>
      </c>
      <c r="K690" s="1">
        <v>4620000</v>
      </c>
      <c r="L690" s="1">
        <v>0</v>
      </c>
      <c r="M690" s="1">
        <v>400000</v>
      </c>
      <c r="N690" s="1">
        <v>1996683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1270000</v>
      </c>
      <c r="U690" s="1">
        <v>0</v>
      </c>
      <c r="V690" s="1">
        <v>6684826</v>
      </c>
      <c r="W690" s="1">
        <v>1100000</v>
      </c>
      <c r="X690" s="1">
        <v>1326907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1426203</v>
      </c>
      <c r="AF690" s="1">
        <v>1111269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6904211</v>
      </c>
      <c r="AM690" s="1">
        <v>0</v>
      </c>
      <c r="AN690" s="1">
        <v>50734826</v>
      </c>
      <c r="AO690" s="1">
        <v>11184053</v>
      </c>
      <c r="AP690" s="1">
        <v>39550773</v>
      </c>
      <c r="AQ690" s="1">
        <v>9670711</v>
      </c>
      <c r="AR690" s="1">
        <v>1450607</v>
      </c>
      <c r="AS690" s="1">
        <v>0</v>
      </c>
      <c r="AT690" s="1">
        <f t="shared" si="71"/>
        <v>61856144</v>
      </c>
    </row>
    <row r="691" spans="1:46">
      <c r="A691" s="1" t="str">
        <f>"00782"</f>
        <v>00782</v>
      </c>
      <c r="B691" s="1" t="str">
        <f>"ميثم"</f>
        <v>ميثم</v>
      </c>
      <c r="C691" s="1" t="str">
        <f>"قلاوند"</f>
        <v>قلاوند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10477641</v>
      </c>
      <c r="G691" s="1">
        <v>3403393</v>
      </c>
      <c r="H691" s="1">
        <v>0</v>
      </c>
      <c r="I691" s="1">
        <v>7345396</v>
      </c>
      <c r="J691" s="1">
        <v>0</v>
      </c>
      <c r="K691" s="1">
        <v>4620000</v>
      </c>
      <c r="L691" s="1">
        <v>0</v>
      </c>
      <c r="M691" s="1">
        <v>400000</v>
      </c>
      <c r="N691" s="1">
        <v>1746089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1270000</v>
      </c>
      <c r="U691" s="1">
        <v>0</v>
      </c>
      <c r="V691" s="1">
        <v>11743445</v>
      </c>
      <c r="W691" s="1">
        <v>1100000</v>
      </c>
      <c r="X691" s="1">
        <v>1571646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1247206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6336140</v>
      </c>
      <c r="AM691" s="1">
        <v>0</v>
      </c>
      <c r="AN691" s="1">
        <v>52372225</v>
      </c>
      <c r="AO691" s="1">
        <v>11572745</v>
      </c>
      <c r="AP691" s="1">
        <v>40799480</v>
      </c>
      <c r="AQ691" s="1">
        <v>9998191</v>
      </c>
      <c r="AR691" s="1">
        <v>1499729</v>
      </c>
      <c r="AS691" s="1">
        <v>0</v>
      </c>
      <c r="AT691" s="1">
        <f t="shared" si="71"/>
        <v>63870145</v>
      </c>
    </row>
    <row r="692" spans="1:46">
      <c r="A692" s="1" t="str">
        <f>"00783"</f>
        <v>00783</v>
      </c>
      <c r="B692" s="1" t="str">
        <f>"رضا"</f>
        <v>رضا</v>
      </c>
      <c r="C692" s="1" t="str">
        <f>"قيطاسي"</f>
        <v>قيطاسي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11009450</v>
      </c>
      <c r="G692" s="1">
        <v>2661206</v>
      </c>
      <c r="H692" s="1">
        <v>0</v>
      </c>
      <c r="I692" s="1">
        <v>7747105</v>
      </c>
      <c r="J692" s="1">
        <v>0</v>
      </c>
      <c r="K692" s="1">
        <v>3465000</v>
      </c>
      <c r="L692" s="1">
        <v>0</v>
      </c>
      <c r="M692" s="1">
        <v>400000</v>
      </c>
      <c r="N692" s="1">
        <v>1939519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11842533</v>
      </c>
      <c r="W692" s="1">
        <v>1100000</v>
      </c>
      <c r="X692" s="1">
        <v>1651418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1385371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6627726</v>
      </c>
      <c r="AM692" s="1">
        <v>0</v>
      </c>
      <c r="AN692" s="1">
        <v>49829328</v>
      </c>
      <c r="AO692" s="1">
        <v>7531327</v>
      </c>
      <c r="AP692" s="1">
        <v>42298001</v>
      </c>
      <c r="AQ692" s="1">
        <v>9965866</v>
      </c>
      <c r="AR692" s="1">
        <v>1494880</v>
      </c>
      <c r="AS692" s="1">
        <v>0</v>
      </c>
      <c r="AT692" s="1">
        <f t="shared" si="71"/>
        <v>61290074</v>
      </c>
    </row>
    <row r="693" spans="1:46">
      <c r="A693" s="1" t="str">
        <f>"00784"</f>
        <v>00784</v>
      </c>
      <c r="B693" s="1" t="str">
        <f>"عباس"</f>
        <v>عباس</v>
      </c>
      <c r="C693" s="1" t="str">
        <f>"كاظمي"</f>
        <v>كاظمي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11390532</v>
      </c>
      <c r="G693" s="1">
        <v>19315875</v>
      </c>
      <c r="H693" s="1">
        <v>0</v>
      </c>
      <c r="I693" s="1">
        <v>8871915</v>
      </c>
      <c r="J693" s="1">
        <v>0</v>
      </c>
      <c r="K693" s="1">
        <v>3465000</v>
      </c>
      <c r="L693" s="1">
        <v>0</v>
      </c>
      <c r="M693" s="1">
        <v>400000</v>
      </c>
      <c r="N693" s="1">
        <v>2065975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1270000</v>
      </c>
      <c r="U693" s="1">
        <v>0</v>
      </c>
      <c r="V693" s="1">
        <v>10311985</v>
      </c>
      <c r="W693" s="1">
        <v>1100000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1475696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4840284</v>
      </c>
      <c r="AM693" s="1">
        <v>0</v>
      </c>
      <c r="AN693" s="1">
        <v>64507262</v>
      </c>
      <c r="AO693" s="1">
        <v>11303068</v>
      </c>
      <c r="AP693" s="1">
        <v>53204194</v>
      </c>
      <c r="AQ693" s="1">
        <v>12647452</v>
      </c>
      <c r="AR693" s="1">
        <v>1897118</v>
      </c>
      <c r="AS693" s="1">
        <v>0</v>
      </c>
      <c r="AT693" s="1">
        <f t="shared" si="71"/>
        <v>79051832</v>
      </c>
    </row>
    <row r="694" spans="1:46">
      <c r="A694" s="1" t="str">
        <f>"00785"</f>
        <v>00785</v>
      </c>
      <c r="B694" s="1" t="str">
        <f>"عليرضا"</f>
        <v>عليرضا</v>
      </c>
      <c r="C694" s="1" t="str">
        <f>"كهن"</f>
        <v>كهن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10696664</v>
      </c>
      <c r="G694" s="1">
        <v>2043666</v>
      </c>
      <c r="H694" s="1">
        <v>0</v>
      </c>
      <c r="I694" s="1">
        <v>7673705</v>
      </c>
      <c r="J694" s="1">
        <v>0</v>
      </c>
      <c r="K694" s="1">
        <v>4620000</v>
      </c>
      <c r="L694" s="1">
        <v>0</v>
      </c>
      <c r="M694" s="1">
        <v>400000</v>
      </c>
      <c r="N694" s="1">
        <v>1827799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12088615</v>
      </c>
      <c r="W694" s="1">
        <v>1100000</v>
      </c>
      <c r="X694" s="1">
        <v>1604500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1305571</v>
      </c>
      <c r="AF694" s="1">
        <v>1111269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6446814</v>
      </c>
      <c r="AM694" s="1">
        <v>0</v>
      </c>
      <c r="AN694" s="1">
        <v>50918603</v>
      </c>
      <c r="AO694" s="1">
        <v>9156022</v>
      </c>
      <c r="AP694" s="1">
        <v>41762581</v>
      </c>
      <c r="AQ694" s="1">
        <v>9961467</v>
      </c>
      <c r="AR694" s="1">
        <v>1494220</v>
      </c>
      <c r="AS694" s="1">
        <v>0</v>
      </c>
      <c r="AT694" s="1">
        <f t="shared" si="71"/>
        <v>62374290</v>
      </c>
    </row>
    <row r="695" spans="1:46">
      <c r="A695" s="1" t="str">
        <f>"00786"</f>
        <v>00786</v>
      </c>
      <c r="B695" s="1" t="str">
        <f>"اميد"</f>
        <v>اميد</v>
      </c>
      <c r="C695" s="1" t="str">
        <f>"گلمرزي الاصل"</f>
        <v>گلمرزي الاصل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10501400</v>
      </c>
      <c r="G695" s="1">
        <v>9846725</v>
      </c>
      <c r="H695" s="1">
        <v>0</v>
      </c>
      <c r="I695" s="1">
        <v>7171482</v>
      </c>
      <c r="J695" s="1">
        <v>0</v>
      </c>
      <c r="K695" s="1">
        <v>4620000</v>
      </c>
      <c r="L695" s="1">
        <v>0</v>
      </c>
      <c r="M695" s="1">
        <v>400000</v>
      </c>
      <c r="N695" s="1">
        <v>1753095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1270000</v>
      </c>
      <c r="U695" s="1">
        <v>0</v>
      </c>
      <c r="V695" s="1">
        <v>11648994</v>
      </c>
      <c r="W695" s="1">
        <v>1100000</v>
      </c>
      <c r="X695" s="1">
        <v>1575210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1252211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6255903</v>
      </c>
      <c r="AM695" s="1">
        <v>0</v>
      </c>
      <c r="AN695" s="1">
        <v>57395020</v>
      </c>
      <c r="AO695" s="1">
        <v>10454523</v>
      </c>
      <c r="AP695" s="1">
        <v>46940497</v>
      </c>
      <c r="AQ695" s="1">
        <v>11225004</v>
      </c>
      <c r="AR695" s="1">
        <v>1683751</v>
      </c>
      <c r="AS695" s="1">
        <v>0</v>
      </c>
      <c r="AT695" s="1">
        <f t="shared" si="71"/>
        <v>70303775</v>
      </c>
    </row>
    <row r="696" spans="1:46">
      <c r="A696" s="1" t="str">
        <f>"00787"</f>
        <v>00787</v>
      </c>
      <c r="B696" s="1" t="str">
        <f>"سجاد"</f>
        <v>سجاد</v>
      </c>
      <c r="C696" s="1" t="str">
        <f>"مرادي عبداليوسفي"</f>
        <v>مرادي عبداليوسفي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10566967</v>
      </c>
      <c r="G696" s="1">
        <v>7161835</v>
      </c>
      <c r="H696" s="1">
        <v>0</v>
      </c>
      <c r="I696" s="1">
        <v>7391703</v>
      </c>
      <c r="J696" s="1">
        <v>0</v>
      </c>
      <c r="K696" s="1">
        <v>4620000</v>
      </c>
      <c r="L696" s="1">
        <v>0</v>
      </c>
      <c r="M696" s="1">
        <v>400000</v>
      </c>
      <c r="N696" s="1">
        <v>1779224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1270000</v>
      </c>
      <c r="U696" s="1">
        <v>0</v>
      </c>
      <c r="V696" s="1">
        <v>11957150</v>
      </c>
      <c r="W696" s="1">
        <v>1100000</v>
      </c>
      <c r="X696" s="1">
        <v>1585045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1270875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6321859</v>
      </c>
      <c r="AM696" s="1">
        <v>0</v>
      </c>
      <c r="AN696" s="1">
        <v>56535927</v>
      </c>
      <c r="AO696" s="1">
        <v>11328091</v>
      </c>
      <c r="AP696" s="1">
        <v>45207836</v>
      </c>
      <c r="AQ696" s="1">
        <v>10830932</v>
      </c>
      <c r="AR696" s="1">
        <v>1624640</v>
      </c>
      <c r="AS696" s="1">
        <v>0</v>
      </c>
      <c r="AT696" s="1">
        <f t="shared" si="71"/>
        <v>68991499</v>
      </c>
    </row>
    <row r="697" spans="1:46">
      <c r="A697" s="1" t="str">
        <f>"00788"</f>
        <v>00788</v>
      </c>
      <c r="B697" s="1" t="str">
        <f>"مرتضي"</f>
        <v>مرتضي</v>
      </c>
      <c r="C697" s="1" t="str">
        <f>"مرادي کوچي"</f>
        <v>مرادي کوچي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11299828</v>
      </c>
      <c r="G697" s="1">
        <v>6657868</v>
      </c>
      <c r="H697" s="1">
        <v>0</v>
      </c>
      <c r="I697" s="1">
        <v>9589414</v>
      </c>
      <c r="J697" s="1">
        <v>0</v>
      </c>
      <c r="K697" s="1">
        <v>4620000</v>
      </c>
      <c r="L697" s="1">
        <v>0</v>
      </c>
      <c r="M697" s="1">
        <v>400000</v>
      </c>
      <c r="N697" s="1">
        <v>2023563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8695991</v>
      </c>
      <c r="W697" s="1">
        <v>1100000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1445402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3468965</v>
      </c>
      <c r="AM697" s="1">
        <v>0</v>
      </c>
      <c r="AN697" s="1">
        <v>49301031</v>
      </c>
      <c r="AO697" s="1">
        <v>10639239</v>
      </c>
      <c r="AP697" s="1">
        <v>38661792</v>
      </c>
      <c r="AQ697" s="1">
        <v>9860206</v>
      </c>
      <c r="AR697" s="1">
        <v>1479031</v>
      </c>
      <c r="AS697" s="1">
        <v>0</v>
      </c>
      <c r="AT697" s="1">
        <f t="shared" si="71"/>
        <v>60640268</v>
      </c>
    </row>
    <row r="698" spans="1:46">
      <c r="A698" s="1" t="str">
        <f>"00789"</f>
        <v>00789</v>
      </c>
      <c r="B698" s="1" t="str">
        <f>"وحيد"</f>
        <v>وحيد</v>
      </c>
      <c r="C698" s="1" t="str">
        <f>"مسعودي مقدم"</f>
        <v>مسعودي مقدم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11406022</v>
      </c>
      <c r="G698" s="1">
        <v>5975439</v>
      </c>
      <c r="H698" s="1">
        <v>0</v>
      </c>
      <c r="I698" s="1">
        <v>8542580</v>
      </c>
      <c r="J698" s="1">
        <v>0</v>
      </c>
      <c r="K698" s="1">
        <v>4620000</v>
      </c>
      <c r="L698" s="1">
        <v>0</v>
      </c>
      <c r="M698" s="1">
        <v>400000</v>
      </c>
      <c r="N698" s="1">
        <v>2089734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12595775</v>
      </c>
      <c r="W698" s="1">
        <v>1100000</v>
      </c>
      <c r="X698" s="1">
        <v>1710903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1492667</v>
      </c>
      <c r="AF698" s="1">
        <v>1111269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7004208</v>
      </c>
      <c r="AM698" s="1">
        <v>0</v>
      </c>
      <c r="AN698" s="1">
        <v>58048597</v>
      </c>
      <c r="AO698" s="1">
        <v>14385363</v>
      </c>
      <c r="AP698" s="1">
        <v>43663234</v>
      </c>
      <c r="AQ698" s="1">
        <v>11387466</v>
      </c>
      <c r="AR698" s="1">
        <v>1708120</v>
      </c>
      <c r="AS698" s="1">
        <v>0</v>
      </c>
      <c r="AT698" s="1">
        <f t="shared" si="71"/>
        <v>71144183</v>
      </c>
    </row>
    <row r="699" spans="1:46">
      <c r="A699" s="1" t="str">
        <f>"00790"</f>
        <v>00790</v>
      </c>
      <c r="B699" s="1" t="str">
        <f>"محمد"</f>
        <v>محمد</v>
      </c>
      <c r="C699" s="1" t="str">
        <f>"مقدس زاده"</f>
        <v>مقدس زاده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10504694</v>
      </c>
      <c r="G699" s="1">
        <v>5930390</v>
      </c>
      <c r="H699" s="1">
        <v>0</v>
      </c>
      <c r="I699" s="1">
        <v>7162201</v>
      </c>
      <c r="J699" s="1">
        <v>0</v>
      </c>
      <c r="K699" s="1">
        <v>4620000</v>
      </c>
      <c r="L699" s="1">
        <v>0</v>
      </c>
      <c r="M699" s="1">
        <v>400000</v>
      </c>
      <c r="N699" s="1">
        <v>1754996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11693072</v>
      </c>
      <c r="W699" s="1">
        <v>1100000</v>
      </c>
      <c r="X699" s="1">
        <v>1575704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1253569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6360544</v>
      </c>
      <c r="AM699" s="1">
        <v>0</v>
      </c>
      <c r="AN699" s="1">
        <v>52355170</v>
      </c>
      <c r="AO699" s="1">
        <v>9485669</v>
      </c>
      <c r="AP699" s="1">
        <v>42869501</v>
      </c>
      <c r="AQ699" s="1">
        <v>10471034</v>
      </c>
      <c r="AR699" s="1">
        <v>1570655</v>
      </c>
      <c r="AS699" s="1">
        <v>0</v>
      </c>
      <c r="AT699" s="1">
        <f t="shared" si="71"/>
        <v>64396859</v>
      </c>
    </row>
    <row r="700" spans="1:46">
      <c r="A700" s="1" t="str">
        <f>"00791"</f>
        <v>00791</v>
      </c>
      <c r="B700" s="1" t="str">
        <f>"علي"</f>
        <v>علي</v>
      </c>
      <c r="C700" s="1" t="str">
        <f>"ملائي محلي"</f>
        <v>ملائي محلي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11399676</v>
      </c>
      <c r="G700" s="1">
        <v>5203339</v>
      </c>
      <c r="H700" s="1">
        <v>0</v>
      </c>
      <c r="I700" s="1">
        <v>9808146</v>
      </c>
      <c r="J700" s="1">
        <v>0</v>
      </c>
      <c r="K700" s="1">
        <v>4620000</v>
      </c>
      <c r="L700" s="1">
        <v>0</v>
      </c>
      <c r="M700" s="1">
        <v>400000</v>
      </c>
      <c r="N700" s="1">
        <v>2082461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1270000</v>
      </c>
      <c r="U700" s="1">
        <v>0</v>
      </c>
      <c r="V700" s="1">
        <v>7709972</v>
      </c>
      <c r="W700" s="1">
        <v>1100000</v>
      </c>
      <c r="X700" s="1">
        <v>1709951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1487472</v>
      </c>
      <c r="AF700" s="1">
        <v>2222538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9488787</v>
      </c>
      <c r="AM700" s="1">
        <v>0</v>
      </c>
      <c r="AN700" s="1">
        <v>58502342</v>
      </c>
      <c r="AO700" s="1">
        <v>10785438</v>
      </c>
      <c r="AP700" s="1">
        <v>47716904</v>
      </c>
      <c r="AQ700" s="1">
        <v>11001961</v>
      </c>
      <c r="AR700" s="1">
        <v>1650294</v>
      </c>
      <c r="AS700" s="1">
        <v>0</v>
      </c>
      <c r="AT700" s="1">
        <f t="shared" si="71"/>
        <v>71154597</v>
      </c>
    </row>
    <row r="701" spans="1:46">
      <c r="A701" s="1" t="str">
        <f>"00792"</f>
        <v>00792</v>
      </c>
      <c r="B701" s="1" t="str">
        <f>"محمدعلي"</f>
        <v>محمدعلي</v>
      </c>
      <c r="C701" s="1" t="str">
        <f>"نجاتي"</f>
        <v>نجاتي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11415827</v>
      </c>
      <c r="G701" s="1">
        <v>8082645</v>
      </c>
      <c r="H701" s="1">
        <v>0</v>
      </c>
      <c r="I701" s="1">
        <v>10213618</v>
      </c>
      <c r="J701" s="1">
        <v>0</v>
      </c>
      <c r="K701" s="1">
        <v>4620000</v>
      </c>
      <c r="L701" s="1">
        <v>0</v>
      </c>
      <c r="M701" s="1">
        <v>400000</v>
      </c>
      <c r="N701" s="1">
        <v>2090920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1270000</v>
      </c>
      <c r="U701" s="1">
        <v>0</v>
      </c>
      <c r="V701" s="1">
        <v>7901568</v>
      </c>
      <c r="W701" s="1">
        <v>1100000</v>
      </c>
      <c r="X701" s="1">
        <v>932613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1493514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9518286</v>
      </c>
      <c r="AM701" s="1">
        <v>0</v>
      </c>
      <c r="AN701" s="1">
        <v>59038991</v>
      </c>
      <c r="AO701" s="1">
        <v>11821060</v>
      </c>
      <c r="AP701" s="1">
        <v>47217931</v>
      </c>
      <c r="AQ701" s="1">
        <v>11553798</v>
      </c>
      <c r="AR701" s="1">
        <v>1733070</v>
      </c>
      <c r="AS701" s="1">
        <v>0</v>
      </c>
      <c r="AT701" s="1">
        <f t="shared" si="71"/>
        <v>72325859</v>
      </c>
    </row>
    <row r="702" spans="1:46">
      <c r="A702" s="1" t="str">
        <f>"00793"</f>
        <v>00793</v>
      </c>
      <c r="B702" s="1" t="str">
        <f>"حسين"</f>
        <v>حسين</v>
      </c>
      <c r="C702" s="1" t="str">
        <f>"نصيري"</f>
        <v>نصيري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10675644</v>
      </c>
      <c r="G702" s="1">
        <v>0</v>
      </c>
      <c r="H702" s="1">
        <v>0</v>
      </c>
      <c r="I702" s="1">
        <v>7371744</v>
      </c>
      <c r="J702" s="1">
        <v>0</v>
      </c>
      <c r="K702" s="1">
        <v>4620000</v>
      </c>
      <c r="L702" s="1">
        <v>0</v>
      </c>
      <c r="M702" s="1">
        <v>400000</v>
      </c>
      <c r="N702" s="1">
        <v>1787324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8159183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1276660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3063983</v>
      </c>
      <c r="AM702" s="1">
        <v>0</v>
      </c>
      <c r="AN702" s="1">
        <v>39724538</v>
      </c>
      <c r="AO702" s="1">
        <v>7625029</v>
      </c>
      <c r="AP702" s="1">
        <v>32099509</v>
      </c>
      <c r="AQ702" s="1">
        <v>7690908</v>
      </c>
      <c r="AR702" s="1">
        <v>1153636</v>
      </c>
      <c r="AS702" s="1">
        <v>0</v>
      </c>
      <c r="AT702" s="1">
        <f t="shared" si="71"/>
        <v>48569082</v>
      </c>
    </row>
    <row r="703" spans="1:46">
      <c r="A703" s="1" t="str">
        <f>"00794"</f>
        <v>00794</v>
      </c>
      <c r="B703" s="1" t="str">
        <f>"علي"</f>
        <v>علي</v>
      </c>
      <c r="C703" s="1" t="str">
        <f>"نظري سينا"</f>
        <v>نظري سينا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11821887</v>
      </c>
      <c r="G703" s="1">
        <v>7835586</v>
      </c>
      <c r="H703" s="1">
        <v>0</v>
      </c>
      <c r="I703" s="1">
        <v>9451200</v>
      </c>
      <c r="J703" s="1">
        <v>0</v>
      </c>
      <c r="K703" s="1">
        <v>4620000</v>
      </c>
      <c r="L703" s="1">
        <v>0</v>
      </c>
      <c r="M703" s="1">
        <v>400000</v>
      </c>
      <c r="N703" s="1">
        <v>2227428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1270000</v>
      </c>
      <c r="U703" s="1">
        <v>0</v>
      </c>
      <c r="V703" s="1">
        <v>7728479</v>
      </c>
      <c r="W703" s="1">
        <v>1100000</v>
      </c>
      <c r="X703" s="1">
        <v>1773283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1591020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8510548</v>
      </c>
      <c r="AM703" s="1">
        <v>0</v>
      </c>
      <c r="AN703" s="1">
        <v>58329431</v>
      </c>
      <c r="AO703" s="1">
        <v>8705984</v>
      </c>
      <c r="AP703" s="1">
        <v>49623447</v>
      </c>
      <c r="AQ703" s="1">
        <v>11411886</v>
      </c>
      <c r="AR703" s="1">
        <v>1711783</v>
      </c>
      <c r="AS703" s="1">
        <v>0</v>
      </c>
      <c r="AT703" s="1">
        <f t="shared" si="71"/>
        <v>71453100</v>
      </c>
    </row>
    <row r="704" spans="1:46">
      <c r="A704" s="1" t="str">
        <f>"00795"</f>
        <v>00795</v>
      </c>
      <c r="B704" s="1" t="str">
        <f>"فرهاد"</f>
        <v>فرهاد</v>
      </c>
      <c r="C704" s="1" t="str">
        <f>"رزمي"</f>
        <v>رزمي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16849454</v>
      </c>
      <c r="G704" s="1">
        <v>22410133</v>
      </c>
      <c r="H704" s="1">
        <v>0</v>
      </c>
      <c r="I704" s="1">
        <v>12986119</v>
      </c>
      <c r="J704" s="1">
        <v>0</v>
      </c>
      <c r="K704" s="1">
        <v>5500000</v>
      </c>
      <c r="L704" s="1">
        <v>0</v>
      </c>
      <c r="M704" s="1">
        <v>400000</v>
      </c>
      <c r="N704" s="1">
        <v>2795304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1270000</v>
      </c>
      <c r="U704" s="1">
        <v>0</v>
      </c>
      <c r="V704" s="1">
        <v>6975422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1996646</v>
      </c>
      <c r="AF704" s="1">
        <v>1111269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3593962</v>
      </c>
      <c r="AM704" s="1">
        <v>0</v>
      </c>
      <c r="AN704" s="1">
        <v>76988309</v>
      </c>
      <c r="AO704" s="1">
        <v>17797130</v>
      </c>
      <c r="AP704" s="1">
        <v>59191179</v>
      </c>
      <c r="AQ704" s="1">
        <v>14921408</v>
      </c>
      <c r="AR704" s="1">
        <v>2238211</v>
      </c>
      <c r="AS704" s="1">
        <v>0</v>
      </c>
      <c r="AT704" s="1">
        <f t="shared" si="71"/>
        <v>94147928</v>
      </c>
    </row>
    <row r="705" spans="1:46">
      <c r="A705" s="1" t="str">
        <f>"00796"</f>
        <v>00796</v>
      </c>
      <c r="B705" s="1" t="str">
        <f>"حميدرضا"</f>
        <v>حميدرضا</v>
      </c>
      <c r="C705" s="1" t="str">
        <f>"محبي"</f>
        <v>محبي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13344381</v>
      </c>
      <c r="G705" s="1">
        <v>11352493</v>
      </c>
      <c r="H705" s="1">
        <v>0</v>
      </c>
      <c r="I705" s="1">
        <v>9263498</v>
      </c>
      <c r="J705" s="1">
        <v>0</v>
      </c>
      <c r="K705" s="1">
        <v>5500000</v>
      </c>
      <c r="L705" s="1">
        <v>0</v>
      </c>
      <c r="M705" s="1">
        <v>400000</v>
      </c>
      <c r="N705" s="1">
        <v>1957157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5758023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1397969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2124913</v>
      </c>
      <c r="AM705" s="1">
        <v>0</v>
      </c>
      <c r="AN705" s="1">
        <v>52198434</v>
      </c>
      <c r="AO705" s="1">
        <v>9459337</v>
      </c>
      <c r="AP705" s="1">
        <v>42739097</v>
      </c>
      <c r="AQ705" s="1">
        <v>10439687</v>
      </c>
      <c r="AR705" s="1">
        <v>1565953</v>
      </c>
      <c r="AS705" s="1">
        <v>0</v>
      </c>
      <c r="AT705" s="1">
        <f t="shared" si="71"/>
        <v>64204074</v>
      </c>
    </row>
    <row r="706" spans="1:46">
      <c r="A706" s="1" t="str">
        <f>"00797"</f>
        <v>00797</v>
      </c>
      <c r="B706" s="1" t="str">
        <f>"مسعود"</f>
        <v>مسعود</v>
      </c>
      <c r="C706" s="1" t="str">
        <f>"احمدپور"</f>
        <v>احمدپور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11658437</v>
      </c>
      <c r="G706" s="1">
        <v>1763672</v>
      </c>
      <c r="H706" s="1">
        <v>0</v>
      </c>
      <c r="I706" s="1">
        <v>9695071</v>
      </c>
      <c r="J706" s="1">
        <v>0</v>
      </c>
      <c r="K706" s="1">
        <v>3465000</v>
      </c>
      <c r="L706" s="1">
        <v>0</v>
      </c>
      <c r="M706" s="1">
        <v>400000</v>
      </c>
      <c r="N706" s="1">
        <v>2165730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1270000</v>
      </c>
      <c r="U706" s="1">
        <v>0</v>
      </c>
      <c r="V706" s="1">
        <v>10172311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1546949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5073994</v>
      </c>
      <c r="AM706" s="1">
        <v>0</v>
      </c>
      <c r="AN706" s="1">
        <v>48311164</v>
      </c>
      <c r="AO706" s="1">
        <v>10769581</v>
      </c>
      <c r="AP706" s="1">
        <v>37541583</v>
      </c>
      <c r="AQ706" s="1">
        <v>9408233</v>
      </c>
      <c r="AR706" s="1">
        <v>1411235</v>
      </c>
      <c r="AS706" s="1">
        <v>0</v>
      </c>
      <c r="AT706" s="1">
        <f t="shared" si="71"/>
        <v>59130632</v>
      </c>
    </row>
    <row r="707" spans="1:46">
      <c r="A707" s="1" t="str">
        <f>"00798"</f>
        <v>00798</v>
      </c>
      <c r="B707" s="1" t="str">
        <f>"محمدصادق"</f>
        <v>محمدصادق</v>
      </c>
      <c r="C707" s="1" t="str">
        <f>"الماسي"</f>
        <v>الماسي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14836032</v>
      </c>
      <c r="G707" s="1">
        <v>25047234</v>
      </c>
      <c r="H707" s="1">
        <v>0</v>
      </c>
      <c r="I707" s="1">
        <v>12044361</v>
      </c>
      <c r="J707" s="1">
        <v>0</v>
      </c>
      <c r="K707" s="1">
        <v>4125000</v>
      </c>
      <c r="L707" s="1">
        <v>0</v>
      </c>
      <c r="M707" s="1">
        <v>400000</v>
      </c>
      <c r="N707" s="1">
        <v>2437810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17004198</v>
      </c>
      <c r="W707" s="1">
        <v>1100000</v>
      </c>
      <c r="X707" s="1">
        <v>2225405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1741293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9187127</v>
      </c>
      <c r="AM707" s="1">
        <v>0</v>
      </c>
      <c r="AN707" s="1">
        <v>90148460</v>
      </c>
      <c r="AO707" s="1">
        <v>14803152</v>
      </c>
      <c r="AP707" s="1">
        <v>75345308</v>
      </c>
      <c r="AQ707" s="1">
        <v>15557766</v>
      </c>
      <c r="AR707" s="1">
        <v>2333665</v>
      </c>
      <c r="AS707" s="1">
        <v>0</v>
      </c>
      <c r="AT707" s="1">
        <f t="shared" ref="AT707:AT770" si="79">AS707+AR707+AQ707+AN707</f>
        <v>108039891</v>
      </c>
    </row>
    <row r="708" spans="1:46">
      <c r="A708" s="1" t="str">
        <f>"00799"</f>
        <v>00799</v>
      </c>
      <c r="B708" s="1" t="str">
        <f>"حسين"</f>
        <v>حسين</v>
      </c>
      <c r="C708" s="1" t="str">
        <f>"پرواز"</f>
        <v>پرواز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15867510</v>
      </c>
      <c r="G708" s="1">
        <v>22756209</v>
      </c>
      <c r="H708" s="1">
        <v>0</v>
      </c>
      <c r="I708" s="1">
        <v>13910407</v>
      </c>
      <c r="J708" s="1">
        <v>0</v>
      </c>
      <c r="K708" s="1">
        <v>5500000</v>
      </c>
      <c r="L708" s="1">
        <v>0</v>
      </c>
      <c r="M708" s="1">
        <v>400000</v>
      </c>
      <c r="N708" s="1">
        <v>2798828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1270000</v>
      </c>
      <c r="U708" s="1">
        <v>0</v>
      </c>
      <c r="V708" s="1">
        <v>18916965</v>
      </c>
      <c r="W708" s="1">
        <v>1100000</v>
      </c>
      <c r="X708" s="1">
        <v>2322062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1999162</v>
      </c>
      <c r="AF708" s="1">
        <v>2222538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10197975</v>
      </c>
      <c r="AM708" s="1">
        <v>0</v>
      </c>
      <c r="AN708" s="1">
        <v>99261656</v>
      </c>
      <c r="AO708" s="1">
        <v>17153472</v>
      </c>
      <c r="AP708" s="1">
        <v>82108184</v>
      </c>
      <c r="AQ708" s="1">
        <v>15557766</v>
      </c>
      <c r="AR708" s="1">
        <v>2333665</v>
      </c>
      <c r="AS708" s="1">
        <v>0</v>
      </c>
      <c r="AT708" s="1">
        <f t="shared" si="79"/>
        <v>117153087</v>
      </c>
    </row>
    <row r="709" spans="1:46">
      <c r="A709" s="1" t="str">
        <f>"00800"</f>
        <v>00800</v>
      </c>
      <c r="B709" s="1" t="str">
        <f>"بهمن"</f>
        <v>بهمن</v>
      </c>
      <c r="C709" s="1" t="str">
        <f>"خدادوستان شهرکي"</f>
        <v>خدادوستان شهرکي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14937399</v>
      </c>
      <c r="G709" s="1">
        <v>6728906</v>
      </c>
      <c r="H709" s="1">
        <v>0</v>
      </c>
      <c r="I709" s="1">
        <v>11022687</v>
      </c>
      <c r="J709" s="1">
        <v>0</v>
      </c>
      <c r="K709" s="1">
        <v>4125000</v>
      </c>
      <c r="L709" s="1">
        <v>0</v>
      </c>
      <c r="M709" s="1">
        <v>400000</v>
      </c>
      <c r="N709" s="1">
        <v>2447393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8007954</v>
      </c>
      <c r="W709" s="1">
        <v>1100000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1748138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7977496</v>
      </c>
      <c r="AM709" s="1">
        <v>0</v>
      </c>
      <c r="AN709" s="1">
        <v>58494973</v>
      </c>
      <c r="AO709" s="1">
        <v>11249155</v>
      </c>
      <c r="AP709" s="1">
        <v>47245818</v>
      </c>
      <c r="AQ709" s="1">
        <v>11698995</v>
      </c>
      <c r="AR709" s="1">
        <v>1754849</v>
      </c>
      <c r="AS709" s="1">
        <v>0</v>
      </c>
      <c r="AT709" s="1">
        <f t="shared" si="79"/>
        <v>71948817</v>
      </c>
    </row>
    <row r="710" spans="1:46">
      <c r="A710" s="1" t="str">
        <f>"00801"</f>
        <v>00801</v>
      </c>
      <c r="B710" s="1" t="str">
        <f>"عليرضا"</f>
        <v>عليرضا</v>
      </c>
      <c r="C710" s="1" t="str">
        <f>"رزمي"</f>
        <v>رزمي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10530409</v>
      </c>
      <c r="G710" s="1">
        <v>4778122</v>
      </c>
      <c r="H710" s="1">
        <v>0</v>
      </c>
      <c r="I710" s="1">
        <v>7524284</v>
      </c>
      <c r="J710" s="1">
        <v>0</v>
      </c>
      <c r="K710" s="1">
        <v>4620000</v>
      </c>
      <c r="L710" s="1">
        <v>0</v>
      </c>
      <c r="M710" s="1">
        <v>400000</v>
      </c>
      <c r="N710" s="1">
        <v>1745659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6392000</v>
      </c>
      <c r="W710" s="1">
        <v>1100000</v>
      </c>
      <c r="X710" s="1">
        <v>1579561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1246899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7049449</v>
      </c>
      <c r="AM710" s="1">
        <v>0</v>
      </c>
      <c r="AN710" s="1">
        <v>48236383</v>
      </c>
      <c r="AO710" s="1">
        <v>6884352</v>
      </c>
      <c r="AP710" s="1">
        <v>41352031</v>
      </c>
      <c r="AQ710" s="1">
        <v>9393277</v>
      </c>
      <c r="AR710" s="1">
        <v>1408991</v>
      </c>
      <c r="AS710" s="1">
        <v>0</v>
      </c>
      <c r="AT710" s="1">
        <f t="shared" si="79"/>
        <v>59038651</v>
      </c>
    </row>
    <row r="711" spans="1:46">
      <c r="A711" s="1" t="str">
        <f>"00802"</f>
        <v>00802</v>
      </c>
      <c r="B711" s="1" t="str">
        <f>"محمدباقر"</f>
        <v>محمدباقر</v>
      </c>
      <c r="C711" s="1" t="str">
        <f>"رنجبر"</f>
        <v>رنجبر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11087644</v>
      </c>
      <c r="G711" s="1">
        <v>6697061</v>
      </c>
      <c r="H711" s="1">
        <v>0</v>
      </c>
      <c r="I711" s="1">
        <v>7585924</v>
      </c>
      <c r="J711" s="1">
        <v>0</v>
      </c>
      <c r="K711" s="1">
        <v>4620000</v>
      </c>
      <c r="L711" s="1">
        <v>0</v>
      </c>
      <c r="M711" s="1">
        <v>400000</v>
      </c>
      <c r="N711" s="1">
        <v>1924226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5674089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1374447</v>
      </c>
      <c r="AF711" s="1">
        <v>1111269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2968806</v>
      </c>
      <c r="AM711" s="1">
        <v>0</v>
      </c>
      <c r="AN711" s="1">
        <v>44543466</v>
      </c>
      <c r="AO711" s="1">
        <v>12286402</v>
      </c>
      <c r="AP711" s="1">
        <v>32257064</v>
      </c>
      <c r="AQ711" s="1">
        <v>8686439</v>
      </c>
      <c r="AR711" s="1">
        <v>1302966</v>
      </c>
      <c r="AS711" s="1">
        <v>0</v>
      </c>
      <c r="AT711" s="1">
        <f t="shared" si="79"/>
        <v>54532871</v>
      </c>
    </row>
    <row r="712" spans="1:46">
      <c r="A712" s="1" t="str">
        <f>"00803"</f>
        <v>00803</v>
      </c>
      <c r="B712" s="1" t="str">
        <f>"قادر"</f>
        <v>قادر</v>
      </c>
      <c r="C712" s="1" t="str">
        <f>"شجاعي"</f>
        <v>شجاعي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11349583</v>
      </c>
      <c r="G712" s="1">
        <v>1707524</v>
      </c>
      <c r="H712" s="1">
        <v>0</v>
      </c>
      <c r="I712" s="1">
        <v>8950357</v>
      </c>
      <c r="J712" s="1">
        <v>0</v>
      </c>
      <c r="K712" s="1">
        <v>-2541000</v>
      </c>
      <c r="L712" s="1">
        <v>0</v>
      </c>
      <c r="M712" s="1">
        <v>400000</v>
      </c>
      <c r="N712" s="1">
        <v>2052017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7233505</v>
      </c>
      <c r="W712" s="1">
        <v>1100000</v>
      </c>
      <c r="X712" s="1">
        <v>1702437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1465727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7977941</v>
      </c>
      <c r="AM712" s="1">
        <v>0</v>
      </c>
      <c r="AN712" s="1">
        <v>42668091</v>
      </c>
      <c r="AO712" s="1">
        <v>7156033</v>
      </c>
      <c r="AP712" s="1">
        <v>35512058</v>
      </c>
      <c r="AQ712" s="1">
        <v>8279618</v>
      </c>
      <c r="AR712" s="1">
        <v>1241943</v>
      </c>
      <c r="AS712" s="1">
        <v>0</v>
      </c>
      <c r="AT712" s="1">
        <f t="shared" si="79"/>
        <v>52189652</v>
      </c>
    </row>
    <row r="713" spans="1:46">
      <c r="A713" s="1" t="str">
        <f>"00804"</f>
        <v>00804</v>
      </c>
      <c r="B713" s="1" t="str">
        <f>"علي"</f>
        <v>علي</v>
      </c>
      <c r="C713" s="1" t="str">
        <f>"گلابي"</f>
        <v>گلابي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11572105</v>
      </c>
      <c r="G713" s="1">
        <v>2172570</v>
      </c>
      <c r="H713" s="1">
        <v>0</v>
      </c>
      <c r="I713" s="1">
        <v>8544135</v>
      </c>
      <c r="J713" s="1">
        <v>0</v>
      </c>
      <c r="K713" s="1">
        <v>4620000</v>
      </c>
      <c r="L713" s="1">
        <v>0</v>
      </c>
      <c r="M713" s="1">
        <v>400000</v>
      </c>
      <c r="N713" s="1">
        <v>2104265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6135705</v>
      </c>
      <c r="W713" s="1">
        <v>1100000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1503046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3246580</v>
      </c>
      <c r="AM713" s="1">
        <v>0</v>
      </c>
      <c r="AN713" s="1">
        <v>42668406</v>
      </c>
      <c r="AO713" s="1">
        <v>12147598</v>
      </c>
      <c r="AP713" s="1">
        <v>30520808</v>
      </c>
      <c r="AQ713" s="1">
        <v>8279681</v>
      </c>
      <c r="AR713" s="1">
        <v>1241952</v>
      </c>
      <c r="AS713" s="1">
        <v>0</v>
      </c>
      <c r="AT713" s="1">
        <f t="shared" si="79"/>
        <v>52190039</v>
      </c>
    </row>
    <row r="714" spans="1:46">
      <c r="A714" s="1" t="str">
        <f>"00805"</f>
        <v>00805</v>
      </c>
      <c r="B714" s="1" t="str">
        <f>"حميد"</f>
        <v>حميد</v>
      </c>
      <c r="C714" s="1" t="str">
        <f>"محمودي پيام"</f>
        <v>محمودي پيام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10947922</v>
      </c>
      <c r="G714" s="1">
        <v>5465809</v>
      </c>
      <c r="H714" s="1">
        <v>0</v>
      </c>
      <c r="I714" s="1">
        <v>9052317</v>
      </c>
      <c r="J714" s="1">
        <v>0</v>
      </c>
      <c r="K714" s="1">
        <v>4620000</v>
      </c>
      <c r="L714" s="1">
        <v>0</v>
      </c>
      <c r="M714" s="1">
        <v>400000</v>
      </c>
      <c r="N714" s="1">
        <v>1913307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7311962</v>
      </c>
      <c r="W714" s="1">
        <v>1100000</v>
      </c>
      <c r="X714" s="1">
        <v>1642188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1366648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8860299</v>
      </c>
      <c r="AM714" s="1">
        <v>0</v>
      </c>
      <c r="AN714" s="1">
        <v>53950452</v>
      </c>
      <c r="AO714" s="1">
        <v>8348317</v>
      </c>
      <c r="AP714" s="1">
        <v>45602135</v>
      </c>
      <c r="AQ714" s="1">
        <v>10536090</v>
      </c>
      <c r="AR714" s="1">
        <v>1580414</v>
      </c>
      <c r="AS714" s="1">
        <v>0</v>
      </c>
      <c r="AT714" s="1">
        <f t="shared" si="79"/>
        <v>66066956</v>
      </c>
    </row>
    <row r="715" spans="1:46">
      <c r="A715" s="1" t="str">
        <f>"00806"</f>
        <v>00806</v>
      </c>
      <c r="B715" s="1" t="str">
        <f>"مصطفي"</f>
        <v>مصطفي</v>
      </c>
      <c r="C715" s="1" t="str">
        <f>"مرادي"</f>
        <v>مرادي</v>
      </c>
      <c r="D715" s="1" t="str">
        <f t="shared" si="77"/>
        <v>قراردادي بهره بردار</v>
      </c>
      <c r="E715" s="1" t="str">
        <f t="shared" si="78"/>
        <v>پروژه بهره برداري نيروگاه بوشهر</v>
      </c>
      <c r="F715" s="1">
        <v>10866089</v>
      </c>
      <c r="G715" s="1">
        <v>5888556</v>
      </c>
      <c r="H715" s="1">
        <v>0</v>
      </c>
      <c r="I715" s="1">
        <v>8394925</v>
      </c>
      <c r="J715" s="1">
        <v>0</v>
      </c>
      <c r="K715" s="1">
        <v>4620000</v>
      </c>
      <c r="L715" s="1">
        <v>0</v>
      </c>
      <c r="M715" s="1">
        <v>400000</v>
      </c>
      <c r="N715" s="1">
        <v>1872690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6803294</v>
      </c>
      <c r="W715" s="1">
        <v>1100000</v>
      </c>
      <c r="X715" s="1">
        <v>1629913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1337636</v>
      </c>
      <c r="AF715" s="1">
        <v>1111269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7433250</v>
      </c>
      <c r="AM715" s="1">
        <v>0</v>
      </c>
      <c r="AN715" s="1">
        <v>52727622</v>
      </c>
      <c r="AO715" s="1">
        <v>9733980</v>
      </c>
      <c r="AP715" s="1">
        <v>42993642</v>
      </c>
      <c r="AQ715" s="1">
        <v>10069271</v>
      </c>
      <c r="AR715" s="1">
        <v>1510391</v>
      </c>
      <c r="AS715" s="1">
        <v>0</v>
      </c>
      <c r="AT715" s="1">
        <f t="shared" si="79"/>
        <v>64307284</v>
      </c>
    </row>
    <row r="716" spans="1:46">
      <c r="A716" s="1" t="str">
        <f>"00807"</f>
        <v>00807</v>
      </c>
      <c r="B716" s="1" t="str">
        <f>"محسن"</f>
        <v>محسن</v>
      </c>
      <c r="C716" s="1" t="str">
        <f>"ملکي"</f>
        <v>ملکي</v>
      </c>
      <c r="D716" s="1" t="str">
        <f t="shared" si="77"/>
        <v>قراردادي بهره بردار</v>
      </c>
      <c r="E716" s="1" t="str">
        <f t="shared" si="78"/>
        <v>پروژه بهره برداري نيروگاه بوشهر</v>
      </c>
      <c r="F716" s="1">
        <v>11088554</v>
      </c>
      <c r="G716" s="1">
        <v>12795495</v>
      </c>
      <c r="H716" s="1">
        <v>0</v>
      </c>
      <c r="I716" s="1">
        <v>8780328</v>
      </c>
      <c r="J716" s="1">
        <v>0</v>
      </c>
      <c r="K716" s="1">
        <v>4620000</v>
      </c>
      <c r="L716" s="1">
        <v>0</v>
      </c>
      <c r="M716" s="1">
        <v>400000</v>
      </c>
      <c r="N716" s="1">
        <v>1981988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1270000</v>
      </c>
      <c r="U716" s="1">
        <v>0</v>
      </c>
      <c r="V716" s="1">
        <v>13030009</v>
      </c>
      <c r="W716" s="1">
        <v>1100000</v>
      </c>
      <c r="X716" s="1">
        <v>1663283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1415705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7573683</v>
      </c>
      <c r="AM716" s="1">
        <v>0</v>
      </c>
      <c r="AN716" s="1">
        <v>66830314</v>
      </c>
      <c r="AO716" s="1">
        <v>10897232</v>
      </c>
      <c r="AP716" s="1">
        <v>55933082</v>
      </c>
      <c r="AQ716" s="1">
        <v>12889809</v>
      </c>
      <c r="AR716" s="1">
        <v>1933471</v>
      </c>
      <c r="AS716" s="1">
        <v>0</v>
      </c>
      <c r="AT716" s="1">
        <f t="shared" si="79"/>
        <v>81653594</v>
      </c>
    </row>
    <row r="717" spans="1:46">
      <c r="A717" s="1" t="str">
        <f>"00808"</f>
        <v>00808</v>
      </c>
      <c r="B717" s="1" t="str">
        <f>"رضا"</f>
        <v>رضا</v>
      </c>
      <c r="C717" s="1" t="str">
        <f>"نگهبان"</f>
        <v>نگهبان</v>
      </c>
      <c r="D717" s="1" t="str">
        <f t="shared" si="77"/>
        <v>قراردادي بهره بردار</v>
      </c>
      <c r="E717" s="1" t="str">
        <f t="shared" si="78"/>
        <v>پروژه بهره برداري نيروگاه بوشهر</v>
      </c>
      <c r="F717" s="1">
        <v>10957782</v>
      </c>
      <c r="G717" s="1">
        <v>2793013</v>
      </c>
      <c r="H717" s="1">
        <v>0</v>
      </c>
      <c r="I717" s="1">
        <v>8228284</v>
      </c>
      <c r="J717" s="1">
        <v>0</v>
      </c>
      <c r="K717" s="1">
        <v>3465000</v>
      </c>
      <c r="L717" s="1">
        <v>0</v>
      </c>
      <c r="M717" s="1">
        <v>400000</v>
      </c>
      <c r="N717" s="1">
        <v>1930417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12640903</v>
      </c>
      <c r="W717" s="1">
        <v>1100000</v>
      </c>
      <c r="X717" s="1">
        <v>1643667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1378870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7423943</v>
      </c>
      <c r="AM717" s="1">
        <v>0</v>
      </c>
      <c r="AN717" s="1">
        <v>51961879</v>
      </c>
      <c r="AO717" s="1">
        <v>8980261</v>
      </c>
      <c r="AP717" s="1">
        <v>42981618</v>
      </c>
      <c r="AQ717" s="1">
        <v>10392376</v>
      </c>
      <c r="AR717" s="1">
        <v>1558856</v>
      </c>
      <c r="AS717" s="1">
        <v>0</v>
      </c>
      <c r="AT717" s="1">
        <f t="shared" si="79"/>
        <v>63913111</v>
      </c>
    </row>
    <row r="718" spans="1:46">
      <c r="A718" s="1" t="str">
        <f>"00809"</f>
        <v>00809</v>
      </c>
      <c r="B718" s="1" t="str">
        <f>"حسين"</f>
        <v>حسين</v>
      </c>
      <c r="C718" s="1" t="str">
        <f>"سماواتي"</f>
        <v>سماواتي</v>
      </c>
      <c r="D718" s="1" t="str">
        <f t="shared" si="77"/>
        <v>قراردادي بهره بردار</v>
      </c>
      <c r="E718" s="1" t="str">
        <f t="shared" ref="E718:E733" si="80">"پروژه تعميرات نيروگاه بوشهر"</f>
        <v>پروژه تعميرات نيروگاه بوشهر</v>
      </c>
      <c r="F718" s="1">
        <v>19898389</v>
      </c>
      <c r="G718" s="1">
        <v>4937100</v>
      </c>
      <c r="H718" s="1">
        <v>2515800</v>
      </c>
      <c r="I718" s="1">
        <v>16573138</v>
      </c>
      <c r="J718" s="1">
        <v>0</v>
      </c>
      <c r="K718" s="1">
        <v>5500000</v>
      </c>
      <c r="L718" s="1">
        <v>0</v>
      </c>
      <c r="M718" s="1">
        <v>400000</v>
      </c>
      <c r="N718" s="1">
        <v>2761400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4396676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1972428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516800</v>
      </c>
      <c r="AL718" s="1">
        <v>2761400</v>
      </c>
      <c r="AM718" s="1">
        <v>0</v>
      </c>
      <c r="AN718" s="1">
        <v>66666938</v>
      </c>
      <c r="AO718" s="1">
        <v>16998622</v>
      </c>
      <c r="AP718" s="1">
        <v>49668316</v>
      </c>
      <c r="AQ718" s="1">
        <v>12060106</v>
      </c>
      <c r="AR718" s="1">
        <v>1809016</v>
      </c>
      <c r="AS718" s="1">
        <v>0</v>
      </c>
      <c r="AT718" s="1">
        <f t="shared" si="79"/>
        <v>80536060</v>
      </c>
    </row>
    <row r="719" spans="1:46">
      <c r="A719" s="1" t="str">
        <f>"00811"</f>
        <v>00811</v>
      </c>
      <c r="B719" s="1" t="str">
        <f>"حسين"</f>
        <v>حسين</v>
      </c>
      <c r="C719" s="1" t="str">
        <f>"اسماعيلي مطلق"</f>
        <v>اسماعيلي مطلق</v>
      </c>
      <c r="D719" s="1" t="str">
        <f t="shared" ref="D719:D733" si="81">"قراردادي کارگري"</f>
        <v>قراردادي کارگري</v>
      </c>
      <c r="E719" s="1" t="str">
        <f t="shared" si="80"/>
        <v>پروژه تعميرات نيروگاه بوشهر</v>
      </c>
      <c r="F719" s="1">
        <v>6710184</v>
      </c>
      <c r="G719" s="1">
        <v>1467262</v>
      </c>
      <c r="H719" s="1">
        <v>0</v>
      </c>
      <c r="I719" s="1">
        <v>4093212</v>
      </c>
      <c r="J719" s="1">
        <v>0</v>
      </c>
      <c r="K719" s="1">
        <v>0</v>
      </c>
      <c r="L719" s="1">
        <v>4962830</v>
      </c>
      <c r="M719" s="1">
        <v>400000</v>
      </c>
      <c r="N719" s="1">
        <v>3355093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6031736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2868198</v>
      </c>
      <c r="AE719" s="1">
        <v>0</v>
      </c>
      <c r="AF719" s="1">
        <v>1111269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32099784</v>
      </c>
      <c r="AO719" s="1">
        <v>5015293</v>
      </c>
      <c r="AP719" s="1">
        <v>27084491</v>
      </c>
      <c r="AQ719" s="1">
        <v>6197703</v>
      </c>
      <c r="AR719" s="1">
        <v>929655</v>
      </c>
      <c r="AS719" s="1">
        <v>795000</v>
      </c>
      <c r="AT719" s="1">
        <f t="shared" si="79"/>
        <v>40022142</v>
      </c>
    </row>
    <row r="720" spans="1:46">
      <c r="A720" s="1" t="str">
        <f>"00812"</f>
        <v>00812</v>
      </c>
      <c r="B720" s="1" t="str">
        <f>"نجف"</f>
        <v>نجف</v>
      </c>
      <c r="C720" s="1" t="str">
        <f>"انصاري"</f>
        <v>انصاري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5802707</v>
      </c>
      <c r="G720" s="1">
        <v>5858092</v>
      </c>
      <c r="H720" s="1">
        <v>0</v>
      </c>
      <c r="I720" s="1">
        <v>3655705</v>
      </c>
      <c r="J720" s="1">
        <v>0</v>
      </c>
      <c r="K720" s="1">
        <v>0</v>
      </c>
      <c r="L720" s="1">
        <v>5641282</v>
      </c>
      <c r="M720" s="1">
        <v>400000</v>
      </c>
      <c r="N720" s="1">
        <v>2882139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4334708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1258728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34267168</v>
      </c>
      <c r="AO720" s="1">
        <v>7688851</v>
      </c>
      <c r="AP720" s="1">
        <v>26578317</v>
      </c>
      <c r="AQ720" s="1">
        <v>6186672</v>
      </c>
      <c r="AR720" s="1">
        <v>928001</v>
      </c>
      <c r="AS720" s="1">
        <v>1590000</v>
      </c>
      <c r="AT720" s="1">
        <f t="shared" si="79"/>
        <v>42971841</v>
      </c>
    </row>
    <row r="721" spans="1:46">
      <c r="A721" s="1" t="str">
        <f>"00813"</f>
        <v>00813</v>
      </c>
      <c r="B721" s="1" t="str">
        <f>"غلامرضا"</f>
        <v>غلامرضا</v>
      </c>
      <c r="C721" s="1" t="str">
        <f>"برخ"</f>
        <v>برخ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4619784</v>
      </c>
      <c r="G721" s="1">
        <v>18786632</v>
      </c>
      <c r="H721" s="1">
        <v>0</v>
      </c>
      <c r="I721" s="1">
        <v>2910464</v>
      </c>
      <c r="J721" s="1">
        <v>0</v>
      </c>
      <c r="K721" s="1">
        <v>0</v>
      </c>
      <c r="L721" s="1">
        <v>5218200</v>
      </c>
      <c r="M721" s="1">
        <v>400000</v>
      </c>
      <c r="N721" s="1">
        <v>2309893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4760523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42328034</v>
      </c>
      <c r="AO721" s="1">
        <v>8633666</v>
      </c>
      <c r="AP721" s="1">
        <v>33694368</v>
      </c>
      <c r="AQ721" s="1">
        <v>8021099</v>
      </c>
      <c r="AR721" s="1">
        <v>1203165</v>
      </c>
      <c r="AS721" s="1">
        <v>1060000</v>
      </c>
      <c r="AT721" s="1">
        <f t="shared" si="79"/>
        <v>52612298</v>
      </c>
    </row>
    <row r="722" spans="1:46">
      <c r="A722" s="1" t="str">
        <f>"00814"</f>
        <v>00814</v>
      </c>
      <c r="B722" s="1" t="str">
        <f>"مرتضي"</f>
        <v>مرتضي</v>
      </c>
      <c r="C722" s="1" t="str">
        <f>"پيش خورد"</f>
        <v>پيش خورد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8338431</v>
      </c>
      <c r="G722" s="1">
        <v>11884547</v>
      </c>
      <c r="H722" s="1">
        <v>0</v>
      </c>
      <c r="I722" s="1">
        <v>5836902</v>
      </c>
      <c r="J722" s="1">
        <v>0</v>
      </c>
      <c r="K722" s="1">
        <v>0</v>
      </c>
      <c r="L722" s="1">
        <v>3620700</v>
      </c>
      <c r="M722" s="1">
        <v>400000</v>
      </c>
      <c r="N722" s="1">
        <v>4417712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4505612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43437711</v>
      </c>
      <c r="AO722" s="1">
        <v>9444705</v>
      </c>
      <c r="AP722" s="1">
        <v>33993006</v>
      </c>
      <c r="AQ722" s="1">
        <v>8020781</v>
      </c>
      <c r="AR722" s="1">
        <v>1203117</v>
      </c>
      <c r="AS722" s="1">
        <v>1325000</v>
      </c>
      <c r="AT722" s="1">
        <f t="shared" si="79"/>
        <v>53986609</v>
      </c>
    </row>
    <row r="723" spans="1:46">
      <c r="A723" s="1" t="str">
        <f>"00815"</f>
        <v>00815</v>
      </c>
      <c r="B723" s="1" t="str">
        <f>"امير"</f>
        <v>امير</v>
      </c>
      <c r="C723" s="1" t="str">
        <f>"جاودانيان"</f>
        <v>جاودانيان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5393232</v>
      </c>
      <c r="G723" s="1">
        <v>6309274</v>
      </c>
      <c r="H723" s="1">
        <v>0</v>
      </c>
      <c r="I723" s="1">
        <v>3235939</v>
      </c>
      <c r="J723" s="1">
        <v>0</v>
      </c>
      <c r="K723" s="1">
        <v>0</v>
      </c>
      <c r="L723" s="1">
        <v>5344467</v>
      </c>
      <c r="M723" s="1">
        <v>400000</v>
      </c>
      <c r="N723" s="1">
        <v>2696616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3452348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1111269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29043145</v>
      </c>
      <c r="AO723" s="1">
        <v>6141348</v>
      </c>
      <c r="AP723" s="1">
        <v>22901797</v>
      </c>
      <c r="AQ723" s="1">
        <v>5586375</v>
      </c>
      <c r="AR723" s="1">
        <v>837956</v>
      </c>
      <c r="AS723" s="1">
        <v>795000</v>
      </c>
      <c r="AT723" s="1">
        <f t="shared" si="79"/>
        <v>36262476</v>
      </c>
    </row>
    <row r="724" spans="1:46">
      <c r="A724" s="1" t="str">
        <f>"00816"</f>
        <v>00816</v>
      </c>
      <c r="B724" s="1" t="str">
        <f>"علي"</f>
        <v>علي</v>
      </c>
      <c r="C724" s="1" t="str">
        <f>"جاودانيان"</f>
        <v>جاودانيان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8800584</v>
      </c>
      <c r="G724" s="1">
        <v>14709266</v>
      </c>
      <c r="H724" s="1">
        <v>0</v>
      </c>
      <c r="I724" s="1">
        <v>6424426</v>
      </c>
      <c r="J724" s="1">
        <v>0</v>
      </c>
      <c r="K724" s="1">
        <v>0</v>
      </c>
      <c r="L724" s="1">
        <v>3620700</v>
      </c>
      <c r="M724" s="1">
        <v>400000</v>
      </c>
      <c r="N724" s="1">
        <v>4693645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5696453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1111269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46556343</v>
      </c>
      <c r="AO724" s="1">
        <v>10671752</v>
      </c>
      <c r="AP724" s="1">
        <v>35884591</v>
      </c>
      <c r="AQ724" s="1">
        <v>9089015</v>
      </c>
      <c r="AR724" s="1">
        <v>1363352</v>
      </c>
      <c r="AS724" s="1">
        <v>795000</v>
      </c>
      <c r="AT724" s="1">
        <f t="shared" si="79"/>
        <v>57803710</v>
      </c>
    </row>
    <row r="725" spans="1:46">
      <c r="A725" s="1" t="str">
        <f>"00817"</f>
        <v>00817</v>
      </c>
      <c r="B725" s="1" t="str">
        <f>"علي"</f>
        <v>علي</v>
      </c>
      <c r="C725" s="1" t="str">
        <f>"دهقاندوست"</f>
        <v>دهقاندوست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5302927</v>
      </c>
      <c r="G725" s="1">
        <v>14359997</v>
      </c>
      <c r="H725" s="1">
        <v>0</v>
      </c>
      <c r="I725" s="1">
        <v>3340844</v>
      </c>
      <c r="J725" s="1">
        <v>0</v>
      </c>
      <c r="K725" s="1">
        <v>0</v>
      </c>
      <c r="L725" s="1">
        <v>4837960</v>
      </c>
      <c r="M725" s="1">
        <v>400000</v>
      </c>
      <c r="N725" s="1">
        <v>2809498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5114978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3333807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40600011</v>
      </c>
      <c r="AO725" s="1">
        <v>7645777</v>
      </c>
      <c r="AP725" s="1">
        <v>32954234</v>
      </c>
      <c r="AQ725" s="1">
        <v>7453241</v>
      </c>
      <c r="AR725" s="1">
        <v>1117986</v>
      </c>
      <c r="AS725" s="1">
        <v>975000</v>
      </c>
      <c r="AT725" s="1">
        <f t="shared" si="79"/>
        <v>50146238</v>
      </c>
    </row>
    <row r="726" spans="1:46">
      <c r="A726" s="1" t="str">
        <f>"00819"</f>
        <v>00819</v>
      </c>
      <c r="B726" s="1" t="str">
        <f>"عبدالرضا"</f>
        <v>عبدالرضا</v>
      </c>
      <c r="C726" s="1" t="str">
        <f>"سليماني"</f>
        <v>سليماني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7332078</v>
      </c>
      <c r="G726" s="1">
        <v>9646468</v>
      </c>
      <c r="H726" s="1">
        <v>0</v>
      </c>
      <c r="I726" s="1">
        <v>5352417</v>
      </c>
      <c r="J726" s="1">
        <v>0</v>
      </c>
      <c r="K726" s="1">
        <v>0</v>
      </c>
      <c r="L726" s="1">
        <v>3620700</v>
      </c>
      <c r="M726" s="1">
        <v>400000</v>
      </c>
      <c r="N726" s="1">
        <v>3910442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6243246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4445076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42050427</v>
      </c>
      <c r="AO726" s="1">
        <v>7813873</v>
      </c>
      <c r="AP726" s="1">
        <v>34236554</v>
      </c>
      <c r="AQ726" s="1">
        <v>7521070</v>
      </c>
      <c r="AR726" s="1">
        <v>1128161</v>
      </c>
      <c r="AS726" s="1">
        <v>975000</v>
      </c>
      <c r="AT726" s="1">
        <f t="shared" si="79"/>
        <v>51674658</v>
      </c>
    </row>
    <row r="727" spans="1:46">
      <c r="A727" s="1" t="str">
        <f>"00821"</f>
        <v>00821</v>
      </c>
      <c r="B727" s="1" t="str">
        <f>"حمادي"</f>
        <v>حمادي</v>
      </c>
      <c r="C727" s="1" t="str">
        <f>"شعباني"</f>
        <v>شعباني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9013247</v>
      </c>
      <c r="G727" s="1">
        <v>12562866</v>
      </c>
      <c r="H727" s="1">
        <v>0</v>
      </c>
      <c r="I727" s="1">
        <v>6489538</v>
      </c>
      <c r="J727" s="1">
        <v>0</v>
      </c>
      <c r="K727" s="1">
        <v>0</v>
      </c>
      <c r="L727" s="1">
        <v>3620700</v>
      </c>
      <c r="M727" s="1">
        <v>400000</v>
      </c>
      <c r="N727" s="1">
        <v>4743814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10590848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4445076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52966089</v>
      </c>
      <c r="AO727" s="1">
        <v>8134038</v>
      </c>
      <c r="AP727" s="1">
        <v>44832051</v>
      </c>
      <c r="AQ727" s="1">
        <v>9704203</v>
      </c>
      <c r="AR727" s="1">
        <v>1455630</v>
      </c>
      <c r="AS727" s="1">
        <v>1060000</v>
      </c>
      <c r="AT727" s="1">
        <f t="shared" si="79"/>
        <v>65185922</v>
      </c>
    </row>
    <row r="728" spans="1:46">
      <c r="A728" s="1" t="str">
        <f>"00822"</f>
        <v>00822</v>
      </c>
      <c r="B728" s="1" t="str">
        <f>"محمد"</f>
        <v>محمد</v>
      </c>
      <c r="C728" s="1" t="str">
        <f>"مقاتلي"</f>
        <v>مقاتلي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8455668</v>
      </c>
      <c r="G728" s="1">
        <v>11849662</v>
      </c>
      <c r="H728" s="1">
        <v>0</v>
      </c>
      <c r="I728" s="1">
        <v>5242514</v>
      </c>
      <c r="J728" s="1">
        <v>0</v>
      </c>
      <c r="K728" s="1">
        <v>0</v>
      </c>
      <c r="L728" s="1">
        <v>4389193</v>
      </c>
      <c r="M728" s="1">
        <v>400000</v>
      </c>
      <c r="N728" s="1">
        <v>4509690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5421840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43591105</v>
      </c>
      <c r="AO728" s="1">
        <v>9434770</v>
      </c>
      <c r="AP728" s="1">
        <v>34156335</v>
      </c>
      <c r="AQ728" s="1">
        <v>8273713</v>
      </c>
      <c r="AR728" s="1">
        <v>1241057</v>
      </c>
      <c r="AS728" s="1">
        <v>780000</v>
      </c>
      <c r="AT728" s="1">
        <f t="shared" si="79"/>
        <v>53885875</v>
      </c>
    </row>
    <row r="729" spans="1:46">
      <c r="A729" s="1" t="str">
        <f>"00827"</f>
        <v>00827</v>
      </c>
      <c r="B729" s="1" t="str">
        <f>"رضا"</f>
        <v>رضا</v>
      </c>
      <c r="C729" s="1" t="str">
        <f>"غفاري"</f>
        <v>غفاري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7593378</v>
      </c>
      <c r="G729" s="1">
        <v>5175953</v>
      </c>
      <c r="H729" s="1">
        <v>0</v>
      </c>
      <c r="I729" s="1">
        <v>5391298</v>
      </c>
      <c r="J729" s="1">
        <v>0</v>
      </c>
      <c r="K729" s="1">
        <v>0</v>
      </c>
      <c r="L729" s="1">
        <v>3620700</v>
      </c>
      <c r="M729" s="1">
        <v>400000</v>
      </c>
      <c r="N729" s="1">
        <v>4049802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6646553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3098277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39298499</v>
      </c>
      <c r="AO729" s="1">
        <v>7049015</v>
      </c>
      <c r="AP729" s="1">
        <v>32249484</v>
      </c>
      <c r="AQ729" s="1">
        <v>7415192</v>
      </c>
      <c r="AR729" s="1">
        <v>1112279</v>
      </c>
      <c r="AS729" s="1">
        <v>1060000</v>
      </c>
      <c r="AT729" s="1">
        <f t="shared" si="79"/>
        <v>48885970</v>
      </c>
    </row>
    <row r="730" spans="1:46">
      <c r="A730" s="1" t="str">
        <f>"00828"</f>
        <v>00828</v>
      </c>
      <c r="B730" s="1" t="str">
        <f>"علي"</f>
        <v>علي</v>
      </c>
      <c r="C730" s="1" t="str">
        <f>"كابلي"</f>
        <v>كابلي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8575866</v>
      </c>
      <c r="G730" s="1">
        <v>5719159</v>
      </c>
      <c r="H730" s="1">
        <v>0</v>
      </c>
      <c r="I730" s="1">
        <v>6088865</v>
      </c>
      <c r="J730" s="1">
        <v>0</v>
      </c>
      <c r="K730" s="1">
        <v>0</v>
      </c>
      <c r="L730" s="1">
        <v>3620700</v>
      </c>
      <c r="M730" s="1">
        <v>400000</v>
      </c>
      <c r="N730" s="1">
        <v>4573795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7307768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3428884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44148844</v>
      </c>
      <c r="AO730" s="1">
        <v>7999489</v>
      </c>
      <c r="AP730" s="1">
        <v>36149355</v>
      </c>
      <c r="AQ730" s="1">
        <v>8163007</v>
      </c>
      <c r="AR730" s="1">
        <v>1224451</v>
      </c>
      <c r="AS730" s="1">
        <v>1325000</v>
      </c>
      <c r="AT730" s="1">
        <f t="shared" si="79"/>
        <v>54861302</v>
      </c>
    </row>
    <row r="731" spans="1:46">
      <c r="A731" s="1" t="str">
        <f>"00831"</f>
        <v>00831</v>
      </c>
      <c r="B731" s="1" t="str">
        <f>"مرتضي"</f>
        <v>مرتضي</v>
      </c>
      <c r="C731" s="1" t="str">
        <f>"كهن"</f>
        <v>كهن</v>
      </c>
      <c r="D731" s="1" t="str">
        <f t="shared" si="81"/>
        <v>قراردادي کارگري</v>
      </c>
      <c r="E731" s="1" t="str">
        <f t="shared" si="80"/>
        <v>پروژه تعميرات نيروگاه بوشهر</v>
      </c>
      <c r="F731" s="1">
        <v>6913998</v>
      </c>
      <c r="G731" s="1">
        <v>4349078</v>
      </c>
      <c r="H731" s="1">
        <v>0</v>
      </c>
      <c r="I731" s="1">
        <v>4978079</v>
      </c>
      <c r="J731" s="1">
        <v>0</v>
      </c>
      <c r="K731" s="1">
        <v>0</v>
      </c>
      <c r="L731" s="1">
        <v>3620700</v>
      </c>
      <c r="M731" s="1">
        <v>400000</v>
      </c>
      <c r="N731" s="1">
        <v>3687466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4657554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2222538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31929413</v>
      </c>
      <c r="AO731" s="1">
        <v>6897252</v>
      </c>
      <c r="AP731" s="1">
        <v>25032161</v>
      </c>
      <c r="AQ731" s="1">
        <v>5941375</v>
      </c>
      <c r="AR731" s="1">
        <v>891206</v>
      </c>
      <c r="AS731" s="1">
        <v>1425000</v>
      </c>
      <c r="AT731" s="1">
        <f t="shared" si="79"/>
        <v>40186994</v>
      </c>
    </row>
    <row r="732" spans="1:46">
      <c r="A732" s="1" t="str">
        <f>"00832"</f>
        <v>00832</v>
      </c>
      <c r="B732" s="1" t="str">
        <f>"ابراهيم"</f>
        <v>ابراهيم</v>
      </c>
      <c r="C732" s="1" t="str">
        <f>"عبدالهي"</f>
        <v>عبدالهي</v>
      </c>
      <c r="D732" s="1" t="str">
        <f t="shared" si="81"/>
        <v>قراردادي کارگري</v>
      </c>
      <c r="E732" s="1" t="str">
        <f t="shared" si="80"/>
        <v>پروژه تعميرات نيروگاه بوشهر</v>
      </c>
      <c r="F732" s="1">
        <v>6976710</v>
      </c>
      <c r="G732" s="1">
        <v>3757100</v>
      </c>
      <c r="H732" s="1">
        <v>0</v>
      </c>
      <c r="I732" s="1">
        <v>4953464</v>
      </c>
      <c r="J732" s="1">
        <v>0</v>
      </c>
      <c r="K732" s="1">
        <v>0</v>
      </c>
      <c r="L732" s="1">
        <v>3620700</v>
      </c>
      <c r="M732" s="1">
        <v>400000</v>
      </c>
      <c r="N732" s="1">
        <v>3720912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6491183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2500000</v>
      </c>
      <c r="AJ732" s="1">
        <v>0</v>
      </c>
      <c r="AK732" s="1">
        <v>0</v>
      </c>
      <c r="AL732" s="1">
        <v>0</v>
      </c>
      <c r="AM732" s="1">
        <v>0</v>
      </c>
      <c r="AN732" s="1">
        <v>33520069</v>
      </c>
      <c r="AO732" s="1">
        <v>5171371</v>
      </c>
      <c r="AP732" s="1">
        <v>28348698</v>
      </c>
      <c r="AQ732" s="1">
        <v>6204014</v>
      </c>
      <c r="AR732" s="1">
        <v>930602</v>
      </c>
      <c r="AS732" s="1">
        <v>600000</v>
      </c>
      <c r="AT732" s="1">
        <f t="shared" si="79"/>
        <v>41254685</v>
      </c>
    </row>
    <row r="733" spans="1:46">
      <c r="A733" s="1" t="str">
        <f>"00834"</f>
        <v>00834</v>
      </c>
      <c r="B733" s="1" t="str">
        <f>"محمد"</f>
        <v>محمد</v>
      </c>
      <c r="C733" s="1" t="str">
        <f>"عساکره"</f>
        <v>عساکره</v>
      </c>
      <c r="D733" s="1" t="str">
        <f t="shared" si="81"/>
        <v>قراردادي کارگري</v>
      </c>
      <c r="E733" s="1" t="str">
        <f t="shared" si="80"/>
        <v>پروژه تعميرات نيروگاه بوشهر</v>
      </c>
      <c r="F733" s="1">
        <v>4982015</v>
      </c>
      <c r="G733" s="1">
        <v>4368659</v>
      </c>
      <c r="H733" s="1">
        <v>0</v>
      </c>
      <c r="I733" s="1">
        <v>3138670</v>
      </c>
      <c r="J733" s="1">
        <v>0</v>
      </c>
      <c r="K733" s="1">
        <v>0</v>
      </c>
      <c r="L733" s="1">
        <v>5350529</v>
      </c>
      <c r="M733" s="1">
        <v>400000</v>
      </c>
      <c r="N733" s="1">
        <v>2474511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5451789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30599980</v>
      </c>
      <c r="AO733" s="1">
        <v>5692764</v>
      </c>
      <c r="AP733" s="1">
        <v>24907216</v>
      </c>
      <c r="AQ733" s="1">
        <v>5453235</v>
      </c>
      <c r="AR733" s="1">
        <v>817985</v>
      </c>
      <c r="AS733" s="1">
        <v>390000</v>
      </c>
      <c r="AT733" s="1">
        <f t="shared" si="79"/>
        <v>37261200</v>
      </c>
    </row>
    <row r="734" spans="1:46">
      <c r="A734" s="1" t="str">
        <f>"00835"</f>
        <v>00835</v>
      </c>
      <c r="B734" s="1" t="str">
        <f>"صادق"</f>
        <v>صادق</v>
      </c>
      <c r="C734" s="1" t="str">
        <f>"عباسي"</f>
        <v>عباسي</v>
      </c>
      <c r="D734" s="1" t="str">
        <f>"قراردادي بهره بردار"</f>
        <v>قراردادي بهره بردار</v>
      </c>
      <c r="E734" s="1" t="str">
        <f>"پروژه بهره برداري نيروگاه بوشهر"</f>
        <v>پروژه بهره برداري نيروگاه بوشهر</v>
      </c>
      <c r="F734" s="1">
        <v>17327979</v>
      </c>
      <c r="G734" s="1">
        <v>33172119</v>
      </c>
      <c r="H734" s="1">
        <v>0</v>
      </c>
      <c r="I734" s="1">
        <v>13375012</v>
      </c>
      <c r="J734" s="1">
        <v>0</v>
      </c>
      <c r="K734" s="1">
        <v>5500000</v>
      </c>
      <c r="L734" s="1">
        <v>0</v>
      </c>
      <c r="M734" s="1">
        <v>400000</v>
      </c>
      <c r="N734" s="1">
        <v>2353425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1270000</v>
      </c>
      <c r="U734" s="1">
        <v>0</v>
      </c>
      <c r="V734" s="1">
        <v>3725896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1681018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2521527</v>
      </c>
      <c r="AM734" s="1">
        <v>0</v>
      </c>
      <c r="AN734" s="1">
        <v>82426976</v>
      </c>
      <c r="AO734" s="1">
        <v>12903338</v>
      </c>
      <c r="AP734" s="1">
        <v>69523638</v>
      </c>
      <c r="AQ734" s="1">
        <v>15557766</v>
      </c>
      <c r="AR734" s="1">
        <v>2333665</v>
      </c>
      <c r="AS734" s="1">
        <v>0</v>
      </c>
      <c r="AT734" s="1">
        <f t="shared" si="79"/>
        <v>100318407</v>
      </c>
    </row>
    <row r="735" spans="1:46">
      <c r="A735" s="1" t="str">
        <f>"00836"</f>
        <v>00836</v>
      </c>
      <c r="B735" s="1" t="str">
        <f>"حميد"</f>
        <v>حميد</v>
      </c>
      <c r="C735" s="1" t="str">
        <f>"گزدرازي"</f>
        <v>گزدرازي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8293662</v>
      </c>
      <c r="G735" s="1">
        <v>10846144</v>
      </c>
      <c r="H735" s="1">
        <v>0</v>
      </c>
      <c r="I735" s="1">
        <v>5971437</v>
      </c>
      <c r="J735" s="1">
        <v>0</v>
      </c>
      <c r="K735" s="1">
        <v>0</v>
      </c>
      <c r="L735" s="1">
        <v>3620700</v>
      </c>
      <c r="M735" s="1">
        <v>400000</v>
      </c>
      <c r="N735" s="1">
        <v>4423286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7440339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45429375</v>
      </c>
      <c r="AO735" s="1">
        <v>13545386</v>
      </c>
      <c r="AP735" s="1">
        <v>31883989</v>
      </c>
      <c r="AQ735" s="1">
        <v>8419114</v>
      </c>
      <c r="AR735" s="1">
        <v>1262867</v>
      </c>
      <c r="AS735" s="1">
        <v>2650000</v>
      </c>
      <c r="AT735" s="1">
        <f t="shared" si="79"/>
        <v>57761356</v>
      </c>
    </row>
    <row r="736" spans="1:46">
      <c r="A736" s="1" t="str">
        <f>"00837"</f>
        <v>00837</v>
      </c>
      <c r="B736" s="1" t="str">
        <f>"فرشيد"</f>
        <v>فرشيد</v>
      </c>
      <c r="C736" s="1" t="str">
        <f>"عباسيان"</f>
        <v>عباسيان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5058768</v>
      </c>
      <c r="G736" s="1">
        <v>5918093</v>
      </c>
      <c r="H736" s="1">
        <v>0</v>
      </c>
      <c r="I736" s="1">
        <v>4047014</v>
      </c>
      <c r="J736" s="1">
        <v>0</v>
      </c>
      <c r="K736" s="1">
        <v>0</v>
      </c>
      <c r="L736" s="1">
        <v>5675700</v>
      </c>
      <c r="M736" s="1">
        <v>400000</v>
      </c>
      <c r="N736" s="1">
        <v>2529384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5878396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32829893</v>
      </c>
      <c r="AO736" s="1">
        <v>7983869</v>
      </c>
      <c r="AP736" s="1">
        <v>24846024</v>
      </c>
      <c r="AQ736" s="1">
        <v>6121471</v>
      </c>
      <c r="AR736" s="1">
        <v>918221</v>
      </c>
      <c r="AS736" s="1">
        <v>1060000</v>
      </c>
      <c r="AT736" s="1">
        <f t="shared" si="79"/>
        <v>40929585</v>
      </c>
    </row>
    <row r="737" spans="1:46">
      <c r="A737" s="1" t="str">
        <f>"00838"</f>
        <v>00838</v>
      </c>
      <c r="B737" s="1" t="str">
        <f>"حسن"</f>
        <v>حسن</v>
      </c>
      <c r="C737" s="1" t="str">
        <f>"رستمي"</f>
        <v>رستمي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8227954</v>
      </c>
      <c r="G737" s="1">
        <v>6456833</v>
      </c>
      <c r="H737" s="1">
        <v>0</v>
      </c>
      <c r="I737" s="1">
        <v>5924127</v>
      </c>
      <c r="J737" s="1">
        <v>0</v>
      </c>
      <c r="K737" s="1">
        <v>0</v>
      </c>
      <c r="L737" s="1">
        <v>3620700</v>
      </c>
      <c r="M737" s="1">
        <v>400000</v>
      </c>
      <c r="N737" s="1">
        <v>4359181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7384988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3333807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40807590</v>
      </c>
      <c r="AO737" s="1">
        <v>10197400</v>
      </c>
      <c r="AP737" s="1">
        <v>30610190</v>
      </c>
      <c r="AQ737" s="1">
        <v>7494757</v>
      </c>
      <c r="AR737" s="1">
        <v>1124213</v>
      </c>
      <c r="AS737" s="1">
        <v>975000</v>
      </c>
      <c r="AT737" s="1">
        <f t="shared" si="79"/>
        <v>50401560</v>
      </c>
    </row>
    <row r="738" spans="1:46">
      <c r="A738" s="1" t="str">
        <f>"00839"</f>
        <v>00839</v>
      </c>
      <c r="B738" s="1" t="str">
        <f>"اکبر"</f>
        <v>اکبر</v>
      </c>
      <c r="C738" s="1" t="str">
        <f>"يزدان پناه"</f>
        <v>يزدان پناه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7112586</v>
      </c>
      <c r="G738" s="1">
        <v>7658114</v>
      </c>
      <c r="H738" s="1">
        <v>0</v>
      </c>
      <c r="I738" s="1">
        <v>5121062</v>
      </c>
      <c r="J738" s="1">
        <v>0</v>
      </c>
      <c r="K738" s="1">
        <v>0</v>
      </c>
      <c r="L738" s="1">
        <v>3620700</v>
      </c>
      <c r="M738" s="1">
        <v>400000</v>
      </c>
      <c r="N738" s="1">
        <v>3793379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6608665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2222538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37637044</v>
      </c>
      <c r="AO738" s="1">
        <v>6186891</v>
      </c>
      <c r="AP738" s="1">
        <v>31450153</v>
      </c>
      <c r="AQ738" s="1">
        <v>7082901</v>
      </c>
      <c r="AR738" s="1">
        <v>1062435</v>
      </c>
      <c r="AS738" s="1">
        <v>1325000</v>
      </c>
      <c r="AT738" s="1">
        <f t="shared" si="79"/>
        <v>47107380</v>
      </c>
    </row>
    <row r="739" spans="1:46">
      <c r="A739" s="1" t="str">
        <f>"00840"</f>
        <v>00840</v>
      </c>
      <c r="B739" s="1" t="str">
        <f>"سعيد"</f>
        <v>سعيد</v>
      </c>
      <c r="C739" s="1" t="str">
        <f>"اکبري"</f>
        <v>اکبري</v>
      </c>
      <c r="D739" s="1" t="str">
        <f t="shared" ref="D739:D760" si="82">"قراردادي بهره بردار"</f>
        <v>قراردادي بهره بردار</v>
      </c>
      <c r="E739" s="1" t="str">
        <f>"پروژه بهره برداري نيروگاه بوشهر"</f>
        <v>پروژه بهره برداري نيروگاه بوشهر</v>
      </c>
      <c r="F739" s="1">
        <v>15201639</v>
      </c>
      <c r="G739" s="1">
        <v>6935555</v>
      </c>
      <c r="H739" s="1">
        <v>0</v>
      </c>
      <c r="I739" s="1">
        <v>11530169</v>
      </c>
      <c r="J739" s="1">
        <v>0</v>
      </c>
      <c r="K739" s="1">
        <v>4125000</v>
      </c>
      <c r="L739" s="1">
        <v>0</v>
      </c>
      <c r="M739" s="1">
        <v>400000</v>
      </c>
      <c r="N739" s="1">
        <v>2549244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8253884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1820888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8202268</v>
      </c>
      <c r="AM739" s="1">
        <v>0</v>
      </c>
      <c r="AN739" s="1">
        <v>60118647</v>
      </c>
      <c r="AO739" s="1">
        <v>9637933</v>
      </c>
      <c r="AP739" s="1">
        <v>50480714</v>
      </c>
      <c r="AQ739" s="1">
        <v>12023729</v>
      </c>
      <c r="AR739" s="1">
        <v>1803559</v>
      </c>
      <c r="AS739" s="1">
        <v>0</v>
      </c>
      <c r="AT739" s="1">
        <f t="shared" si="79"/>
        <v>73945935</v>
      </c>
    </row>
    <row r="740" spans="1:46">
      <c r="A740" s="1" t="str">
        <f>"00841"</f>
        <v>00841</v>
      </c>
      <c r="B740" s="1" t="str">
        <f>"يوسف"</f>
        <v>يوسف</v>
      </c>
      <c r="C740" s="1" t="str">
        <f>"آهنين جان"</f>
        <v>آهنين جان</v>
      </c>
      <c r="D740" s="1" t="str">
        <f t="shared" si="82"/>
        <v>قراردادي بهره بردار</v>
      </c>
      <c r="E740" s="1" t="str">
        <f t="shared" ref="E740:E760" si="83">"پروژه تعميرات نيروگاه بوشهر"</f>
        <v>پروژه تعميرات نيروگاه بوشهر</v>
      </c>
      <c r="F740" s="1">
        <v>11003470</v>
      </c>
      <c r="G740" s="1">
        <v>4848886</v>
      </c>
      <c r="H740" s="1">
        <v>0</v>
      </c>
      <c r="I740" s="1">
        <v>8192868</v>
      </c>
      <c r="J740" s="1">
        <v>0</v>
      </c>
      <c r="K740" s="1">
        <v>4620000</v>
      </c>
      <c r="L740" s="1">
        <v>0</v>
      </c>
      <c r="M740" s="1">
        <v>400000</v>
      </c>
      <c r="N740" s="1">
        <v>1905991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4770271</v>
      </c>
      <c r="W740" s="1">
        <v>1100000</v>
      </c>
      <c r="X740" s="1">
        <v>0</v>
      </c>
      <c r="Y740" s="1">
        <v>0</v>
      </c>
      <c r="Z740" s="1">
        <v>0</v>
      </c>
      <c r="AA740" s="1">
        <v>10000000</v>
      </c>
      <c r="AB740" s="1">
        <v>0</v>
      </c>
      <c r="AC740" s="1">
        <v>0</v>
      </c>
      <c r="AD740" s="1">
        <v>0</v>
      </c>
      <c r="AE740" s="1">
        <v>1361423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6015479</v>
      </c>
      <c r="AM740" s="1">
        <v>0</v>
      </c>
      <c r="AN740" s="1">
        <v>54218388</v>
      </c>
      <c r="AO740" s="1">
        <v>7549376</v>
      </c>
      <c r="AP740" s="1">
        <v>46669012</v>
      </c>
      <c r="AQ740" s="1">
        <v>8843678</v>
      </c>
      <c r="AR740" s="1">
        <v>1326552</v>
      </c>
      <c r="AS740" s="1">
        <v>0</v>
      </c>
      <c r="AT740" s="1">
        <f t="shared" si="79"/>
        <v>64388618</v>
      </c>
    </row>
    <row r="741" spans="1:46">
      <c r="A741" s="1" t="str">
        <f>"00842"</f>
        <v>00842</v>
      </c>
      <c r="B741" s="1" t="str">
        <f>"نعمت اله"</f>
        <v>نعمت اله</v>
      </c>
      <c r="C741" s="1" t="str">
        <f>"احمدي ديرين"</f>
        <v>احمدي ديرين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10694105</v>
      </c>
      <c r="G741" s="1">
        <v>9601261</v>
      </c>
      <c r="H741" s="1">
        <v>0</v>
      </c>
      <c r="I741" s="1">
        <v>8264027</v>
      </c>
      <c r="J741" s="1">
        <v>0</v>
      </c>
      <c r="K741" s="1">
        <v>3465000</v>
      </c>
      <c r="L741" s="1">
        <v>0</v>
      </c>
      <c r="M741" s="1">
        <v>400000</v>
      </c>
      <c r="N741" s="1">
        <v>1816425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10359480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1297446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5189786</v>
      </c>
      <c r="AM741" s="1">
        <v>0</v>
      </c>
      <c r="AN741" s="1">
        <v>52187530</v>
      </c>
      <c r="AO741" s="1">
        <v>8932184</v>
      </c>
      <c r="AP741" s="1">
        <v>43255346</v>
      </c>
      <c r="AQ741" s="1">
        <v>10437506</v>
      </c>
      <c r="AR741" s="1">
        <v>1565626</v>
      </c>
      <c r="AS741" s="1">
        <v>0</v>
      </c>
      <c r="AT741" s="1">
        <f t="shared" si="79"/>
        <v>64190662</v>
      </c>
    </row>
    <row r="742" spans="1:46">
      <c r="A742" s="1" t="str">
        <f>"00843"</f>
        <v>00843</v>
      </c>
      <c r="B742" s="1" t="str">
        <f>"رضا"</f>
        <v>رضا</v>
      </c>
      <c r="C742" s="1" t="str">
        <f>"الياسي"</f>
        <v>الياسي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12914165</v>
      </c>
      <c r="G742" s="1">
        <v>10118551</v>
      </c>
      <c r="H742" s="1">
        <v>0</v>
      </c>
      <c r="I742" s="1">
        <v>10461288</v>
      </c>
      <c r="J742" s="1">
        <v>0</v>
      </c>
      <c r="K742" s="1">
        <v>4620000</v>
      </c>
      <c r="L742" s="1">
        <v>0</v>
      </c>
      <c r="M742" s="1">
        <v>400000</v>
      </c>
      <c r="N742" s="1">
        <v>2431674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12737224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1736911</v>
      </c>
      <c r="AF742" s="1">
        <v>1111269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5974973</v>
      </c>
      <c r="AM742" s="1">
        <v>0</v>
      </c>
      <c r="AN742" s="1">
        <v>63606055</v>
      </c>
      <c r="AO742" s="1">
        <v>16312820</v>
      </c>
      <c r="AP742" s="1">
        <v>47293235</v>
      </c>
      <c r="AQ742" s="1">
        <v>12498957</v>
      </c>
      <c r="AR742" s="1">
        <v>1874844</v>
      </c>
      <c r="AS742" s="1">
        <v>0</v>
      </c>
      <c r="AT742" s="1">
        <f t="shared" si="79"/>
        <v>77979856</v>
      </c>
    </row>
    <row r="743" spans="1:46">
      <c r="A743" s="1" t="str">
        <f>"00844"</f>
        <v>00844</v>
      </c>
      <c r="B743" s="1" t="str">
        <f>"محمدرضا"</f>
        <v>محمدرضا</v>
      </c>
      <c r="C743" s="1" t="str">
        <f>"چاووشيان نائيني"</f>
        <v>چاووشيان نائيني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16198282</v>
      </c>
      <c r="G743" s="1">
        <v>3241020</v>
      </c>
      <c r="H743" s="1">
        <v>0</v>
      </c>
      <c r="I743" s="1">
        <v>12698112</v>
      </c>
      <c r="J743" s="1">
        <v>0</v>
      </c>
      <c r="K743" s="1">
        <v>5500000</v>
      </c>
      <c r="L743" s="1">
        <v>0</v>
      </c>
      <c r="M743" s="1">
        <v>400000</v>
      </c>
      <c r="N743" s="1">
        <v>2877408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7330717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2055291</v>
      </c>
      <c r="AF743" s="1">
        <v>1111269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3288466</v>
      </c>
      <c r="AM743" s="1">
        <v>0</v>
      </c>
      <c r="AN743" s="1">
        <v>55800565</v>
      </c>
      <c r="AO743" s="1">
        <v>10211380</v>
      </c>
      <c r="AP743" s="1">
        <v>45589185</v>
      </c>
      <c r="AQ743" s="1">
        <v>10937859</v>
      </c>
      <c r="AR743" s="1">
        <v>1640679</v>
      </c>
      <c r="AS743" s="1">
        <v>0</v>
      </c>
      <c r="AT743" s="1">
        <f t="shared" si="79"/>
        <v>68379103</v>
      </c>
    </row>
    <row r="744" spans="1:46">
      <c r="A744" s="1" t="str">
        <f>"00845"</f>
        <v>00845</v>
      </c>
      <c r="B744" s="1" t="str">
        <f>"مهدي"</f>
        <v>مهدي</v>
      </c>
      <c r="C744" s="1" t="str">
        <f>"حسيني"</f>
        <v>حسيني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9461089</v>
      </c>
      <c r="G744" s="1">
        <v>0</v>
      </c>
      <c r="H744" s="1">
        <v>0</v>
      </c>
      <c r="I744" s="1">
        <v>6912564</v>
      </c>
      <c r="J744" s="1">
        <v>0</v>
      </c>
      <c r="K744" s="1">
        <v>3300000</v>
      </c>
      <c r="L744" s="1">
        <v>0</v>
      </c>
      <c r="M744" s="1">
        <v>240000</v>
      </c>
      <c r="N744" s="1">
        <v>1622137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3518896</v>
      </c>
      <c r="W744" s="1">
        <v>660000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1158670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1853871</v>
      </c>
      <c r="AM744" s="1">
        <v>0</v>
      </c>
      <c r="AN744" s="1">
        <v>28727227</v>
      </c>
      <c r="AO744" s="1">
        <v>8940174</v>
      </c>
      <c r="AP744" s="1">
        <v>19787053</v>
      </c>
      <c r="AQ744" s="1">
        <v>5745445</v>
      </c>
      <c r="AR744" s="1">
        <v>861817</v>
      </c>
      <c r="AS744" s="1">
        <v>0</v>
      </c>
      <c r="AT744" s="1">
        <f t="shared" si="79"/>
        <v>35334489</v>
      </c>
    </row>
    <row r="745" spans="1:46">
      <c r="A745" s="1" t="str">
        <f>"00846"</f>
        <v>00846</v>
      </c>
      <c r="B745" s="1" t="str">
        <f>"حميد"</f>
        <v>حميد</v>
      </c>
      <c r="C745" s="1" t="str">
        <f>"رضايي"</f>
        <v>رضايي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10182472</v>
      </c>
      <c r="G745" s="1">
        <v>3815030</v>
      </c>
      <c r="H745" s="1">
        <v>0</v>
      </c>
      <c r="I745" s="1">
        <v>7661929</v>
      </c>
      <c r="J745" s="1">
        <v>0</v>
      </c>
      <c r="K745" s="1">
        <v>3465000</v>
      </c>
      <c r="L745" s="1">
        <v>0</v>
      </c>
      <c r="M745" s="1">
        <v>400000</v>
      </c>
      <c r="N745" s="1">
        <v>1625565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9604713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1161119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4644473</v>
      </c>
      <c r="AM745" s="1">
        <v>0</v>
      </c>
      <c r="AN745" s="1">
        <v>43660301</v>
      </c>
      <c r="AO745" s="1">
        <v>4964930</v>
      </c>
      <c r="AP745" s="1">
        <v>38695371</v>
      </c>
      <c r="AQ745" s="1">
        <v>8732060</v>
      </c>
      <c r="AR745" s="1">
        <v>1309809</v>
      </c>
      <c r="AS745" s="1">
        <v>0</v>
      </c>
      <c r="AT745" s="1">
        <f t="shared" si="79"/>
        <v>53702170</v>
      </c>
    </row>
    <row r="746" spans="1:46">
      <c r="A746" s="1" t="str">
        <f>"00847"</f>
        <v>00847</v>
      </c>
      <c r="B746" s="1" t="str">
        <f>"امين"</f>
        <v>امين</v>
      </c>
      <c r="C746" s="1" t="str">
        <f>"رودحله پور"</f>
        <v>رودحله پور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14890934</v>
      </c>
      <c r="G746" s="1">
        <v>4451131</v>
      </c>
      <c r="H746" s="1">
        <v>0</v>
      </c>
      <c r="I746" s="1">
        <v>11084697</v>
      </c>
      <c r="J746" s="1">
        <v>0</v>
      </c>
      <c r="K746" s="1">
        <v>5500000</v>
      </c>
      <c r="L746" s="1">
        <v>0</v>
      </c>
      <c r="M746" s="1">
        <v>400000</v>
      </c>
      <c r="N746" s="1">
        <v>2395319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7876655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1710941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2737507</v>
      </c>
      <c r="AM746" s="1">
        <v>0</v>
      </c>
      <c r="AN746" s="1">
        <v>52147184</v>
      </c>
      <c r="AO746" s="1">
        <v>10965402</v>
      </c>
      <c r="AP746" s="1">
        <v>41181782</v>
      </c>
      <c r="AQ746" s="1">
        <v>10429437</v>
      </c>
      <c r="AR746" s="1">
        <v>1564416</v>
      </c>
      <c r="AS746" s="1">
        <v>0</v>
      </c>
      <c r="AT746" s="1">
        <f t="shared" si="79"/>
        <v>64141037</v>
      </c>
    </row>
    <row r="747" spans="1:46">
      <c r="A747" s="1" t="str">
        <f>"00848"</f>
        <v>00848</v>
      </c>
      <c r="B747" s="1" t="str">
        <f>"سلمان"</f>
        <v>سلمان</v>
      </c>
      <c r="C747" s="1" t="str">
        <f>"شجاعي خو"</f>
        <v>شجاعي خو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10449441</v>
      </c>
      <c r="G747" s="1">
        <v>3819145</v>
      </c>
      <c r="H747" s="1">
        <v>0</v>
      </c>
      <c r="I747" s="1">
        <v>7719904</v>
      </c>
      <c r="J747" s="1">
        <v>0</v>
      </c>
      <c r="K747" s="1">
        <v>3465000</v>
      </c>
      <c r="L747" s="1">
        <v>0</v>
      </c>
      <c r="M747" s="1">
        <v>400000</v>
      </c>
      <c r="N747" s="1">
        <v>1701791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5347174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1215564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4376032</v>
      </c>
      <c r="AM747" s="1">
        <v>0</v>
      </c>
      <c r="AN747" s="1">
        <v>39594051</v>
      </c>
      <c r="AO747" s="1">
        <v>7692298</v>
      </c>
      <c r="AP747" s="1">
        <v>31901753</v>
      </c>
      <c r="AQ747" s="1">
        <v>7918810</v>
      </c>
      <c r="AR747" s="1">
        <v>1187822</v>
      </c>
      <c r="AS747" s="1">
        <v>0</v>
      </c>
      <c r="AT747" s="1">
        <f t="shared" si="79"/>
        <v>48700683</v>
      </c>
    </row>
    <row r="748" spans="1:46">
      <c r="A748" s="1" t="str">
        <f>"00849"</f>
        <v>00849</v>
      </c>
      <c r="B748" s="1" t="str">
        <f>"مرتضي"</f>
        <v>مرتضي</v>
      </c>
      <c r="C748" s="1" t="str">
        <f>"شريفيان"</f>
        <v>شريفيان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10629349</v>
      </c>
      <c r="G748" s="1">
        <v>2807572</v>
      </c>
      <c r="H748" s="1">
        <v>0</v>
      </c>
      <c r="I748" s="1">
        <v>8287674</v>
      </c>
      <c r="J748" s="1">
        <v>0</v>
      </c>
      <c r="K748" s="1">
        <v>4620000</v>
      </c>
      <c r="L748" s="1">
        <v>0</v>
      </c>
      <c r="M748" s="1">
        <v>400000</v>
      </c>
      <c r="N748" s="1">
        <v>1769997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5786097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1264284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4349136</v>
      </c>
      <c r="AM748" s="1">
        <v>0</v>
      </c>
      <c r="AN748" s="1">
        <v>41014109</v>
      </c>
      <c r="AO748" s="1">
        <v>6428372</v>
      </c>
      <c r="AP748" s="1">
        <v>34585737</v>
      </c>
      <c r="AQ748" s="1">
        <v>8202822</v>
      </c>
      <c r="AR748" s="1">
        <v>1230423</v>
      </c>
      <c r="AS748" s="1">
        <v>0</v>
      </c>
      <c r="AT748" s="1">
        <f t="shared" si="79"/>
        <v>50447354</v>
      </c>
    </row>
    <row r="749" spans="1:46">
      <c r="A749" s="1" t="str">
        <f>"00850"</f>
        <v>00850</v>
      </c>
      <c r="B749" s="1" t="str">
        <f>"رضا"</f>
        <v>رضا</v>
      </c>
      <c r="C749" s="1" t="str">
        <f>"شکرانه"</f>
        <v>شکرانه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11077135</v>
      </c>
      <c r="G749" s="1">
        <v>7277646</v>
      </c>
      <c r="H749" s="1">
        <v>0</v>
      </c>
      <c r="I749" s="1">
        <v>11004226</v>
      </c>
      <c r="J749" s="1">
        <v>0</v>
      </c>
      <c r="K749" s="1">
        <v>4620000</v>
      </c>
      <c r="L749" s="1">
        <v>0</v>
      </c>
      <c r="M749" s="1">
        <v>400000</v>
      </c>
      <c r="N749" s="1">
        <v>1960403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9271964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1400288</v>
      </c>
      <c r="AF749" s="1">
        <v>0</v>
      </c>
      <c r="AG749" s="1">
        <v>0</v>
      </c>
      <c r="AH749" s="1">
        <v>0</v>
      </c>
      <c r="AI749" s="1">
        <v>5000000</v>
      </c>
      <c r="AJ749" s="1">
        <v>0</v>
      </c>
      <c r="AK749" s="1">
        <v>0</v>
      </c>
      <c r="AL749" s="1">
        <v>5209069</v>
      </c>
      <c r="AM749" s="1">
        <v>0</v>
      </c>
      <c r="AN749" s="1">
        <v>58320731</v>
      </c>
      <c r="AO749" s="1">
        <v>9509338</v>
      </c>
      <c r="AP749" s="1">
        <v>48811393</v>
      </c>
      <c r="AQ749" s="1">
        <v>10664146</v>
      </c>
      <c r="AR749" s="1">
        <v>1599622</v>
      </c>
      <c r="AS749" s="1">
        <v>0</v>
      </c>
      <c r="AT749" s="1">
        <f t="shared" si="79"/>
        <v>70584499</v>
      </c>
    </row>
    <row r="750" spans="1:46">
      <c r="A750" s="1" t="str">
        <f>"00851"</f>
        <v>00851</v>
      </c>
      <c r="B750" s="1" t="str">
        <f>"حسن"</f>
        <v>حسن</v>
      </c>
      <c r="C750" s="1" t="str">
        <f>"شيخياني"</f>
        <v>شيخياني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15173119</v>
      </c>
      <c r="G750" s="1">
        <v>5605836</v>
      </c>
      <c r="H750" s="1">
        <v>0</v>
      </c>
      <c r="I750" s="1">
        <v>10951572</v>
      </c>
      <c r="J750" s="1">
        <v>0</v>
      </c>
      <c r="K750" s="1">
        <v>5500000</v>
      </c>
      <c r="L750" s="1">
        <v>0</v>
      </c>
      <c r="M750" s="1">
        <v>400000</v>
      </c>
      <c r="N750" s="1">
        <v>2479482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5585302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1771059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2479482</v>
      </c>
      <c r="AM750" s="1">
        <v>0</v>
      </c>
      <c r="AN750" s="1">
        <v>51045852</v>
      </c>
      <c r="AO750" s="1">
        <v>11900369</v>
      </c>
      <c r="AP750" s="1">
        <v>39145483</v>
      </c>
      <c r="AQ750" s="1">
        <v>10209170</v>
      </c>
      <c r="AR750" s="1">
        <v>1531376</v>
      </c>
      <c r="AS750" s="1">
        <v>0</v>
      </c>
      <c r="AT750" s="1">
        <f t="shared" si="79"/>
        <v>62786398</v>
      </c>
    </row>
    <row r="751" spans="1:46">
      <c r="A751" s="1" t="str">
        <f>"00852"</f>
        <v>00852</v>
      </c>
      <c r="B751" s="1" t="str">
        <f>"علي"</f>
        <v>علي</v>
      </c>
      <c r="C751" s="1" t="str">
        <f>"صالحي"</f>
        <v>صالحي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11005048</v>
      </c>
      <c r="G751" s="1">
        <v>0</v>
      </c>
      <c r="H751" s="1">
        <v>0</v>
      </c>
      <c r="I751" s="1">
        <v>8610460</v>
      </c>
      <c r="J751" s="1">
        <v>0</v>
      </c>
      <c r="K751" s="1">
        <v>4620000</v>
      </c>
      <c r="L751" s="1">
        <v>0</v>
      </c>
      <c r="M751" s="1">
        <v>400000</v>
      </c>
      <c r="N751" s="1">
        <v>1927500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10509257</v>
      </c>
      <c r="W751" s="1">
        <v>1100000</v>
      </c>
      <c r="X751" s="1">
        <v>1650757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1376786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4736144</v>
      </c>
      <c r="AM751" s="1">
        <v>0</v>
      </c>
      <c r="AN751" s="1">
        <v>45935952</v>
      </c>
      <c r="AO751" s="1">
        <v>9720955</v>
      </c>
      <c r="AP751" s="1">
        <v>36214997</v>
      </c>
      <c r="AQ751" s="1">
        <v>9187190</v>
      </c>
      <c r="AR751" s="1">
        <v>1378079</v>
      </c>
      <c r="AS751" s="1">
        <v>0</v>
      </c>
      <c r="AT751" s="1">
        <f t="shared" si="79"/>
        <v>56501221</v>
      </c>
    </row>
    <row r="752" spans="1:46">
      <c r="A752" s="1" t="str">
        <f>"00853"</f>
        <v>00853</v>
      </c>
      <c r="B752" s="1" t="str">
        <f>"مهدي"</f>
        <v>مهدي</v>
      </c>
      <c r="C752" s="1" t="str">
        <f>"صفري"</f>
        <v>صفري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10994079</v>
      </c>
      <c r="G752" s="1">
        <v>3688537</v>
      </c>
      <c r="H752" s="1">
        <v>0</v>
      </c>
      <c r="I752" s="1">
        <v>8133392</v>
      </c>
      <c r="J752" s="1">
        <v>0</v>
      </c>
      <c r="K752" s="1">
        <v>4620000</v>
      </c>
      <c r="L752" s="1">
        <v>0</v>
      </c>
      <c r="M752" s="1">
        <v>400000</v>
      </c>
      <c r="N752" s="1">
        <v>1914867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9564515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1367762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4157997</v>
      </c>
      <c r="AM752" s="1">
        <v>0</v>
      </c>
      <c r="AN752" s="1">
        <v>47052418</v>
      </c>
      <c r="AO752" s="1">
        <v>13102697</v>
      </c>
      <c r="AP752" s="1">
        <v>33949721</v>
      </c>
      <c r="AQ752" s="1">
        <v>9188230</v>
      </c>
      <c r="AR752" s="1">
        <v>1378234</v>
      </c>
      <c r="AS752" s="1">
        <v>0</v>
      </c>
      <c r="AT752" s="1">
        <f t="shared" si="79"/>
        <v>57618882</v>
      </c>
    </row>
    <row r="753" spans="1:46">
      <c r="A753" s="1" t="str">
        <f>"00854"</f>
        <v>00854</v>
      </c>
      <c r="B753" s="1" t="str">
        <f>"علي"</f>
        <v>علي</v>
      </c>
      <c r="C753" s="1" t="str">
        <f>"عطاپوريان"</f>
        <v>عطاپوريان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12540806</v>
      </c>
      <c r="G753" s="1">
        <v>8994718</v>
      </c>
      <c r="H753" s="1">
        <v>0</v>
      </c>
      <c r="I753" s="1">
        <v>10814477</v>
      </c>
      <c r="J753" s="1">
        <v>0</v>
      </c>
      <c r="K753" s="1">
        <v>4620000</v>
      </c>
      <c r="L753" s="1">
        <v>0</v>
      </c>
      <c r="M753" s="1">
        <v>400000</v>
      </c>
      <c r="N753" s="1">
        <v>2290033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10231761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1635737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6542950</v>
      </c>
      <c r="AM753" s="1">
        <v>0</v>
      </c>
      <c r="AN753" s="1">
        <v>59170482</v>
      </c>
      <c r="AO753" s="1">
        <v>11983269</v>
      </c>
      <c r="AP753" s="1">
        <v>47187213</v>
      </c>
      <c r="AQ753" s="1">
        <v>11834096</v>
      </c>
      <c r="AR753" s="1">
        <v>1775114</v>
      </c>
      <c r="AS753" s="1">
        <v>0</v>
      </c>
      <c r="AT753" s="1">
        <f t="shared" si="79"/>
        <v>72779692</v>
      </c>
    </row>
    <row r="754" spans="1:46">
      <c r="A754" s="1" t="str">
        <f>"00855"</f>
        <v>00855</v>
      </c>
      <c r="B754" s="1" t="str">
        <f>"ايوب"</f>
        <v>ايوب</v>
      </c>
      <c r="C754" s="1" t="str">
        <f>"عليزاده"</f>
        <v>عليزاده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12132783</v>
      </c>
      <c r="G754" s="1">
        <v>13181992</v>
      </c>
      <c r="H754" s="1">
        <v>0</v>
      </c>
      <c r="I754" s="1">
        <v>9180079</v>
      </c>
      <c r="J754" s="1">
        <v>0</v>
      </c>
      <c r="K754" s="1">
        <v>3465000</v>
      </c>
      <c r="L754" s="1">
        <v>0</v>
      </c>
      <c r="M754" s="1">
        <v>400000</v>
      </c>
      <c r="N754" s="1">
        <v>2313601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6580598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1652572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4296687</v>
      </c>
      <c r="AM754" s="1">
        <v>0</v>
      </c>
      <c r="AN754" s="1">
        <v>54303312</v>
      </c>
      <c r="AO754" s="1">
        <v>9718625</v>
      </c>
      <c r="AP754" s="1">
        <v>44584687</v>
      </c>
      <c r="AQ754" s="1">
        <v>10860662</v>
      </c>
      <c r="AR754" s="1">
        <v>1629099</v>
      </c>
      <c r="AS754" s="1">
        <v>0</v>
      </c>
      <c r="AT754" s="1">
        <f t="shared" si="79"/>
        <v>66793073</v>
      </c>
    </row>
    <row r="755" spans="1:46">
      <c r="A755" s="1" t="str">
        <f>"00856"</f>
        <v>00856</v>
      </c>
      <c r="B755" s="1" t="str">
        <f>"محمد"</f>
        <v>محمد</v>
      </c>
      <c r="C755" s="1" t="str">
        <f>"غلامي مندلي"</f>
        <v>غلامي مندلي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10241793</v>
      </c>
      <c r="G755" s="1">
        <v>5194417</v>
      </c>
      <c r="H755" s="1">
        <v>0</v>
      </c>
      <c r="I755" s="1">
        <v>7695905</v>
      </c>
      <c r="J755" s="1">
        <v>0</v>
      </c>
      <c r="K755" s="1">
        <v>4620000</v>
      </c>
      <c r="L755" s="1">
        <v>0</v>
      </c>
      <c r="M755" s="1">
        <v>400000</v>
      </c>
      <c r="N755" s="1">
        <v>1629675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5585280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1164053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4656214</v>
      </c>
      <c r="AM755" s="1">
        <v>0</v>
      </c>
      <c r="AN755" s="1">
        <v>42287337</v>
      </c>
      <c r="AO755" s="1">
        <v>8585627</v>
      </c>
      <c r="AP755" s="1">
        <v>33701710</v>
      </c>
      <c r="AQ755" s="1">
        <v>8457467</v>
      </c>
      <c r="AR755" s="1">
        <v>1268620</v>
      </c>
      <c r="AS755" s="1">
        <v>0</v>
      </c>
      <c r="AT755" s="1">
        <f t="shared" si="79"/>
        <v>52013424</v>
      </c>
    </row>
    <row r="756" spans="1:46">
      <c r="A756" s="1" t="str">
        <f>"00858"</f>
        <v>00858</v>
      </c>
      <c r="B756" s="1" t="str">
        <f>"عرفان"</f>
        <v>عرفان</v>
      </c>
      <c r="C756" s="1" t="str">
        <f>"محمدي"</f>
        <v>محمدي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14720583</v>
      </c>
      <c r="G756" s="1">
        <v>20979203</v>
      </c>
      <c r="H756" s="1">
        <v>0</v>
      </c>
      <c r="I756" s="1">
        <v>11582721</v>
      </c>
      <c r="J756" s="1">
        <v>0</v>
      </c>
      <c r="K756" s="1">
        <v>4125000</v>
      </c>
      <c r="L756" s="1">
        <v>0</v>
      </c>
      <c r="M756" s="1">
        <v>400000</v>
      </c>
      <c r="N756" s="1">
        <v>2383629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13204302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1702593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4358637</v>
      </c>
      <c r="AM756" s="1">
        <v>0</v>
      </c>
      <c r="AN756" s="1">
        <v>74556668</v>
      </c>
      <c r="AO756" s="1">
        <v>12505765</v>
      </c>
      <c r="AP756" s="1">
        <v>62050903</v>
      </c>
      <c r="AQ756" s="1">
        <v>14911334</v>
      </c>
      <c r="AR756" s="1">
        <v>2236700</v>
      </c>
      <c r="AS756" s="1">
        <v>0</v>
      </c>
      <c r="AT756" s="1">
        <f t="shared" si="79"/>
        <v>91704702</v>
      </c>
    </row>
    <row r="757" spans="1:46">
      <c r="A757" s="1" t="str">
        <f>"00860"</f>
        <v>00860</v>
      </c>
      <c r="B757" s="1" t="str">
        <f>"سيد عبدالحميد"</f>
        <v>سيد عبدالحميد</v>
      </c>
      <c r="C757" s="1" t="str">
        <f>"موسوي"</f>
        <v>موسوي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15862195</v>
      </c>
      <c r="G757" s="1">
        <v>15200494</v>
      </c>
      <c r="H757" s="1">
        <v>0</v>
      </c>
      <c r="I757" s="1">
        <v>12779325</v>
      </c>
      <c r="J757" s="1">
        <v>0</v>
      </c>
      <c r="K757" s="1">
        <v>5500000</v>
      </c>
      <c r="L757" s="1">
        <v>0</v>
      </c>
      <c r="M757" s="1">
        <v>400000</v>
      </c>
      <c r="N757" s="1">
        <v>2731127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3644474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1950805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3121289</v>
      </c>
      <c r="AM757" s="1">
        <v>0</v>
      </c>
      <c r="AN757" s="1">
        <v>62289709</v>
      </c>
      <c r="AO757" s="1">
        <v>10474004</v>
      </c>
      <c r="AP757" s="1">
        <v>51815705</v>
      </c>
      <c r="AQ757" s="1">
        <v>12457942</v>
      </c>
      <c r="AR757" s="1">
        <v>1868691</v>
      </c>
      <c r="AS757" s="1">
        <v>0</v>
      </c>
      <c r="AT757" s="1">
        <f t="shared" si="79"/>
        <v>76616342</v>
      </c>
    </row>
    <row r="758" spans="1:46">
      <c r="A758" s="1" t="str">
        <f>"00861"</f>
        <v>00861</v>
      </c>
      <c r="B758" s="1" t="str">
        <f>"زين العابدين"</f>
        <v>زين العابدين</v>
      </c>
      <c r="C758" s="1" t="str">
        <f>"ميرکي"</f>
        <v>ميرکي</v>
      </c>
      <c r="D758" s="1" t="str">
        <f t="shared" si="82"/>
        <v>قراردادي بهره بردار</v>
      </c>
      <c r="E758" s="1" t="str">
        <f t="shared" si="83"/>
        <v>پروژه تعميرات نيروگاه بوشهر</v>
      </c>
      <c r="F758" s="1">
        <v>11195493</v>
      </c>
      <c r="G758" s="1">
        <v>13988750</v>
      </c>
      <c r="H758" s="1">
        <v>0</v>
      </c>
      <c r="I758" s="1">
        <v>9142161</v>
      </c>
      <c r="J758" s="1">
        <v>0</v>
      </c>
      <c r="K758" s="1">
        <v>4620000</v>
      </c>
      <c r="L758" s="1">
        <v>0</v>
      </c>
      <c r="M758" s="1">
        <v>400000</v>
      </c>
      <c r="N758" s="1">
        <v>1995092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8911068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1425066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5700263</v>
      </c>
      <c r="AM758" s="1">
        <v>0</v>
      </c>
      <c r="AN758" s="1">
        <v>58477893</v>
      </c>
      <c r="AO758" s="1">
        <v>10418287</v>
      </c>
      <c r="AP758" s="1">
        <v>48059606</v>
      </c>
      <c r="AQ758" s="1">
        <v>11695579</v>
      </c>
      <c r="AR758" s="1">
        <v>1754337</v>
      </c>
      <c r="AS758" s="1">
        <v>0</v>
      </c>
      <c r="AT758" s="1">
        <f t="shared" si="79"/>
        <v>71927809</v>
      </c>
    </row>
    <row r="759" spans="1:46">
      <c r="A759" s="1" t="str">
        <f>"00862"</f>
        <v>00862</v>
      </c>
      <c r="B759" s="1" t="str">
        <f>"محمدجواد"</f>
        <v>محمدجواد</v>
      </c>
      <c r="C759" s="1" t="str">
        <f>"يزدان پناه"</f>
        <v>يزدان پناه</v>
      </c>
      <c r="D759" s="1" t="str">
        <f t="shared" si="82"/>
        <v>قراردادي بهره بردار</v>
      </c>
      <c r="E759" s="1" t="str">
        <f t="shared" si="83"/>
        <v>پروژه تعميرات نيروگاه بوشهر</v>
      </c>
      <c r="F759" s="1">
        <v>14526109</v>
      </c>
      <c r="G759" s="1">
        <v>0</v>
      </c>
      <c r="H759" s="1">
        <v>0</v>
      </c>
      <c r="I759" s="1">
        <v>10050691</v>
      </c>
      <c r="J759" s="1">
        <v>0</v>
      </c>
      <c r="K759" s="1">
        <v>5500000</v>
      </c>
      <c r="L759" s="1">
        <v>0</v>
      </c>
      <c r="M759" s="1">
        <v>400000</v>
      </c>
      <c r="N759" s="1">
        <v>2244490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6120451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1603207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2565131</v>
      </c>
      <c r="AM759" s="1">
        <v>0</v>
      </c>
      <c r="AN759" s="1">
        <v>44110079</v>
      </c>
      <c r="AO759" s="1">
        <v>7476822</v>
      </c>
      <c r="AP759" s="1">
        <v>36633257</v>
      </c>
      <c r="AQ759" s="1">
        <v>8822016</v>
      </c>
      <c r="AR759" s="1">
        <v>1323302</v>
      </c>
      <c r="AS759" s="1">
        <v>0</v>
      </c>
      <c r="AT759" s="1">
        <f t="shared" si="79"/>
        <v>54255397</v>
      </c>
    </row>
    <row r="760" spans="1:46">
      <c r="A760" s="1" t="str">
        <f>"00863"</f>
        <v>00863</v>
      </c>
      <c r="B760" s="1" t="str">
        <f>"هادي"</f>
        <v>هادي</v>
      </c>
      <c r="C760" s="1" t="str">
        <f>"آب رخت"</f>
        <v>آب رخت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11657572</v>
      </c>
      <c r="G760" s="1">
        <v>0</v>
      </c>
      <c r="H760" s="1">
        <v>0</v>
      </c>
      <c r="I760" s="1">
        <v>10167566</v>
      </c>
      <c r="J760" s="1">
        <v>0</v>
      </c>
      <c r="K760" s="1">
        <v>3465000</v>
      </c>
      <c r="L760" s="1">
        <v>0</v>
      </c>
      <c r="M760" s="1">
        <v>400000</v>
      </c>
      <c r="N760" s="1">
        <v>2181144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12082510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1557960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6231840</v>
      </c>
      <c r="AM760" s="1">
        <v>0</v>
      </c>
      <c r="AN760" s="1">
        <v>48843592</v>
      </c>
      <c r="AO760" s="1">
        <v>9036727</v>
      </c>
      <c r="AP760" s="1">
        <v>39806865</v>
      </c>
      <c r="AQ760" s="1">
        <v>9768718</v>
      </c>
      <c r="AR760" s="1">
        <v>1465308</v>
      </c>
      <c r="AS760" s="1">
        <v>0</v>
      </c>
      <c r="AT760" s="1">
        <f t="shared" si="79"/>
        <v>60077618</v>
      </c>
    </row>
    <row r="761" spans="1:46">
      <c r="A761" s="1" t="str">
        <f>"00864"</f>
        <v>00864</v>
      </c>
      <c r="B761" s="1" t="str">
        <f>"مهرداد"</f>
        <v>مهرداد</v>
      </c>
      <c r="C761" s="1" t="str">
        <f>"رحيمي"</f>
        <v>رحيمي</v>
      </c>
      <c r="D761" s="1" t="str">
        <f>"قراردادي کارگري"</f>
        <v>قراردادي کارگري</v>
      </c>
      <c r="E761" s="1" t="str">
        <f>"پروژه بهره برداري نيروگاه بوشهر"</f>
        <v>پروژه بهره برداري نيروگاه بوشهر</v>
      </c>
      <c r="F761" s="1">
        <v>12007099</v>
      </c>
      <c r="G761" s="1">
        <v>6872209</v>
      </c>
      <c r="H761" s="1">
        <v>0</v>
      </c>
      <c r="I761" s="1">
        <v>5736850</v>
      </c>
      <c r="J761" s="1">
        <v>0</v>
      </c>
      <c r="K761" s="1">
        <v>0</v>
      </c>
      <c r="L761" s="1">
        <v>0</v>
      </c>
      <c r="M761" s="1">
        <v>400000</v>
      </c>
      <c r="N761" s="1">
        <v>1429526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2141987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1021090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1225307</v>
      </c>
      <c r="AM761" s="1">
        <v>0</v>
      </c>
      <c r="AN761" s="1">
        <v>31934068</v>
      </c>
      <c r="AO761" s="1">
        <v>7064924</v>
      </c>
      <c r="AP761" s="1">
        <v>24869144</v>
      </c>
      <c r="AQ761" s="1">
        <v>6386814</v>
      </c>
      <c r="AR761" s="1">
        <v>958022</v>
      </c>
      <c r="AS761" s="1">
        <v>0</v>
      </c>
      <c r="AT761" s="1">
        <f t="shared" si="79"/>
        <v>39278904</v>
      </c>
    </row>
    <row r="762" spans="1:46">
      <c r="A762" s="1" t="str">
        <f>"00865"</f>
        <v>00865</v>
      </c>
      <c r="B762" s="1" t="str">
        <f>"محمد"</f>
        <v>محمد</v>
      </c>
      <c r="C762" s="1" t="str">
        <f>"احمدي"</f>
        <v>احمدي</v>
      </c>
      <c r="D762" s="1" t="str">
        <f t="shared" ref="D762:D779" si="84">"قراردادي بهره بردار"</f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14861839</v>
      </c>
      <c r="G762" s="1">
        <v>2955587</v>
      </c>
      <c r="H762" s="1">
        <v>0</v>
      </c>
      <c r="I762" s="1">
        <v>10949382</v>
      </c>
      <c r="J762" s="1">
        <v>0</v>
      </c>
      <c r="K762" s="1">
        <v>5500000</v>
      </c>
      <c r="L762" s="1">
        <v>0</v>
      </c>
      <c r="M762" s="1">
        <v>400000</v>
      </c>
      <c r="N762" s="1">
        <v>2384033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7911015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1702880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2724609</v>
      </c>
      <c r="AM762" s="1">
        <v>0</v>
      </c>
      <c r="AN762" s="1">
        <v>50489345</v>
      </c>
      <c r="AO762" s="1">
        <v>10186875</v>
      </c>
      <c r="AP762" s="1">
        <v>40302470</v>
      </c>
      <c r="AQ762" s="1">
        <v>10097869</v>
      </c>
      <c r="AR762" s="1">
        <v>1514680</v>
      </c>
      <c r="AS762" s="1">
        <v>0</v>
      </c>
      <c r="AT762" s="1">
        <f t="shared" si="79"/>
        <v>62101894</v>
      </c>
    </row>
    <row r="763" spans="1:46">
      <c r="A763" s="1" t="str">
        <f>"00866"</f>
        <v>00866</v>
      </c>
      <c r="B763" s="1" t="str">
        <f>"اميدرضا"</f>
        <v>اميدرضا</v>
      </c>
      <c r="C763" s="1" t="str">
        <f>"ايزدي"</f>
        <v>ايزدي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15062179</v>
      </c>
      <c r="G763" s="1">
        <v>10472040</v>
      </c>
      <c r="H763" s="1">
        <v>0</v>
      </c>
      <c r="I763" s="1">
        <v>11251740</v>
      </c>
      <c r="J763" s="1">
        <v>0</v>
      </c>
      <c r="K763" s="1">
        <v>5500000</v>
      </c>
      <c r="L763" s="1">
        <v>0</v>
      </c>
      <c r="M763" s="1">
        <v>400000</v>
      </c>
      <c r="N763" s="1">
        <v>2450020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6579510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1750015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2800022</v>
      </c>
      <c r="AM763" s="1">
        <v>0</v>
      </c>
      <c r="AN763" s="1">
        <v>57365526</v>
      </c>
      <c r="AO763" s="1">
        <v>11423492</v>
      </c>
      <c r="AP763" s="1">
        <v>45942034</v>
      </c>
      <c r="AQ763" s="1">
        <v>11473105</v>
      </c>
      <c r="AR763" s="1">
        <v>1720966</v>
      </c>
      <c r="AS763" s="1">
        <v>0</v>
      </c>
      <c r="AT763" s="1">
        <f t="shared" si="79"/>
        <v>70559597</v>
      </c>
    </row>
    <row r="764" spans="1:46">
      <c r="A764" s="1" t="str">
        <f>"00867"</f>
        <v>00867</v>
      </c>
      <c r="B764" s="1" t="str">
        <f>"سيد محمد علي"</f>
        <v>سيد محمد علي</v>
      </c>
      <c r="C764" s="1" t="str">
        <f>"باقري"</f>
        <v>باقري</v>
      </c>
      <c r="D764" s="1" t="str">
        <f t="shared" si="84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10788856</v>
      </c>
      <c r="G764" s="1">
        <v>4168806</v>
      </c>
      <c r="H764" s="1">
        <v>0</v>
      </c>
      <c r="I764" s="1">
        <v>8440924</v>
      </c>
      <c r="J764" s="1">
        <v>0</v>
      </c>
      <c r="K764" s="1">
        <v>4620000</v>
      </c>
      <c r="L764" s="1">
        <v>0</v>
      </c>
      <c r="M764" s="1">
        <v>400000</v>
      </c>
      <c r="N764" s="1">
        <v>1863622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10809870</v>
      </c>
      <c r="W764" s="1">
        <v>1100000</v>
      </c>
      <c r="X764" s="1">
        <v>1618328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1331159</v>
      </c>
      <c r="AF764" s="1">
        <v>1111269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7602855</v>
      </c>
      <c r="AM764" s="1">
        <v>0</v>
      </c>
      <c r="AN764" s="1">
        <v>53855689</v>
      </c>
      <c r="AO764" s="1">
        <v>11492189</v>
      </c>
      <c r="AP764" s="1">
        <v>42363500</v>
      </c>
      <c r="AQ764" s="1">
        <v>10548884</v>
      </c>
      <c r="AR764" s="1">
        <v>1582333</v>
      </c>
      <c r="AS764" s="1">
        <v>0</v>
      </c>
      <c r="AT764" s="1">
        <f t="shared" si="79"/>
        <v>65986906</v>
      </c>
    </row>
    <row r="765" spans="1:46">
      <c r="A765" s="1" t="str">
        <f>"00869"</f>
        <v>00869</v>
      </c>
      <c r="B765" s="1" t="str">
        <f>"موسي"</f>
        <v>موسي</v>
      </c>
      <c r="C765" s="1" t="str">
        <f>"خدري"</f>
        <v>خدري</v>
      </c>
      <c r="D765" s="1" t="str">
        <f t="shared" si="84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13112520</v>
      </c>
      <c r="G765" s="1">
        <v>17421922</v>
      </c>
      <c r="H765" s="1">
        <v>0</v>
      </c>
      <c r="I765" s="1">
        <v>10682289</v>
      </c>
      <c r="J765" s="1">
        <v>0</v>
      </c>
      <c r="K765" s="1">
        <v>4125000</v>
      </c>
      <c r="L765" s="1">
        <v>0</v>
      </c>
      <c r="M765" s="1">
        <v>400000</v>
      </c>
      <c r="N765" s="1">
        <v>2228925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7113909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1564316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5119578</v>
      </c>
      <c r="AM765" s="1">
        <v>0</v>
      </c>
      <c r="AN765" s="1">
        <v>62868459</v>
      </c>
      <c r="AO765" s="1">
        <v>13067222</v>
      </c>
      <c r="AP765" s="1">
        <v>49801237</v>
      </c>
      <c r="AQ765" s="1">
        <v>12573692</v>
      </c>
      <c r="AR765" s="1">
        <v>1886054</v>
      </c>
      <c r="AS765" s="1">
        <v>0</v>
      </c>
      <c r="AT765" s="1">
        <f t="shared" si="79"/>
        <v>77328205</v>
      </c>
    </row>
    <row r="766" spans="1:46">
      <c r="A766" s="1" t="str">
        <f>"00870"</f>
        <v>00870</v>
      </c>
      <c r="B766" s="1" t="str">
        <f>"سينا"</f>
        <v>سينا</v>
      </c>
      <c r="C766" s="1" t="str">
        <f>"دشتستاني نژاد"</f>
        <v>دشتستاني نژاد</v>
      </c>
      <c r="D766" s="1" t="str">
        <f t="shared" si="84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14321919</v>
      </c>
      <c r="G766" s="1">
        <v>2882657</v>
      </c>
      <c r="H766" s="1">
        <v>0</v>
      </c>
      <c r="I766" s="1">
        <v>10175954</v>
      </c>
      <c r="J766" s="1">
        <v>0</v>
      </c>
      <c r="K766" s="1">
        <v>4125000</v>
      </c>
      <c r="L766" s="1">
        <v>0</v>
      </c>
      <c r="M766" s="1">
        <v>400000</v>
      </c>
      <c r="N766" s="1">
        <v>2188449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8157722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1563178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3126357</v>
      </c>
      <c r="AM766" s="1">
        <v>0</v>
      </c>
      <c r="AN766" s="1">
        <v>48041236</v>
      </c>
      <c r="AO766" s="1">
        <v>8578910</v>
      </c>
      <c r="AP766" s="1">
        <v>39462326</v>
      </c>
      <c r="AQ766" s="1">
        <v>9608247</v>
      </c>
      <c r="AR766" s="1">
        <v>1441237</v>
      </c>
      <c r="AS766" s="1">
        <v>0</v>
      </c>
      <c r="AT766" s="1">
        <f t="shared" si="79"/>
        <v>59090720</v>
      </c>
    </row>
    <row r="767" spans="1:46">
      <c r="A767" s="1" t="str">
        <f>"00871"</f>
        <v>00871</v>
      </c>
      <c r="B767" s="1" t="str">
        <f>"مسعود"</f>
        <v>مسعود</v>
      </c>
      <c r="C767" s="1" t="str">
        <f>"سهرابي تيمورلو"</f>
        <v>سهرابي تيمورلو</v>
      </c>
      <c r="D767" s="1" t="str">
        <f t="shared" si="84"/>
        <v>قراردادي بهره بردار</v>
      </c>
      <c r="E767" s="1" t="str">
        <f>"پروژه بهره برداري نيروگاه بوشهر"</f>
        <v>پروژه بهره برداري نيروگاه بوشهر</v>
      </c>
      <c r="F767" s="1">
        <v>13081380</v>
      </c>
      <c r="G767" s="1">
        <v>18882862</v>
      </c>
      <c r="H767" s="1">
        <v>0</v>
      </c>
      <c r="I767" s="1">
        <v>9907512</v>
      </c>
      <c r="J767" s="1">
        <v>0</v>
      </c>
      <c r="K767" s="1">
        <v>4125000</v>
      </c>
      <c r="L767" s="1">
        <v>0</v>
      </c>
      <c r="M767" s="1">
        <v>400000</v>
      </c>
      <c r="N767" s="1">
        <v>1883923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5906764</v>
      </c>
      <c r="W767" s="1">
        <v>1100000</v>
      </c>
      <c r="X767" s="1">
        <v>0</v>
      </c>
      <c r="Y767" s="1">
        <v>8362410</v>
      </c>
      <c r="Z767" s="1">
        <v>0</v>
      </c>
      <c r="AA767" s="1">
        <v>0</v>
      </c>
      <c r="AB767" s="1">
        <v>0</v>
      </c>
      <c r="AC767" s="1">
        <v>2501397</v>
      </c>
      <c r="AD767" s="1">
        <v>0</v>
      </c>
      <c r="AE767" s="1">
        <v>1345659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2368359</v>
      </c>
      <c r="AM767" s="1">
        <v>0</v>
      </c>
      <c r="AN767" s="1">
        <v>69865266</v>
      </c>
      <c r="AO767" s="1">
        <v>12597365</v>
      </c>
      <c r="AP767" s="1">
        <v>57267901</v>
      </c>
      <c r="AQ767" s="1">
        <v>13973053</v>
      </c>
      <c r="AR767" s="1">
        <v>2095958</v>
      </c>
      <c r="AS767" s="1">
        <v>0</v>
      </c>
      <c r="AT767" s="1">
        <f t="shared" si="79"/>
        <v>85934277</v>
      </c>
    </row>
    <row r="768" spans="1:46">
      <c r="A768" s="1" t="str">
        <f>"00872"</f>
        <v>00872</v>
      </c>
      <c r="B768" s="1" t="str">
        <f>"سيدرضا"</f>
        <v>سيدرضا</v>
      </c>
      <c r="C768" s="1" t="str">
        <f>"شجاع الدين"</f>
        <v>شجاع الدين</v>
      </c>
      <c r="D768" s="1" t="str">
        <f t="shared" si="84"/>
        <v>قراردادي بهره بردار</v>
      </c>
      <c r="E768" s="1" t="str">
        <f t="shared" ref="E768:E785" si="85">"پروژه تعميرات نيروگاه بوشهر"</f>
        <v>پروژه تعميرات نيروگاه بوشهر</v>
      </c>
      <c r="F768" s="1">
        <v>14695801</v>
      </c>
      <c r="G768" s="1">
        <v>0</v>
      </c>
      <c r="H768" s="1">
        <v>0</v>
      </c>
      <c r="I768" s="1">
        <v>10335428</v>
      </c>
      <c r="J768" s="1">
        <v>0</v>
      </c>
      <c r="K768" s="1">
        <v>5500000</v>
      </c>
      <c r="L768" s="1">
        <v>0</v>
      </c>
      <c r="M768" s="1">
        <v>400000</v>
      </c>
      <c r="N768" s="1">
        <v>2305810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5770514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1647007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2635211</v>
      </c>
      <c r="AM768" s="1">
        <v>0</v>
      </c>
      <c r="AN768" s="1">
        <v>45501040</v>
      </c>
      <c r="AO768" s="1">
        <v>7504608</v>
      </c>
      <c r="AP768" s="1">
        <v>37996432</v>
      </c>
      <c r="AQ768" s="1">
        <v>8877954</v>
      </c>
      <c r="AR768" s="1">
        <v>1331693</v>
      </c>
      <c r="AS768" s="1">
        <v>0</v>
      </c>
      <c r="AT768" s="1">
        <f t="shared" si="79"/>
        <v>55710687</v>
      </c>
    </row>
    <row r="769" spans="1:46">
      <c r="A769" s="1" t="str">
        <f>"00873"</f>
        <v>00873</v>
      </c>
      <c r="B769" s="1" t="str">
        <f>"علي"</f>
        <v>علي</v>
      </c>
      <c r="C769" s="1" t="str">
        <f>"شهرياري"</f>
        <v>شهرياري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10971878</v>
      </c>
      <c r="G769" s="1">
        <v>3987968</v>
      </c>
      <c r="H769" s="1">
        <v>0</v>
      </c>
      <c r="I769" s="1">
        <v>7731349</v>
      </c>
      <c r="J769" s="1">
        <v>0</v>
      </c>
      <c r="K769" s="1">
        <v>4620000</v>
      </c>
      <c r="L769" s="1">
        <v>0</v>
      </c>
      <c r="M769" s="1">
        <v>400000</v>
      </c>
      <c r="N769" s="1">
        <v>1890257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5583543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1350183</v>
      </c>
      <c r="AF769" s="1">
        <v>1111269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4644630</v>
      </c>
      <c r="AM769" s="1">
        <v>0</v>
      </c>
      <c r="AN769" s="1">
        <v>43391077</v>
      </c>
      <c r="AO769" s="1">
        <v>10200573</v>
      </c>
      <c r="AP769" s="1">
        <v>33190504</v>
      </c>
      <c r="AQ769" s="1">
        <v>8455962</v>
      </c>
      <c r="AR769" s="1">
        <v>1268394</v>
      </c>
      <c r="AS769" s="1">
        <v>0</v>
      </c>
      <c r="AT769" s="1">
        <f t="shared" si="79"/>
        <v>53115433</v>
      </c>
    </row>
    <row r="770" spans="1:46">
      <c r="A770" s="1" t="str">
        <f>"00874"</f>
        <v>00874</v>
      </c>
      <c r="B770" s="1" t="str">
        <f>"مجيد"</f>
        <v>مجيد</v>
      </c>
      <c r="C770" s="1" t="str">
        <f>"صادقي"</f>
        <v>صادقي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14374099</v>
      </c>
      <c r="G770" s="1">
        <v>16512079</v>
      </c>
      <c r="H770" s="1">
        <v>0</v>
      </c>
      <c r="I770" s="1">
        <v>10493162</v>
      </c>
      <c r="J770" s="1">
        <v>0</v>
      </c>
      <c r="K770" s="1">
        <v>4125000</v>
      </c>
      <c r="L770" s="1">
        <v>0</v>
      </c>
      <c r="M770" s="1">
        <v>400000</v>
      </c>
      <c r="N770" s="1">
        <v>2244454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12471235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1603181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4104143</v>
      </c>
      <c r="AM770" s="1">
        <v>0</v>
      </c>
      <c r="AN770" s="1">
        <v>67427353</v>
      </c>
      <c r="AO770" s="1">
        <v>11254062</v>
      </c>
      <c r="AP770" s="1">
        <v>56173291</v>
      </c>
      <c r="AQ770" s="1">
        <v>13485471</v>
      </c>
      <c r="AR770" s="1">
        <v>2022821</v>
      </c>
      <c r="AS770" s="1">
        <v>0</v>
      </c>
      <c r="AT770" s="1">
        <f t="shared" si="79"/>
        <v>82935645</v>
      </c>
    </row>
    <row r="771" spans="1:46">
      <c r="A771" s="1" t="str">
        <f>"00875"</f>
        <v>00875</v>
      </c>
      <c r="B771" s="1" t="str">
        <f>"امين"</f>
        <v>امين</v>
      </c>
      <c r="C771" s="1" t="str">
        <f>"عطايي"</f>
        <v>عطايي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16034965</v>
      </c>
      <c r="G771" s="1">
        <v>5179391</v>
      </c>
      <c r="H771" s="1">
        <v>0</v>
      </c>
      <c r="I771" s="1">
        <v>12272879</v>
      </c>
      <c r="J771" s="1">
        <v>0</v>
      </c>
      <c r="K771" s="1">
        <v>5500000</v>
      </c>
      <c r="L771" s="1">
        <v>0</v>
      </c>
      <c r="M771" s="1">
        <v>400000</v>
      </c>
      <c r="N771" s="1">
        <v>2787740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3587457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1991243</v>
      </c>
      <c r="AF771" s="1">
        <v>1111269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2787740</v>
      </c>
      <c r="AM771" s="1">
        <v>0</v>
      </c>
      <c r="AN771" s="1">
        <v>52752684</v>
      </c>
      <c r="AO771" s="1">
        <v>9991559</v>
      </c>
      <c r="AP771" s="1">
        <v>42761125</v>
      </c>
      <c r="AQ771" s="1">
        <v>10328283</v>
      </c>
      <c r="AR771" s="1">
        <v>1549242</v>
      </c>
      <c r="AS771" s="1">
        <v>0</v>
      </c>
      <c r="AT771" s="1">
        <f t="shared" ref="AT771:AT834" si="86">AS771+AR771+AQ771+AN771</f>
        <v>64630209</v>
      </c>
    </row>
    <row r="772" spans="1:46">
      <c r="A772" s="1" t="str">
        <f>"00876"</f>
        <v>00876</v>
      </c>
      <c r="B772" s="1" t="str">
        <f>"يحيي"</f>
        <v>يحيي</v>
      </c>
      <c r="C772" s="1" t="str">
        <f>"غلامي"</f>
        <v>غلامي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14433566</v>
      </c>
      <c r="G772" s="1">
        <v>5162600</v>
      </c>
      <c r="H772" s="1">
        <v>0</v>
      </c>
      <c r="I772" s="1">
        <v>11379198</v>
      </c>
      <c r="J772" s="1">
        <v>0</v>
      </c>
      <c r="K772" s="1">
        <v>5500000</v>
      </c>
      <c r="L772" s="1">
        <v>0</v>
      </c>
      <c r="M772" s="1">
        <v>400000</v>
      </c>
      <c r="N772" s="1">
        <v>2241300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7510271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1600928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4482601</v>
      </c>
      <c r="AM772" s="1">
        <v>0</v>
      </c>
      <c r="AN772" s="1">
        <v>53810464</v>
      </c>
      <c r="AO772" s="1">
        <v>8821349</v>
      </c>
      <c r="AP772" s="1">
        <v>44989115</v>
      </c>
      <c r="AQ772" s="1">
        <v>10762093</v>
      </c>
      <c r="AR772" s="1">
        <v>1614314</v>
      </c>
      <c r="AS772" s="1">
        <v>0</v>
      </c>
      <c r="AT772" s="1">
        <f t="shared" si="86"/>
        <v>66186871</v>
      </c>
    </row>
    <row r="773" spans="1:46">
      <c r="A773" s="1" t="str">
        <f>"00877"</f>
        <v>00877</v>
      </c>
      <c r="B773" s="1" t="str">
        <f>"مجتبي"</f>
        <v>مجتبي</v>
      </c>
      <c r="C773" s="1" t="str">
        <f>"محمدپور شورباخلو"</f>
        <v>محمدپور شورباخلو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15069602</v>
      </c>
      <c r="G773" s="1">
        <v>21459276</v>
      </c>
      <c r="H773" s="1">
        <v>0</v>
      </c>
      <c r="I773" s="1">
        <v>11639213</v>
      </c>
      <c r="J773" s="1">
        <v>0</v>
      </c>
      <c r="K773" s="1">
        <v>4125000</v>
      </c>
      <c r="L773" s="1">
        <v>0</v>
      </c>
      <c r="M773" s="1">
        <v>400000</v>
      </c>
      <c r="N773" s="1">
        <v>2466668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7581464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1761905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3523811</v>
      </c>
      <c r="AM773" s="1">
        <v>0</v>
      </c>
      <c r="AN773" s="1">
        <v>69126939</v>
      </c>
      <c r="AO773" s="1">
        <v>12473326</v>
      </c>
      <c r="AP773" s="1">
        <v>56653613</v>
      </c>
      <c r="AQ773" s="1">
        <v>13825388</v>
      </c>
      <c r="AR773" s="1">
        <v>2073808</v>
      </c>
      <c r="AS773" s="1">
        <v>0</v>
      </c>
      <c r="AT773" s="1">
        <f t="shared" si="86"/>
        <v>85026135</v>
      </c>
    </row>
    <row r="774" spans="1:46">
      <c r="A774" s="1" t="str">
        <f>"00878"</f>
        <v>00878</v>
      </c>
      <c r="B774" s="1" t="str">
        <f>"سجاد"</f>
        <v>سجاد</v>
      </c>
      <c r="C774" s="1" t="str">
        <f>"محمدي"</f>
        <v>محمدي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14748941</v>
      </c>
      <c r="G774" s="1">
        <v>0</v>
      </c>
      <c r="H774" s="1">
        <v>0</v>
      </c>
      <c r="I774" s="1">
        <v>10271785</v>
      </c>
      <c r="J774" s="1">
        <v>0</v>
      </c>
      <c r="K774" s="1">
        <v>4125000</v>
      </c>
      <c r="L774" s="1">
        <v>0</v>
      </c>
      <c r="M774" s="1">
        <v>400000</v>
      </c>
      <c r="N774" s="1">
        <v>2327714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6255090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1662653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2660246</v>
      </c>
      <c r="AM774" s="1">
        <v>0</v>
      </c>
      <c r="AN774" s="1">
        <v>43551429</v>
      </c>
      <c r="AO774" s="1">
        <v>9581307</v>
      </c>
      <c r="AP774" s="1">
        <v>33970122</v>
      </c>
      <c r="AQ774" s="1">
        <v>8710286</v>
      </c>
      <c r="AR774" s="1">
        <v>1306543</v>
      </c>
      <c r="AS774" s="1">
        <v>0</v>
      </c>
      <c r="AT774" s="1">
        <f t="shared" si="86"/>
        <v>53568258</v>
      </c>
    </row>
    <row r="775" spans="1:46">
      <c r="A775" s="1" t="str">
        <f>"00879"</f>
        <v>00879</v>
      </c>
      <c r="B775" s="1" t="str">
        <f>"ايوب"</f>
        <v>ايوب</v>
      </c>
      <c r="C775" s="1" t="str">
        <f>"محمودآبادي"</f>
        <v>محمودآبادي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11361671</v>
      </c>
      <c r="G775" s="1">
        <v>5894631</v>
      </c>
      <c r="H775" s="1">
        <v>0</v>
      </c>
      <c r="I775" s="1">
        <v>8941011</v>
      </c>
      <c r="J775" s="1">
        <v>0</v>
      </c>
      <c r="K775" s="1">
        <v>3465000</v>
      </c>
      <c r="L775" s="1">
        <v>0</v>
      </c>
      <c r="M775" s="1">
        <v>400000</v>
      </c>
      <c r="N775" s="1">
        <v>2039407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6338183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1456720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5011116</v>
      </c>
      <c r="AM775" s="1">
        <v>0</v>
      </c>
      <c r="AN775" s="1">
        <v>46007739</v>
      </c>
      <c r="AO775" s="1">
        <v>6889300</v>
      </c>
      <c r="AP775" s="1">
        <v>39118439</v>
      </c>
      <c r="AQ775" s="1">
        <v>9201548</v>
      </c>
      <c r="AR775" s="1">
        <v>1380232</v>
      </c>
      <c r="AS775" s="1">
        <v>0</v>
      </c>
      <c r="AT775" s="1">
        <f t="shared" si="86"/>
        <v>56589519</v>
      </c>
    </row>
    <row r="776" spans="1:46">
      <c r="A776" s="1" t="str">
        <f>"00880"</f>
        <v>00880</v>
      </c>
      <c r="B776" s="1" t="str">
        <f>"جاويد"</f>
        <v>جاويد</v>
      </c>
      <c r="C776" s="1" t="str">
        <f>"ميرشکاري"</f>
        <v>ميرشکاري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10760005</v>
      </c>
      <c r="G776" s="1">
        <v>3856206</v>
      </c>
      <c r="H776" s="1">
        <v>0</v>
      </c>
      <c r="I776" s="1">
        <v>8407410</v>
      </c>
      <c r="J776" s="1">
        <v>0</v>
      </c>
      <c r="K776" s="1">
        <v>3465000</v>
      </c>
      <c r="L776" s="1">
        <v>0</v>
      </c>
      <c r="M776" s="1">
        <v>400000</v>
      </c>
      <c r="N776" s="1">
        <v>1852775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10768461</v>
      </c>
      <c r="W776" s="1">
        <v>1100000</v>
      </c>
      <c r="X776" s="1">
        <v>1614001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1323411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7568790</v>
      </c>
      <c r="AM776" s="1">
        <v>0</v>
      </c>
      <c r="AN776" s="1">
        <v>51116059</v>
      </c>
      <c r="AO776" s="1">
        <v>8871498</v>
      </c>
      <c r="AP776" s="1">
        <v>42244561</v>
      </c>
      <c r="AQ776" s="1">
        <v>10223212</v>
      </c>
      <c r="AR776" s="1">
        <v>1533482</v>
      </c>
      <c r="AS776" s="1">
        <v>0</v>
      </c>
      <c r="AT776" s="1">
        <f t="shared" si="86"/>
        <v>62872753</v>
      </c>
    </row>
    <row r="777" spans="1:46">
      <c r="A777" s="1" t="str">
        <f>"00882"</f>
        <v>00882</v>
      </c>
      <c r="B777" s="1" t="str">
        <f>"امين"</f>
        <v>امين</v>
      </c>
      <c r="C777" s="1" t="str">
        <f>"يزدي"</f>
        <v>يزدي</v>
      </c>
      <c r="D777" s="1" t="str">
        <f t="shared" si="84"/>
        <v>قراردادي بهره بردار</v>
      </c>
      <c r="E777" s="1" t="str">
        <f t="shared" si="85"/>
        <v>پروژه تعميرات نيروگاه بوشهر</v>
      </c>
      <c r="F777" s="1">
        <v>15010216</v>
      </c>
      <c r="G777" s="1">
        <v>7836127</v>
      </c>
      <c r="H777" s="1">
        <v>0</v>
      </c>
      <c r="I777" s="1">
        <v>10526767</v>
      </c>
      <c r="J777" s="1">
        <v>0</v>
      </c>
      <c r="K777" s="1">
        <v>5500000</v>
      </c>
      <c r="L777" s="1">
        <v>0</v>
      </c>
      <c r="M777" s="1">
        <v>400000</v>
      </c>
      <c r="N777" s="1">
        <v>2422192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5923499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1730137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2768219</v>
      </c>
      <c r="AM777" s="1">
        <v>0</v>
      </c>
      <c r="AN777" s="1">
        <v>55439695</v>
      </c>
      <c r="AO777" s="1">
        <v>17412088</v>
      </c>
      <c r="AP777" s="1">
        <v>38027607</v>
      </c>
      <c r="AQ777" s="1">
        <v>10643431</v>
      </c>
      <c r="AR777" s="1">
        <v>1596515</v>
      </c>
      <c r="AS777" s="1">
        <v>0</v>
      </c>
      <c r="AT777" s="1">
        <f t="shared" si="86"/>
        <v>67679641</v>
      </c>
    </row>
    <row r="778" spans="1:46">
      <c r="A778" s="1" t="str">
        <f>"00883"</f>
        <v>00883</v>
      </c>
      <c r="B778" s="1" t="str">
        <f>"حميد"</f>
        <v>حميد</v>
      </c>
      <c r="C778" s="1" t="str">
        <f>"بادروح"</f>
        <v>بادروح</v>
      </c>
      <c r="D778" s="1" t="str">
        <f t="shared" si="84"/>
        <v>قراردادي بهره بردار</v>
      </c>
      <c r="E778" s="1" t="str">
        <f t="shared" si="85"/>
        <v>پروژه تعميرات نيروگاه بوشهر</v>
      </c>
      <c r="F778" s="1">
        <v>14951502</v>
      </c>
      <c r="G778" s="1">
        <v>2714055</v>
      </c>
      <c r="H778" s="1">
        <v>0</v>
      </c>
      <c r="I778" s="1">
        <v>10431161</v>
      </c>
      <c r="J778" s="1">
        <v>0</v>
      </c>
      <c r="K778" s="1">
        <v>4125000</v>
      </c>
      <c r="L778" s="1">
        <v>0</v>
      </c>
      <c r="M778" s="1">
        <v>400000</v>
      </c>
      <c r="N778" s="1">
        <v>2394203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5340104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1710146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2394203</v>
      </c>
      <c r="AM778" s="1">
        <v>0</v>
      </c>
      <c r="AN778" s="1">
        <v>45560374</v>
      </c>
      <c r="AO778" s="1">
        <v>7000723</v>
      </c>
      <c r="AP778" s="1">
        <v>38559651</v>
      </c>
      <c r="AQ778" s="1">
        <v>9112075</v>
      </c>
      <c r="AR778" s="1">
        <v>1366811</v>
      </c>
      <c r="AS778" s="1">
        <v>0</v>
      </c>
      <c r="AT778" s="1">
        <f t="shared" si="86"/>
        <v>56039260</v>
      </c>
    </row>
    <row r="779" spans="1:46">
      <c r="A779" s="1" t="str">
        <f>"00884"</f>
        <v>00884</v>
      </c>
      <c r="B779" s="1" t="str">
        <f>"صادق"</f>
        <v>صادق</v>
      </c>
      <c r="C779" s="1" t="str">
        <f>"بناري"</f>
        <v>بناري</v>
      </c>
      <c r="D779" s="1" t="str">
        <f t="shared" si="84"/>
        <v>قراردادي بهره بردار</v>
      </c>
      <c r="E779" s="1" t="str">
        <f t="shared" si="85"/>
        <v>پروژه تعميرات نيروگاه بوشهر</v>
      </c>
      <c r="F779" s="1">
        <v>15173857</v>
      </c>
      <c r="G779" s="1">
        <v>5650025</v>
      </c>
      <c r="H779" s="1">
        <v>0</v>
      </c>
      <c r="I779" s="1">
        <v>11274792</v>
      </c>
      <c r="J779" s="1">
        <v>0</v>
      </c>
      <c r="K779" s="1">
        <v>4125000</v>
      </c>
      <c r="L779" s="1">
        <v>0</v>
      </c>
      <c r="M779" s="1">
        <v>400000</v>
      </c>
      <c r="N779" s="1">
        <v>2481670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5558422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1772620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2481670</v>
      </c>
      <c r="AM779" s="1">
        <v>0</v>
      </c>
      <c r="AN779" s="1">
        <v>50018056</v>
      </c>
      <c r="AO779" s="1">
        <v>10266314</v>
      </c>
      <c r="AP779" s="1">
        <v>39751742</v>
      </c>
      <c r="AQ779" s="1">
        <v>10003611</v>
      </c>
      <c r="AR779" s="1">
        <v>1500542</v>
      </c>
      <c r="AS779" s="1">
        <v>0</v>
      </c>
      <c r="AT779" s="1">
        <f t="shared" si="86"/>
        <v>61522209</v>
      </c>
    </row>
    <row r="780" spans="1:46">
      <c r="A780" s="1" t="str">
        <f>"00886"</f>
        <v>00886</v>
      </c>
      <c r="B780" s="1" t="str">
        <f>"سيد محمد علي"</f>
        <v>سيد محمد علي</v>
      </c>
      <c r="C780" s="1" t="str">
        <f>"مير بهرسي"</f>
        <v>مير بهرسي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6593122</v>
      </c>
      <c r="G780" s="1">
        <v>5394233</v>
      </c>
      <c r="H780" s="1">
        <v>0</v>
      </c>
      <c r="I780" s="1">
        <v>4747048</v>
      </c>
      <c r="J780" s="1">
        <v>0</v>
      </c>
      <c r="K780" s="1">
        <v>0</v>
      </c>
      <c r="L780" s="1">
        <v>3620700</v>
      </c>
      <c r="M780" s="1">
        <v>400000</v>
      </c>
      <c r="N780" s="1">
        <v>3470064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6228417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2222538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33776122</v>
      </c>
      <c r="AO780" s="1">
        <v>5119922</v>
      </c>
      <c r="AP780" s="1">
        <v>28656200</v>
      </c>
      <c r="AQ780" s="1">
        <v>6310717</v>
      </c>
      <c r="AR780" s="1">
        <v>946608</v>
      </c>
      <c r="AS780" s="1">
        <v>0</v>
      </c>
      <c r="AT780" s="1">
        <f t="shared" si="86"/>
        <v>41033447</v>
      </c>
    </row>
    <row r="781" spans="1:46">
      <c r="A781" s="1" t="str">
        <f>"00887"</f>
        <v>00887</v>
      </c>
      <c r="B781" s="1" t="str">
        <f>"عبدالحسين"</f>
        <v>عبدالحسين</v>
      </c>
      <c r="C781" s="1" t="str">
        <f>"بچاچري نژاد"</f>
        <v>بچاچري نژاد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7964424</v>
      </c>
      <c r="G781" s="1">
        <v>5608450</v>
      </c>
      <c r="H781" s="1">
        <v>0</v>
      </c>
      <c r="I781" s="1">
        <v>5734385</v>
      </c>
      <c r="J781" s="1">
        <v>0</v>
      </c>
      <c r="K781" s="1">
        <v>0</v>
      </c>
      <c r="L781" s="1">
        <v>3620700</v>
      </c>
      <c r="M781" s="1">
        <v>400000</v>
      </c>
      <c r="N781" s="1">
        <v>4247693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6920161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3235080</v>
      </c>
      <c r="AE781" s="1">
        <v>0</v>
      </c>
      <c r="AF781" s="1">
        <v>2222538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41053431</v>
      </c>
      <c r="AO781" s="1">
        <v>6760845</v>
      </c>
      <c r="AP781" s="1">
        <v>34292586</v>
      </c>
      <c r="AQ781" s="1">
        <v>7766179</v>
      </c>
      <c r="AR781" s="1">
        <v>1164927</v>
      </c>
      <c r="AS781" s="1">
        <v>1325000</v>
      </c>
      <c r="AT781" s="1">
        <f t="shared" si="86"/>
        <v>51309537</v>
      </c>
    </row>
    <row r="782" spans="1:46">
      <c r="A782" s="1" t="str">
        <f>"00888"</f>
        <v>00888</v>
      </c>
      <c r="B782" s="1" t="str">
        <f>"جواد"</f>
        <v>جواد</v>
      </c>
      <c r="C782" s="1" t="str">
        <f>"رحيم زاده کچوئي"</f>
        <v>رحيم زاده کچوئي</v>
      </c>
      <c r="D782" s="1" t="str">
        <f>"قراردادي بهره بردار"</f>
        <v>قراردادي بهره بردار</v>
      </c>
      <c r="E782" s="1" t="str">
        <f t="shared" si="85"/>
        <v>پروژه تعميرات نيروگاه بوشهر</v>
      </c>
      <c r="F782" s="1">
        <v>12231752</v>
      </c>
      <c r="G782" s="1">
        <v>6248948</v>
      </c>
      <c r="H782" s="1">
        <v>0</v>
      </c>
      <c r="I782" s="1">
        <v>8624813</v>
      </c>
      <c r="J782" s="1">
        <v>0</v>
      </c>
      <c r="K782" s="1">
        <v>4620000</v>
      </c>
      <c r="L782" s="1">
        <v>0</v>
      </c>
      <c r="M782" s="1">
        <v>400000</v>
      </c>
      <c r="N782" s="1">
        <v>2027690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6181630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1448350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3765709</v>
      </c>
      <c r="AM782" s="1">
        <v>0</v>
      </c>
      <c r="AN782" s="1">
        <v>46648892</v>
      </c>
      <c r="AO782" s="1">
        <v>9447683</v>
      </c>
      <c r="AP782" s="1">
        <v>37201209</v>
      </c>
      <c r="AQ782" s="1">
        <v>9329778</v>
      </c>
      <c r="AR782" s="1">
        <v>1399467</v>
      </c>
      <c r="AS782" s="1">
        <v>0</v>
      </c>
      <c r="AT782" s="1">
        <f t="shared" si="86"/>
        <v>57378137</v>
      </c>
    </row>
    <row r="783" spans="1:46">
      <c r="A783" s="1" t="str">
        <f>"00890"</f>
        <v>00890</v>
      </c>
      <c r="B783" s="1" t="str">
        <f>"محمدرضا"</f>
        <v>محمدرضا</v>
      </c>
      <c r="C783" s="1" t="str">
        <f>"راه پيماي فرد حقيقي"</f>
        <v>راه پيماي فرد حقيقي</v>
      </c>
      <c r="D783" s="1" t="str">
        <f>"قراردادي کارگري"</f>
        <v>قراردادي کارگري</v>
      </c>
      <c r="E783" s="1" t="str">
        <f t="shared" si="85"/>
        <v>پروژه تعميرات نيروگاه بوشهر</v>
      </c>
      <c r="F783" s="1">
        <v>7938608</v>
      </c>
      <c r="G783" s="1">
        <v>5377315</v>
      </c>
      <c r="H783" s="1">
        <v>0</v>
      </c>
      <c r="I783" s="1">
        <v>4763165</v>
      </c>
      <c r="J783" s="1">
        <v>0</v>
      </c>
      <c r="K783" s="1">
        <v>0</v>
      </c>
      <c r="L783" s="1">
        <v>3620700</v>
      </c>
      <c r="M783" s="1">
        <v>400000</v>
      </c>
      <c r="N783" s="1">
        <v>4205885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4901309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33418251</v>
      </c>
      <c r="AO783" s="1">
        <v>7299418</v>
      </c>
      <c r="AP783" s="1">
        <v>26118833</v>
      </c>
      <c r="AQ783" s="1">
        <v>6461396</v>
      </c>
      <c r="AR783" s="1">
        <v>969209</v>
      </c>
      <c r="AS783" s="1">
        <v>530000</v>
      </c>
      <c r="AT783" s="1">
        <f t="shared" si="86"/>
        <v>41378856</v>
      </c>
    </row>
    <row r="784" spans="1:46">
      <c r="A784" s="1" t="str">
        <f>"00891"</f>
        <v>00891</v>
      </c>
      <c r="B784" s="1" t="str">
        <f>"غلامرضا"</f>
        <v>غلامرضا</v>
      </c>
      <c r="C784" s="1" t="str">
        <f>"مسافر"</f>
        <v>مسافر</v>
      </c>
      <c r="D784" s="1" t="str">
        <f>"قراردادي کارگري"</f>
        <v>قراردادي کارگري</v>
      </c>
      <c r="E784" s="1" t="str">
        <f t="shared" si="85"/>
        <v>پروژه تعميرات نيروگاه بوشهر</v>
      </c>
      <c r="F784" s="1">
        <v>4661104</v>
      </c>
      <c r="G784" s="1">
        <v>7014440</v>
      </c>
      <c r="H784" s="1">
        <v>0</v>
      </c>
      <c r="I784" s="1">
        <v>2796663</v>
      </c>
      <c r="J784" s="1">
        <v>0</v>
      </c>
      <c r="K784" s="1">
        <v>0</v>
      </c>
      <c r="L784" s="1">
        <v>6190734</v>
      </c>
      <c r="M784" s="1">
        <v>400000</v>
      </c>
      <c r="N784" s="1">
        <v>2315117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5413722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1111269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31003049</v>
      </c>
      <c r="AO784" s="1">
        <v>6460727</v>
      </c>
      <c r="AP784" s="1">
        <v>24542322</v>
      </c>
      <c r="AQ784" s="1">
        <v>5978356</v>
      </c>
      <c r="AR784" s="1">
        <v>896753</v>
      </c>
      <c r="AS784" s="1">
        <v>530000</v>
      </c>
      <c r="AT784" s="1">
        <f t="shared" si="86"/>
        <v>38408158</v>
      </c>
    </row>
    <row r="785" spans="1:46">
      <c r="A785" s="1" t="str">
        <f>"00892"</f>
        <v>00892</v>
      </c>
      <c r="B785" s="1" t="str">
        <f>"اسلام"</f>
        <v>اسلام</v>
      </c>
      <c r="C785" s="1" t="str">
        <f>"دست نشان"</f>
        <v>دست نشان</v>
      </c>
      <c r="D785" s="1" t="str">
        <f>"قراردادي کارگري"</f>
        <v>قراردادي کارگري</v>
      </c>
      <c r="E785" s="1" t="str">
        <f t="shared" si="85"/>
        <v>پروژه تعميرات نيروگاه بوشهر</v>
      </c>
      <c r="F785" s="1">
        <v>7212716</v>
      </c>
      <c r="G785" s="1">
        <v>11068290</v>
      </c>
      <c r="H785" s="1">
        <v>0</v>
      </c>
      <c r="I785" s="1">
        <v>4327630</v>
      </c>
      <c r="J785" s="1">
        <v>0</v>
      </c>
      <c r="K785" s="1">
        <v>0</v>
      </c>
      <c r="L785" s="1">
        <v>3620700</v>
      </c>
      <c r="M785" s="1">
        <v>400000</v>
      </c>
      <c r="N785" s="1">
        <v>3796166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6341736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2222538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40089776</v>
      </c>
      <c r="AO785" s="1">
        <v>7542616</v>
      </c>
      <c r="AP785" s="1">
        <v>32547160</v>
      </c>
      <c r="AQ785" s="1">
        <v>7573448</v>
      </c>
      <c r="AR785" s="1">
        <v>1136017</v>
      </c>
      <c r="AS785" s="1">
        <v>390000</v>
      </c>
      <c r="AT785" s="1">
        <f t="shared" si="86"/>
        <v>49189241</v>
      </c>
    </row>
    <row r="786" spans="1:46">
      <c r="A786" s="1" t="str">
        <f>"00893"</f>
        <v>00893</v>
      </c>
      <c r="B786" s="1" t="str">
        <f>"يعقوب"</f>
        <v>يعقوب</v>
      </c>
      <c r="C786" s="1" t="str">
        <f>"صفوي"</f>
        <v>صفوي</v>
      </c>
      <c r="D786" s="1" t="str">
        <f t="shared" ref="D786:D805" si="87">"قراردادي بهره بردار"</f>
        <v>قراردادي بهره بردار</v>
      </c>
      <c r="E786" s="1" t="str">
        <f t="shared" ref="E786:E805" si="88">"پروژه بهره برداري نيروگاه بوشهر"</f>
        <v>پروژه بهره برداري نيروگاه بوشهر</v>
      </c>
      <c r="F786" s="1">
        <v>14471259</v>
      </c>
      <c r="G786" s="1">
        <v>6390035</v>
      </c>
      <c r="H786" s="1">
        <v>0</v>
      </c>
      <c r="I786" s="1">
        <v>10269509</v>
      </c>
      <c r="J786" s="1">
        <v>0</v>
      </c>
      <c r="K786" s="1">
        <v>5500000</v>
      </c>
      <c r="L786" s="1">
        <v>0</v>
      </c>
      <c r="M786" s="1">
        <v>400000</v>
      </c>
      <c r="N786" s="1">
        <v>2268817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1270000</v>
      </c>
      <c r="U786" s="1">
        <v>0</v>
      </c>
      <c r="V786" s="1">
        <v>7604670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1620584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7582545</v>
      </c>
      <c r="AM786" s="1">
        <v>0</v>
      </c>
      <c r="AN786" s="1">
        <v>59588688</v>
      </c>
      <c r="AO786" s="1">
        <v>11523972</v>
      </c>
      <c r="AP786" s="1">
        <v>48064716</v>
      </c>
      <c r="AQ786" s="1">
        <v>11441484</v>
      </c>
      <c r="AR786" s="1">
        <v>1716223</v>
      </c>
      <c r="AS786" s="1">
        <v>0</v>
      </c>
      <c r="AT786" s="1">
        <f t="shared" si="86"/>
        <v>72746395</v>
      </c>
    </row>
    <row r="787" spans="1:46">
      <c r="A787" s="1" t="str">
        <f>"00895"</f>
        <v>00895</v>
      </c>
      <c r="B787" s="1" t="str">
        <f>"رضا"</f>
        <v>رضا</v>
      </c>
      <c r="C787" s="1" t="str">
        <f>"ولي"</f>
        <v>ولي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13854870</v>
      </c>
      <c r="G787" s="1">
        <v>6205118</v>
      </c>
      <c r="H787" s="1">
        <v>0</v>
      </c>
      <c r="I787" s="1">
        <v>10273049</v>
      </c>
      <c r="J787" s="1">
        <v>0</v>
      </c>
      <c r="K787" s="1">
        <v>5500000</v>
      </c>
      <c r="L787" s="1">
        <v>0</v>
      </c>
      <c r="M787" s="1">
        <v>400000</v>
      </c>
      <c r="N787" s="1">
        <v>2254786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14429558</v>
      </c>
      <c r="W787" s="1">
        <v>1100000</v>
      </c>
      <c r="X787" s="1">
        <v>2078231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1610561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7635273</v>
      </c>
      <c r="AM787" s="1">
        <v>0</v>
      </c>
      <c r="AN787" s="1">
        <v>66611446</v>
      </c>
      <c r="AO787" s="1">
        <v>13378250</v>
      </c>
      <c r="AP787" s="1">
        <v>53233196</v>
      </c>
      <c r="AQ787" s="1">
        <v>13068289</v>
      </c>
      <c r="AR787" s="1">
        <v>1960243</v>
      </c>
      <c r="AS787" s="1">
        <v>0</v>
      </c>
      <c r="AT787" s="1">
        <f t="shared" si="86"/>
        <v>81639978</v>
      </c>
    </row>
    <row r="788" spans="1:46">
      <c r="A788" s="1" t="str">
        <f>"00896"</f>
        <v>00896</v>
      </c>
      <c r="B788" s="1" t="str">
        <f>"سيدجاسم"</f>
        <v>سيدجاسم</v>
      </c>
      <c r="C788" s="1" t="str">
        <f>"حسيني"</f>
        <v>حسيني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13547390</v>
      </c>
      <c r="G788" s="1">
        <v>0</v>
      </c>
      <c r="H788" s="1">
        <v>0</v>
      </c>
      <c r="I788" s="1">
        <v>9789314</v>
      </c>
      <c r="J788" s="1">
        <v>0</v>
      </c>
      <c r="K788" s="1">
        <v>5500000</v>
      </c>
      <c r="L788" s="1">
        <v>0</v>
      </c>
      <c r="M788" s="1">
        <v>400000</v>
      </c>
      <c r="N788" s="1">
        <v>2088794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10027277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1491995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3700148</v>
      </c>
      <c r="AM788" s="1">
        <v>0</v>
      </c>
      <c r="AN788" s="1">
        <v>47644918</v>
      </c>
      <c r="AO788" s="1">
        <v>12414346</v>
      </c>
      <c r="AP788" s="1">
        <v>35230572</v>
      </c>
      <c r="AQ788" s="1">
        <v>9528984</v>
      </c>
      <c r="AR788" s="1">
        <v>1429348</v>
      </c>
      <c r="AS788" s="1">
        <v>0</v>
      </c>
      <c r="AT788" s="1">
        <f t="shared" si="86"/>
        <v>58603250</v>
      </c>
    </row>
    <row r="789" spans="1:46">
      <c r="A789" s="1" t="str">
        <f>"00897"</f>
        <v>00897</v>
      </c>
      <c r="B789" s="1" t="str">
        <f>"اکبر"</f>
        <v>اکبر</v>
      </c>
      <c r="C789" s="1" t="str">
        <f>"بهاروند"</f>
        <v>بهاروند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10065078</v>
      </c>
      <c r="G789" s="1">
        <v>6712751</v>
      </c>
      <c r="H789" s="1">
        <v>0</v>
      </c>
      <c r="I789" s="1">
        <v>6888565</v>
      </c>
      <c r="J789" s="1">
        <v>0</v>
      </c>
      <c r="K789" s="1">
        <v>4620000</v>
      </c>
      <c r="L789" s="1">
        <v>0</v>
      </c>
      <c r="M789" s="1">
        <v>400000</v>
      </c>
      <c r="N789" s="1">
        <v>1592710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10707756</v>
      </c>
      <c r="W789" s="1">
        <v>1100000</v>
      </c>
      <c r="X789" s="1">
        <v>1509762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1137651</v>
      </c>
      <c r="AF789" s="1">
        <v>1111269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6432474</v>
      </c>
      <c r="AM789" s="1">
        <v>0</v>
      </c>
      <c r="AN789" s="1">
        <v>53548016</v>
      </c>
      <c r="AO789" s="1">
        <v>9579140</v>
      </c>
      <c r="AP789" s="1">
        <v>43968876</v>
      </c>
      <c r="AQ789" s="1">
        <v>10233349</v>
      </c>
      <c r="AR789" s="1">
        <v>1535002</v>
      </c>
      <c r="AS789" s="1">
        <v>0</v>
      </c>
      <c r="AT789" s="1">
        <f t="shared" si="86"/>
        <v>65316367</v>
      </c>
    </row>
    <row r="790" spans="1:46">
      <c r="A790" s="1" t="str">
        <f>"00898"</f>
        <v>00898</v>
      </c>
      <c r="B790" s="1" t="str">
        <f>"محمدرضا"</f>
        <v>محمدرضا</v>
      </c>
      <c r="C790" s="1" t="str">
        <f>"آزادمنش"</f>
        <v>آزادمنش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11779349</v>
      </c>
      <c r="G790" s="1">
        <v>5258730</v>
      </c>
      <c r="H790" s="1">
        <v>0</v>
      </c>
      <c r="I790" s="1">
        <v>9204987</v>
      </c>
      <c r="J790" s="1">
        <v>0</v>
      </c>
      <c r="K790" s="1">
        <v>4620000</v>
      </c>
      <c r="L790" s="1">
        <v>0</v>
      </c>
      <c r="M790" s="1">
        <v>400000</v>
      </c>
      <c r="N790" s="1">
        <v>2206926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7225109</v>
      </c>
      <c r="W790" s="1">
        <v>1100000</v>
      </c>
      <c r="X790" s="1">
        <v>1766902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1576376</v>
      </c>
      <c r="AF790" s="1">
        <v>1111269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8073767</v>
      </c>
      <c r="AM790" s="1">
        <v>0</v>
      </c>
      <c r="AN790" s="1">
        <v>55593415</v>
      </c>
      <c r="AO790" s="1">
        <v>9257664</v>
      </c>
      <c r="AP790" s="1">
        <v>46335751</v>
      </c>
      <c r="AQ790" s="1">
        <v>10642429</v>
      </c>
      <c r="AR790" s="1">
        <v>1596364</v>
      </c>
      <c r="AS790" s="1">
        <v>0</v>
      </c>
      <c r="AT790" s="1">
        <f t="shared" si="86"/>
        <v>67832208</v>
      </c>
    </row>
    <row r="791" spans="1:46">
      <c r="A791" s="1" t="str">
        <f>"00899"</f>
        <v>00899</v>
      </c>
      <c r="B791" s="1" t="str">
        <f>"احمد"</f>
        <v>احمد</v>
      </c>
      <c r="C791" s="1" t="str">
        <f>"هوشمندي"</f>
        <v>هوشمندي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11364195</v>
      </c>
      <c r="G791" s="1">
        <v>5442537</v>
      </c>
      <c r="H791" s="1">
        <v>0</v>
      </c>
      <c r="I791" s="1">
        <v>8581320</v>
      </c>
      <c r="J791" s="1">
        <v>0</v>
      </c>
      <c r="K791" s="1">
        <v>4620000</v>
      </c>
      <c r="L791" s="1">
        <v>0</v>
      </c>
      <c r="M791" s="1">
        <v>400000</v>
      </c>
      <c r="N791" s="1">
        <v>2049647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1270000</v>
      </c>
      <c r="U791" s="1">
        <v>0</v>
      </c>
      <c r="V791" s="1">
        <v>9878891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1464034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3982170</v>
      </c>
      <c r="AM791" s="1">
        <v>0</v>
      </c>
      <c r="AN791" s="1">
        <v>51264063</v>
      </c>
      <c r="AO791" s="1">
        <v>7821437</v>
      </c>
      <c r="AP791" s="1">
        <v>43442626</v>
      </c>
      <c r="AQ791" s="1">
        <v>9776559</v>
      </c>
      <c r="AR791" s="1">
        <v>1466484</v>
      </c>
      <c r="AS791" s="1">
        <v>0</v>
      </c>
      <c r="AT791" s="1">
        <f t="shared" si="86"/>
        <v>62507106</v>
      </c>
    </row>
    <row r="792" spans="1:46">
      <c r="A792" s="1" t="str">
        <f>"00900"</f>
        <v>00900</v>
      </c>
      <c r="B792" s="1" t="str">
        <f>"اسماعيل"</f>
        <v>اسماعيل</v>
      </c>
      <c r="C792" s="1" t="str">
        <f>"مغانلو رحيمي زاده"</f>
        <v>مغانلو رحيمي زاده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10492853</v>
      </c>
      <c r="G792" s="1">
        <v>2941136</v>
      </c>
      <c r="H792" s="1">
        <v>0</v>
      </c>
      <c r="I792" s="1">
        <v>7771069</v>
      </c>
      <c r="J792" s="1">
        <v>0</v>
      </c>
      <c r="K792" s="1">
        <v>3465000</v>
      </c>
      <c r="L792" s="1">
        <v>0</v>
      </c>
      <c r="M792" s="1">
        <v>400000</v>
      </c>
      <c r="N792" s="1">
        <v>1826776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8668283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1304840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3549164</v>
      </c>
      <c r="AM792" s="1">
        <v>0</v>
      </c>
      <c r="AN792" s="1">
        <v>41519121</v>
      </c>
      <c r="AO792" s="1">
        <v>7225878</v>
      </c>
      <c r="AP792" s="1">
        <v>34293243</v>
      </c>
      <c r="AQ792" s="1">
        <v>8303824</v>
      </c>
      <c r="AR792" s="1">
        <v>1245574</v>
      </c>
      <c r="AS792" s="1">
        <v>0</v>
      </c>
      <c r="AT792" s="1">
        <f t="shared" si="86"/>
        <v>51068519</v>
      </c>
    </row>
    <row r="793" spans="1:46">
      <c r="A793" s="1" t="str">
        <f>"00901"</f>
        <v>00901</v>
      </c>
      <c r="B793" s="1" t="str">
        <f>"پيمان"</f>
        <v>پيمان</v>
      </c>
      <c r="C793" s="1" t="str">
        <f>"بحريني"</f>
        <v>بحريني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12086369</v>
      </c>
      <c r="G793" s="1">
        <v>6188610</v>
      </c>
      <c r="H793" s="1">
        <v>0</v>
      </c>
      <c r="I793" s="1">
        <v>9661260</v>
      </c>
      <c r="J793" s="1">
        <v>0</v>
      </c>
      <c r="K793" s="1">
        <v>3465000</v>
      </c>
      <c r="L793" s="1">
        <v>0</v>
      </c>
      <c r="M793" s="1">
        <v>400000</v>
      </c>
      <c r="N793" s="1">
        <v>2315880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10198282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1654200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4499424</v>
      </c>
      <c r="AM793" s="1">
        <v>0</v>
      </c>
      <c r="AN793" s="1">
        <v>51569025</v>
      </c>
      <c r="AO793" s="1">
        <v>8109830</v>
      </c>
      <c r="AP793" s="1">
        <v>43459195</v>
      </c>
      <c r="AQ793" s="1">
        <v>10313805</v>
      </c>
      <c r="AR793" s="1">
        <v>1547071</v>
      </c>
      <c r="AS793" s="1">
        <v>0</v>
      </c>
      <c r="AT793" s="1">
        <f t="shared" si="86"/>
        <v>63429901</v>
      </c>
    </row>
    <row r="794" spans="1:46">
      <c r="A794" s="1" t="str">
        <f>"00902"</f>
        <v>00902</v>
      </c>
      <c r="B794" s="1" t="str">
        <f>"علي"</f>
        <v>علي</v>
      </c>
      <c r="C794" s="1" t="str">
        <f>"پاژنگ"</f>
        <v>پاژنگ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10976536</v>
      </c>
      <c r="G794" s="1">
        <v>5079751</v>
      </c>
      <c r="H794" s="1">
        <v>0</v>
      </c>
      <c r="I794" s="1">
        <v>8108810</v>
      </c>
      <c r="J794" s="1">
        <v>0</v>
      </c>
      <c r="K794" s="1">
        <v>4620000</v>
      </c>
      <c r="L794" s="1">
        <v>0</v>
      </c>
      <c r="M794" s="1">
        <v>400000</v>
      </c>
      <c r="N794" s="1">
        <v>2001039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1270000</v>
      </c>
      <c r="U794" s="1">
        <v>0</v>
      </c>
      <c r="V794" s="1">
        <v>8886523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1429314</v>
      </c>
      <c r="AF794" s="1">
        <v>1111269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3430353</v>
      </c>
      <c r="AM794" s="1">
        <v>0</v>
      </c>
      <c r="AN794" s="1">
        <v>48413595</v>
      </c>
      <c r="AO794" s="1">
        <v>9933710</v>
      </c>
      <c r="AP794" s="1">
        <v>38479885</v>
      </c>
      <c r="AQ794" s="1">
        <v>9206465</v>
      </c>
      <c r="AR794" s="1">
        <v>1380970</v>
      </c>
      <c r="AS794" s="1">
        <v>0</v>
      </c>
      <c r="AT794" s="1">
        <f t="shared" si="86"/>
        <v>59001030</v>
      </c>
    </row>
    <row r="795" spans="1:46">
      <c r="A795" s="1" t="str">
        <f>"00903"</f>
        <v>00903</v>
      </c>
      <c r="B795" s="1" t="str">
        <f>"محمدکاظم"</f>
        <v>محمدکاظم</v>
      </c>
      <c r="C795" s="1" t="str">
        <f>"توکلي"</f>
        <v>توکلي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12405319</v>
      </c>
      <c r="G795" s="1">
        <v>7888683</v>
      </c>
      <c r="H795" s="1">
        <v>0</v>
      </c>
      <c r="I795" s="1">
        <v>9791635</v>
      </c>
      <c r="J795" s="1">
        <v>0</v>
      </c>
      <c r="K795" s="1">
        <v>4620000</v>
      </c>
      <c r="L795" s="1">
        <v>0</v>
      </c>
      <c r="M795" s="1">
        <v>400000</v>
      </c>
      <c r="N795" s="1">
        <v>2230610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1270000</v>
      </c>
      <c r="U795" s="1">
        <v>0</v>
      </c>
      <c r="V795" s="1">
        <v>7642770</v>
      </c>
      <c r="W795" s="1">
        <v>1100000</v>
      </c>
      <c r="X795" s="1">
        <v>1860798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1593293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7947010</v>
      </c>
      <c r="AM795" s="1">
        <v>0</v>
      </c>
      <c r="AN795" s="1">
        <v>58750118</v>
      </c>
      <c r="AO795" s="1">
        <v>10157064</v>
      </c>
      <c r="AP795" s="1">
        <v>48593054</v>
      </c>
      <c r="AQ795" s="1">
        <v>11496024</v>
      </c>
      <c r="AR795" s="1">
        <v>1724404</v>
      </c>
      <c r="AS795" s="1">
        <v>0</v>
      </c>
      <c r="AT795" s="1">
        <f t="shared" si="86"/>
        <v>71970546</v>
      </c>
    </row>
    <row r="796" spans="1:46">
      <c r="A796" s="1" t="str">
        <f>"00904"</f>
        <v>00904</v>
      </c>
      <c r="B796" s="1" t="str">
        <f>"مهدي"</f>
        <v>مهدي</v>
      </c>
      <c r="C796" s="1" t="str">
        <f>"جمالي"</f>
        <v>جمالي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10146679</v>
      </c>
      <c r="G796" s="1">
        <v>0</v>
      </c>
      <c r="H796" s="1">
        <v>0</v>
      </c>
      <c r="I796" s="1">
        <v>7106240</v>
      </c>
      <c r="J796" s="1">
        <v>0</v>
      </c>
      <c r="K796" s="1">
        <v>3465000</v>
      </c>
      <c r="L796" s="1">
        <v>0</v>
      </c>
      <c r="M796" s="1">
        <v>400000</v>
      </c>
      <c r="N796" s="1">
        <v>1696554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1270000</v>
      </c>
      <c r="U796" s="1">
        <v>0</v>
      </c>
      <c r="V796" s="1">
        <v>7916892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1211824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3296161</v>
      </c>
      <c r="AM796" s="1">
        <v>0</v>
      </c>
      <c r="AN796" s="1">
        <v>37609350</v>
      </c>
      <c r="AO796" s="1">
        <v>5600190</v>
      </c>
      <c r="AP796" s="1">
        <v>32009160</v>
      </c>
      <c r="AQ796" s="1">
        <v>7267870</v>
      </c>
      <c r="AR796" s="1">
        <v>1090181</v>
      </c>
      <c r="AS796" s="1">
        <v>0</v>
      </c>
      <c r="AT796" s="1">
        <f t="shared" si="86"/>
        <v>45967401</v>
      </c>
    </row>
    <row r="797" spans="1:46">
      <c r="A797" s="1" t="str">
        <f>"00905"</f>
        <v>00905</v>
      </c>
      <c r="B797" s="1" t="str">
        <f>"محسن"</f>
        <v>محسن</v>
      </c>
      <c r="C797" s="1" t="str">
        <f>"حياتي"</f>
        <v>حياتي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10886369</v>
      </c>
      <c r="G797" s="1">
        <v>4624634</v>
      </c>
      <c r="H797" s="1">
        <v>0</v>
      </c>
      <c r="I797" s="1">
        <v>8009494</v>
      </c>
      <c r="J797" s="1">
        <v>0</v>
      </c>
      <c r="K797" s="1">
        <v>4620000</v>
      </c>
      <c r="L797" s="1">
        <v>0</v>
      </c>
      <c r="M797" s="1">
        <v>400000</v>
      </c>
      <c r="N797" s="1">
        <v>1963618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7752551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1402584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3366202</v>
      </c>
      <c r="AM797" s="1">
        <v>0</v>
      </c>
      <c r="AN797" s="1">
        <v>44125452</v>
      </c>
      <c r="AO797" s="1">
        <v>10965688</v>
      </c>
      <c r="AP797" s="1">
        <v>33159764</v>
      </c>
      <c r="AQ797" s="1">
        <v>8825090</v>
      </c>
      <c r="AR797" s="1">
        <v>1323764</v>
      </c>
      <c r="AS797" s="1">
        <v>0</v>
      </c>
      <c r="AT797" s="1">
        <f t="shared" si="86"/>
        <v>54274306</v>
      </c>
    </row>
    <row r="798" spans="1:46">
      <c r="A798" s="1" t="str">
        <f>"00906"</f>
        <v>00906</v>
      </c>
      <c r="B798" s="1" t="str">
        <f>"حسين"</f>
        <v>حسين</v>
      </c>
      <c r="C798" s="1" t="str">
        <f>"خوهک"</f>
        <v>خوهک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10936974</v>
      </c>
      <c r="G798" s="1">
        <v>5513047</v>
      </c>
      <c r="H798" s="1">
        <v>0</v>
      </c>
      <c r="I798" s="1">
        <v>8163701</v>
      </c>
      <c r="J798" s="1">
        <v>0</v>
      </c>
      <c r="K798" s="1">
        <v>3465000</v>
      </c>
      <c r="L798" s="1">
        <v>0</v>
      </c>
      <c r="M798" s="1">
        <v>400000</v>
      </c>
      <c r="N798" s="1">
        <v>1920702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12213977</v>
      </c>
      <c r="W798" s="1">
        <v>1100000</v>
      </c>
      <c r="X798" s="1">
        <v>1640546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1371930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7396882</v>
      </c>
      <c r="AM798" s="1">
        <v>0</v>
      </c>
      <c r="AN798" s="1">
        <v>54122759</v>
      </c>
      <c r="AO798" s="1">
        <v>7676624</v>
      </c>
      <c r="AP798" s="1">
        <v>46446135</v>
      </c>
      <c r="AQ798" s="1">
        <v>10824552</v>
      </c>
      <c r="AR798" s="1">
        <v>1623683</v>
      </c>
      <c r="AS798" s="1">
        <v>0</v>
      </c>
      <c r="AT798" s="1">
        <f t="shared" si="86"/>
        <v>66570994</v>
      </c>
    </row>
    <row r="799" spans="1:46">
      <c r="A799" s="1" t="str">
        <f>"00907"</f>
        <v>00907</v>
      </c>
      <c r="B799" s="1" t="str">
        <f>"مقداد"</f>
        <v>مقداد</v>
      </c>
      <c r="C799" s="1" t="str">
        <f>"ديرنه"</f>
        <v>ديرنه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12799115</v>
      </c>
      <c r="G799" s="1">
        <v>9516314</v>
      </c>
      <c r="H799" s="1">
        <v>0</v>
      </c>
      <c r="I799" s="1">
        <v>10445961</v>
      </c>
      <c r="J799" s="1">
        <v>0</v>
      </c>
      <c r="K799" s="1">
        <v>4620000</v>
      </c>
      <c r="L799" s="1">
        <v>0</v>
      </c>
      <c r="M799" s="1">
        <v>400000</v>
      </c>
      <c r="N799" s="1">
        <v>2370922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9777502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1693516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5012806</v>
      </c>
      <c r="AM799" s="1">
        <v>0</v>
      </c>
      <c r="AN799" s="1">
        <v>57736136</v>
      </c>
      <c r="AO799" s="1">
        <v>11145671</v>
      </c>
      <c r="AP799" s="1">
        <v>46590465</v>
      </c>
      <c r="AQ799" s="1">
        <v>11547227</v>
      </c>
      <c r="AR799" s="1">
        <v>1732084</v>
      </c>
      <c r="AS799" s="1">
        <v>0</v>
      </c>
      <c r="AT799" s="1">
        <f t="shared" si="86"/>
        <v>71015447</v>
      </c>
    </row>
    <row r="800" spans="1:46">
      <c r="A800" s="1" t="str">
        <f>"00908"</f>
        <v>00908</v>
      </c>
      <c r="B800" s="1" t="str">
        <f>"حسين"</f>
        <v>حسين</v>
      </c>
      <c r="C800" s="1" t="str">
        <f>"شيخياني"</f>
        <v>شيخياني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10340214</v>
      </c>
      <c r="G800" s="1">
        <v>14209468</v>
      </c>
      <c r="H800" s="1">
        <v>0</v>
      </c>
      <c r="I800" s="1">
        <v>8198808</v>
      </c>
      <c r="J800" s="1">
        <v>0</v>
      </c>
      <c r="K800" s="1">
        <v>4620000</v>
      </c>
      <c r="L800" s="1">
        <v>0</v>
      </c>
      <c r="M800" s="1">
        <v>400000</v>
      </c>
      <c r="N800" s="1">
        <v>1701919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1270000</v>
      </c>
      <c r="U800" s="1">
        <v>0</v>
      </c>
      <c r="V800" s="1">
        <v>11564309</v>
      </c>
      <c r="W800" s="1">
        <v>1100000</v>
      </c>
      <c r="X800" s="1">
        <v>1551032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1215656</v>
      </c>
      <c r="AF800" s="1">
        <v>1111269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6749034</v>
      </c>
      <c r="AM800" s="1">
        <v>0</v>
      </c>
      <c r="AN800" s="1">
        <v>64031709</v>
      </c>
      <c r="AO800" s="1">
        <v>13682293</v>
      </c>
      <c r="AP800" s="1">
        <v>50349416</v>
      </c>
      <c r="AQ800" s="1">
        <v>12330088</v>
      </c>
      <c r="AR800" s="1">
        <v>1849513</v>
      </c>
      <c r="AS800" s="1">
        <v>0</v>
      </c>
      <c r="AT800" s="1">
        <f t="shared" si="86"/>
        <v>78211310</v>
      </c>
    </row>
    <row r="801" spans="1:46">
      <c r="A801" s="1" t="str">
        <f>"00909"</f>
        <v>00909</v>
      </c>
      <c r="B801" s="1" t="str">
        <f>"عبدالله"</f>
        <v>عبدالله</v>
      </c>
      <c r="C801" s="1" t="str">
        <f>"عالي پور"</f>
        <v>عالي پور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11141851</v>
      </c>
      <c r="G801" s="1">
        <v>28821459</v>
      </c>
      <c r="H801" s="1">
        <v>0</v>
      </c>
      <c r="I801" s="1">
        <v>9285529</v>
      </c>
      <c r="J801" s="1">
        <v>0</v>
      </c>
      <c r="K801" s="1">
        <v>3465000</v>
      </c>
      <c r="L801" s="1">
        <v>0</v>
      </c>
      <c r="M801" s="1">
        <v>400000</v>
      </c>
      <c r="N801" s="1">
        <v>2070271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8462685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1478765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5205254</v>
      </c>
      <c r="AM801" s="1">
        <v>0</v>
      </c>
      <c r="AN801" s="1">
        <v>71430814</v>
      </c>
      <c r="AO801" s="1">
        <v>11160377</v>
      </c>
      <c r="AP801" s="1">
        <v>60270437</v>
      </c>
      <c r="AQ801" s="1">
        <v>14286163</v>
      </c>
      <c r="AR801" s="1">
        <v>2142924</v>
      </c>
      <c r="AS801" s="1">
        <v>0</v>
      </c>
      <c r="AT801" s="1">
        <f t="shared" si="86"/>
        <v>87859901</v>
      </c>
    </row>
    <row r="802" spans="1:46">
      <c r="A802" s="1" t="str">
        <f>"00910"</f>
        <v>00910</v>
      </c>
      <c r="B802" s="1" t="str">
        <f>"مهدي"</f>
        <v>مهدي</v>
      </c>
      <c r="C802" s="1" t="str">
        <f>"كسرائي"</f>
        <v>كسرائي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11936757</v>
      </c>
      <c r="G802" s="1">
        <v>4616413</v>
      </c>
      <c r="H802" s="1">
        <v>0</v>
      </c>
      <c r="I802" s="1">
        <v>8672711</v>
      </c>
      <c r="J802" s="1">
        <v>0</v>
      </c>
      <c r="K802" s="1">
        <v>4620000</v>
      </c>
      <c r="L802" s="1">
        <v>0</v>
      </c>
      <c r="M802" s="1">
        <v>400000</v>
      </c>
      <c r="N802" s="1">
        <v>2249669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1270000</v>
      </c>
      <c r="U802" s="1">
        <v>0</v>
      </c>
      <c r="V802" s="1">
        <v>9240409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1606907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3535195</v>
      </c>
      <c r="AM802" s="1">
        <v>0</v>
      </c>
      <c r="AN802" s="1">
        <v>49248061</v>
      </c>
      <c r="AO802" s="1">
        <v>11469172</v>
      </c>
      <c r="AP802" s="1">
        <v>37778889</v>
      </c>
      <c r="AQ802" s="1">
        <v>9595612</v>
      </c>
      <c r="AR802" s="1">
        <v>1439342</v>
      </c>
      <c r="AS802" s="1">
        <v>0</v>
      </c>
      <c r="AT802" s="1">
        <f t="shared" si="86"/>
        <v>60283015</v>
      </c>
    </row>
    <row r="803" spans="1:46">
      <c r="A803" s="1" t="str">
        <f>"00911"</f>
        <v>00911</v>
      </c>
      <c r="B803" s="1" t="str">
        <f>"مصيب"</f>
        <v>مصيب</v>
      </c>
      <c r="C803" s="1" t="str">
        <f>"كشاورز"</f>
        <v>كشاورز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10930720</v>
      </c>
      <c r="G803" s="1">
        <v>13159376</v>
      </c>
      <c r="H803" s="1">
        <v>0</v>
      </c>
      <c r="I803" s="1">
        <v>8156839</v>
      </c>
      <c r="J803" s="1">
        <v>0</v>
      </c>
      <c r="K803" s="1">
        <v>3465000</v>
      </c>
      <c r="L803" s="1">
        <v>0</v>
      </c>
      <c r="M803" s="1">
        <v>400000</v>
      </c>
      <c r="N803" s="1">
        <v>1918325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1270000</v>
      </c>
      <c r="U803" s="1">
        <v>0</v>
      </c>
      <c r="V803" s="1">
        <v>12204072</v>
      </c>
      <c r="W803" s="1">
        <v>1100000</v>
      </c>
      <c r="X803" s="1">
        <v>1639608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1370233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7389914</v>
      </c>
      <c r="AM803" s="1">
        <v>0</v>
      </c>
      <c r="AN803" s="1">
        <v>63004087</v>
      </c>
      <c r="AO803" s="1">
        <v>8663327</v>
      </c>
      <c r="AP803" s="1">
        <v>54340760</v>
      </c>
      <c r="AQ803" s="1">
        <v>12346817</v>
      </c>
      <c r="AR803" s="1">
        <v>1852023</v>
      </c>
      <c r="AS803" s="1">
        <v>0</v>
      </c>
      <c r="AT803" s="1">
        <f t="shared" si="86"/>
        <v>77202927</v>
      </c>
    </row>
    <row r="804" spans="1:46">
      <c r="A804" s="1" t="str">
        <f>"00912"</f>
        <v>00912</v>
      </c>
      <c r="B804" s="1" t="str">
        <f>"مهدي"</f>
        <v>مهدي</v>
      </c>
      <c r="C804" s="1" t="str">
        <f>"مغداني"</f>
        <v>مغداني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11214566</v>
      </c>
      <c r="G804" s="1">
        <v>436660</v>
      </c>
      <c r="H804" s="1">
        <v>0</v>
      </c>
      <c r="I804" s="1">
        <v>7882418</v>
      </c>
      <c r="J804" s="1">
        <v>0</v>
      </c>
      <c r="K804" s="1">
        <v>3465000</v>
      </c>
      <c r="L804" s="1">
        <v>0</v>
      </c>
      <c r="M804" s="1">
        <v>400000</v>
      </c>
      <c r="N804" s="1">
        <v>2064628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5093932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1474735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2212101</v>
      </c>
      <c r="AM804" s="1">
        <v>0</v>
      </c>
      <c r="AN804" s="1">
        <v>35344040</v>
      </c>
      <c r="AO804" s="1">
        <v>5234473</v>
      </c>
      <c r="AP804" s="1">
        <v>30109567</v>
      </c>
      <c r="AQ804" s="1">
        <v>7068808</v>
      </c>
      <c r="AR804" s="1">
        <v>1060321</v>
      </c>
      <c r="AS804" s="1">
        <v>0</v>
      </c>
      <c r="AT804" s="1">
        <f t="shared" si="86"/>
        <v>43473169</v>
      </c>
    </row>
    <row r="805" spans="1:46">
      <c r="A805" s="1" t="str">
        <f>"00913"</f>
        <v>00913</v>
      </c>
      <c r="B805" s="1" t="str">
        <f>"امير"</f>
        <v>امير</v>
      </c>
      <c r="C805" s="1" t="str">
        <f>"محمدي"</f>
        <v>محمدي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14702007</v>
      </c>
      <c r="G805" s="1">
        <v>6613245</v>
      </c>
      <c r="H805" s="1">
        <v>0</v>
      </c>
      <c r="I805" s="1">
        <v>10948624</v>
      </c>
      <c r="J805" s="1">
        <v>0</v>
      </c>
      <c r="K805" s="1">
        <v>0</v>
      </c>
      <c r="L805" s="1">
        <v>0</v>
      </c>
      <c r="M805" s="1">
        <v>400000</v>
      </c>
      <c r="N805" s="1">
        <v>2359771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1270000</v>
      </c>
      <c r="U805" s="1">
        <v>0</v>
      </c>
      <c r="V805" s="1">
        <v>7870309</v>
      </c>
      <c r="W805" s="1">
        <v>1100000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1685552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7781705</v>
      </c>
      <c r="AM805" s="1">
        <v>0</v>
      </c>
      <c r="AN805" s="1">
        <v>54731213</v>
      </c>
      <c r="AO805" s="1">
        <v>11298150</v>
      </c>
      <c r="AP805" s="1">
        <v>43433063</v>
      </c>
      <c r="AQ805" s="1">
        <v>10692243</v>
      </c>
      <c r="AR805" s="1">
        <v>1603836</v>
      </c>
      <c r="AS805" s="1">
        <v>0</v>
      </c>
      <c r="AT805" s="1">
        <f t="shared" si="86"/>
        <v>67027292</v>
      </c>
    </row>
    <row r="806" spans="1:46">
      <c r="A806" s="1" t="str">
        <f>"00914"</f>
        <v>00914</v>
      </c>
      <c r="B806" s="1" t="str">
        <f>"يعقوب"</f>
        <v>يعقوب</v>
      </c>
      <c r="C806" s="1" t="str">
        <f>"پذيرا"</f>
        <v>پذيرا</v>
      </c>
      <c r="D806" s="1" t="str">
        <f>"قراردادي کارگري"</f>
        <v>قراردادي کارگري</v>
      </c>
      <c r="E806" s="1" t="str">
        <f>"پروژه تعميرات نيروگاه بوشهر"</f>
        <v>پروژه تعميرات نيروگاه بوشهر</v>
      </c>
      <c r="F806" s="1">
        <v>5205653</v>
      </c>
      <c r="G806" s="1">
        <v>15532746</v>
      </c>
      <c r="H806" s="1">
        <v>0</v>
      </c>
      <c r="I806" s="1">
        <v>3279562</v>
      </c>
      <c r="J806" s="1">
        <v>0</v>
      </c>
      <c r="K806" s="1">
        <v>0</v>
      </c>
      <c r="L806" s="1">
        <v>3620700</v>
      </c>
      <c r="M806" s="1">
        <v>400000</v>
      </c>
      <c r="N806" s="1">
        <v>2739818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3677790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2222538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37778807</v>
      </c>
      <c r="AO806" s="1">
        <v>5733707</v>
      </c>
      <c r="AP806" s="1">
        <v>32045100</v>
      </c>
      <c r="AQ806" s="1">
        <v>7111254</v>
      </c>
      <c r="AR806" s="1">
        <v>1066688</v>
      </c>
      <c r="AS806" s="1">
        <v>1060000</v>
      </c>
      <c r="AT806" s="1">
        <f t="shared" si="86"/>
        <v>47016749</v>
      </c>
    </row>
    <row r="807" spans="1:46">
      <c r="A807" s="1" t="str">
        <f>"00916"</f>
        <v>00916</v>
      </c>
      <c r="B807" s="1" t="str">
        <f>"عبدالرحيم"</f>
        <v>عبدالرحيم</v>
      </c>
      <c r="C807" s="1" t="str">
        <f>"آب يار"</f>
        <v>آب يار</v>
      </c>
      <c r="D807" s="1" t="str">
        <f t="shared" ref="D807:D838" si="89">"قراردادي بهره بردار"</f>
        <v>قراردادي بهره بردار</v>
      </c>
      <c r="E807" s="1" t="str">
        <f t="shared" ref="E807:E838" si="90">"پروژه بهره برداري نيروگاه بوشهر"</f>
        <v>پروژه بهره برداري نيروگاه بوشهر</v>
      </c>
      <c r="F807" s="1">
        <v>11672145</v>
      </c>
      <c r="G807" s="1">
        <v>14488843</v>
      </c>
      <c r="H807" s="1">
        <v>0</v>
      </c>
      <c r="I807" s="1">
        <v>11283381</v>
      </c>
      <c r="J807" s="1">
        <v>0</v>
      </c>
      <c r="K807" s="1">
        <v>4620000</v>
      </c>
      <c r="L807" s="1">
        <v>0</v>
      </c>
      <c r="M807" s="1">
        <v>400000</v>
      </c>
      <c r="N807" s="1">
        <v>2197676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6462775</v>
      </c>
      <c r="W807" s="1">
        <v>1100000</v>
      </c>
      <c r="X807" s="1">
        <v>1750822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1569769</v>
      </c>
      <c r="AF807" s="1">
        <v>2222538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8210949</v>
      </c>
      <c r="AM807" s="1">
        <v>0</v>
      </c>
      <c r="AN807" s="1">
        <v>65978898</v>
      </c>
      <c r="AO807" s="1">
        <v>16850318</v>
      </c>
      <c r="AP807" s="1">
        <v>49128580</v>
      </c>
      <c r="AQ807" s="1">
        <v>12751272</v>
      </c>
      <c r="AR807" s="1">
        <v>1912691</v>
      </c>
      <c r="AS807" s="1">
        <v>0</v>
      </c>
      <c r="AT807" s="1">
        <f t="shared" si="86"/>
        <v>80642861</v>
      </c>
    </row>
    <row r="808" spans="1:46">
      <c r="A808" s="1" t="str">
        <f>"00917"</f>
        <v>00917</v>
      </c>
      <c r="B808" s="1" t="str">
        <f>"ميثم"</f>
        <v>ميثم</v>
      </c>
      <c r="C808" s="1" t="str">
        <f>"آبائي"</f>
        <v>آبائي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11888258</v>
      </c>
      <c r="G808" s="1">
        <v>20472362</v>
      </c>
      <c r="H808" s="1">
        <v>0</v>
      </c>
      <c r="I808" s="1">
        <v>11580638</v>
      </c>
      <c r="J808" s="1">
        <v>0</v>
      </c>
      <c r="K808" s="1">
        <v>4620000</v>
      </c>
      <c r="L808" s="1">
        <v>0</v>
      </c>
      <c r="M808" s="1">
        <v>400000</v>
      </c>
      <c r="N808" s="1">
        <v>2278308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1270000</v>
      </c>
      <c r="U808" s="1">
        <v>0</v>
      </c>
      <c r="V808" s="1">
        <v>6716837</v>
      </c>
      <c r="W808" s="1">
        <v>1100000</v>
      </c>
      <c r="X808" s="1">
        <v>1783239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1627364</v>
      </c>
      <c r="AF808" s="1">
        <v>1111269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8448567</v>
      </c>
      <c r="AM808" s="1">
        <v>0</v>
      </c>
      <c r="AN808" s="1">
        <v>73296842</v>
      </c>
      <c r="AO808" s="1">
        <v>16801864</v>
      </c>
      <c r="AP808" s="1">
        <v>56494978</v>
      </c>
      <c r="AQ808" s="1">
        <v>14183115</v>
      </c>
      <c r="AR808" s="1">
        <v>2127467</v>
      </c>
      <c r="AS808" s="1">
        <v>0</v>
      </c>
      <c r="AT808" s="1">
        <f t="shared" si="86"/>
        <v>89607424</v>
      </c>
    </row>
    <row r="809" spans="1:46">
      <c r="A809" s="1" t="str">
        <f>"00918"</f>
        <v>00918</v>
      </c>
      <c r="B809" s="1" t="str">
        <f>"محمدعلي"</f>
        <v>محمدعلي</v>
      </c>
      <c r="C809" s="1" t="str">
        <f>"آبادي"</f>
        <v>آبادي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12020001</v>
      </c>
      <c r="G809" s="1">
        <v>15722470</v>
      </c>
      <c r="H809" s="1">
        <v>0</v>
      </c>
      <c r="I809" s="1">
        <v>12090105</v>
      </c>
      <c r="J809" s="1">
        <v>0</v>
      </c>
      <c r="K809" s="1">
        <v>4620000</v>
      </c>
      <c r="L809" s="1">
        <v>0</v>
      </c>
      <c r="M809" s="1">
        <v>400000</v>
      </c>
      <c r="N809" s="1">
        <v>2334959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1270000</v>
      </c>
      <c r="U809" s="1">
        <v>0</v>
      </c>
      <c r="V809" s="1">
        <v>7092844</v>
      </c>
      <c r="W809" s="1">
        <v>1100000</v>
      </c>
      <c r="X809" s="1">
        <v>1803000</v>
      </c>
      <c r="Y809" s="1">
        <v>0</v>
      </c>
      <c r="Z809" s="1">
        <v>0</v>
      </c>
      <c r="AA809" s="1">
        <v>0</v>
      </c>
      <c r="AB809" s="1">
        <v>0</v>
      </c>
      <c r="AC809" s="1">
        <v>1106124</v>
      </c>
      <c r="AD809" s="1">
        <v>0</v>
      </c>
      <c r="AE809" s="1">
        <v>1667828</v>
      </c>
      <c r="AF809" s="1">
        <v>1111269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8609483</v>
      </c>
      <c r="AM809" s="1">
        <v>0</v>
      </c>
      <c r="AN809" s="1">
        <v>70948083</v>
      </c>
      <c r="AO809" s="1">
        <v>13703549</v>
      </c>
      <c r="AP809" s="1">
        <v>57244534</v>
      </c>
      <c r="AQ809" s="1">
        <v>13713363</v>
      </c>
      <c r="AR809" s="1">
        <v>2057004</v>
      </c>
      <c r="AS809" s="1">
        <v>0</v>
      </c>
      <c r="AT809" s="1">
        <f t="shared" si="86"/>
        <v>86718450</v>
      </c>
    </row>
    <row r="810" spans="1:46">
      <c r="A810" s="1" t="str">
        <f>"00919"</f>
        <v>00919</v>
      </c>
      <c r="B810" s="1" t="str">
        <f>"اکبر"</f>
        <v>اکبر</v>
      </c>
      <c r="C810" s="1" t="str">
        <f>"آذربخش"</f>
        <v>آذربخش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10265864</v>
      </c>
      <c r="G810" s="1">
        <v>12529867</v>
      </c>
      <c r="H810" s="1">
        <v>0</v>
      </c>
      <c r="I810" s="1">
        <v>9627090</v>
      </c>
      <c r="J810" s="1">
        <v>0</v>
      </c>
      <c r="K810" s="1">
        <v>3465000</v>
      </c>
      <c r="L810" s="1">
        <v>0</v>
      </c>
      <c r="M810" s="1">
        <v>400000</v>
      </c>
      <c r="N810" s="1">
        <v>1876502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1270000</v>
      </c>
      <c r="U810" s="1">
        <v>0</v>
      </c>
      <c r="V810" s="1">
        <v>5588970</v>
      </c>
      <c r="W810" s="1">
        <v>1100000</v>
      </c>
      <c r="X810" s="1">
        <v>1539880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1340359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7100834</v>
      </c>
      <c r="AM810" s="1">
        <v>0</v>
      </c>
      <c r="AN810" s="1">
        <v>56104366</v>
      </c>
      <c r="AO810" s="1">
        <v>6802174</v>
      </c>
      <c r="AP810" s="1">
        <v>49302192</v>
      </c>
      <c r="AQ810" s="1">
        <v>10966873</v>
      </c>
      <c r="AR810" s="1">
        <v>1645031</v>
      </c>
      <c r="AS810" s="1">
        <v>0</v>
      </c>
      <c r="AT810" s="1">
        <f t="shared" si="86"/>
        <v>68716270</v>
      </c>
    </row>
    <row r="811" spans="1:46">
      <c r="A811" s="1" t="str">
        <f>"00920"</f>
        <v>00920</v>
      </c>
      <c r="B811" s="1" t="str">
        <f>"احمد"</f>
        <v>احمد</v>
      </c>
      <c r="C811" s="1" t="str">
        <f>"اسماعيلي"</f>
        <v>اسماعيلي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12188996</v>
      </c>
      <c r="G811" s="1">
        <v>15458269</v>
      </c>
      <c r="H811" s="1">
        <v>0</v>
      </c>
      <c r="I811" s="1">
        <v>12204025</v>
      </c>
      <c r="J811" s="1">
        <v>0</v>
      </c>
      <c r="K811" s="1">
        <v>3465000</v>
      </c>
      <c r="L811" s="1">
        <v>0</v>
      </c>
      <c r="M811" s="1">
        <v>400000</v>
      </c>
      <c r="N811" s="1">
        <v>2390779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6895190</v>
      </c>
      <c r="W811" s="1">
        <v>1100000</v>
      </c>
      <c r="X811" s="1">
        <v>1828349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1707699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8779795</v>
      </c>
      <c r="AM811" s="1">
        <v>0</v>
      </c>
      <c r="AN811" s="1">
        <v>66418102</v>
      </c>
      <c r="AO811" s="1">
        <v>18144700</v>
      </c>
      <c r="AP811" s="1">
        <v>48273402</v>
      </c>
      <c r="AQ811" s="1">
        <v>13283620</v>
      </c>
      <c r="AR811" s="1">
        <v>1992543</v>
      </c>
      <c r="AS811" s="1">
        <v>0</v>
      </c>
      <c r="AT811" s="1">
        <f t="shared" si="86"/>
        <v>81694265</v>
      </c>
    </row>
    <row r="812" spans="1:46">
      <c r="A812" s="1" t="str">
        <f>"00921"</f>
        <v>00921</v>
      </c>
      <c r="B812" s="1" t="str">
        <f>"حسين"</f>
        <v>حسين</v>
      </c>
      <c r="C812" s="1" t="str">
        <f>"اسماعيلي فرد"</f>
        <v>اسماعيلي فرد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19865835</v>
      </c>
      <c r="G812" s="1">
        <v>12952279</v>
      </c>
      <c r="H812" s="1">
        <v>0</v>
      </c>
      <c r="I812" s="1">
        <v>17018941</v>
      </c>
      <c r="J812" s="1">
        <v>0</v>
      </c>
      <c r="K812" s="1">
        <v>0</v>
      </c>
      <c r="L812" s="1">
        <v>0</v>
      </c>
      <c r="M812" s="1">
        <v>400000</v>
      </c>
      <c r="N812" s="1">
        <v>3120850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1270000</v>
      </c>
      <c r="U812" s="1">
        <v>0</v>
      </c>
      <c r="V812" s="1">
        <v>10428908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2229178</v>
      </c>
      <c r="AF812" s="1">
        <v>2222538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4636691</v>
      </c>
      <c r="AM812" s="1">
        <v>0</v>
      </c>
      <c r="AN812" s="1">
        <v>75245220</v>
      </c>
      <c r="AO812" s="1">
        <v>14243441</v>
      </c>
      <c r="AP812" s="1">
        <v>61001779</v>
      </c>
      <c r="AQ812" s="1">
        <v>14350536</v>
      </c>
      <c r="AR812" s="1">
        <v>2152580</v>
      </c>
      <c r="AS812" s="1">
        <v>0</v>
      </c>
      <c r="AT812" s="1">
        <f t="shared" si="86"/>
        <v>91748336</v>
      </c>
    </row>
    <row r="813" spans="1:46">
      <c r="A813" s="1" t="str">
        <f>"00922"</f>
        <v>00922</v>
      </c>
      <c r="B813" s="1" t="str">
        <f>"رضا"</f>
        <v>رضا</v>
      </c>
      <c r="C813" s="1" t="str">
        <f>"اسماعيلي نژاد"</f>
        <v>اسماعيلي نژاد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19986234</v>
      </c>
      <c r="G813" s="1">
        <v>15978186</v>
      </c>
      <c r="H813" s="1">
        <v>0</v>
      </c>
      <c r="I813" s="1">
        <v>18094807</v>
      </c>
      <c r="J813" s="1">
        <v>0</v>
      </c>
      <c r="K813" s="1">
        <v>0</v>
      </c>
      <c r="L813" s="1">
        <v>0</v>
      </c>
      <c r="M813" s="1">
        <v>400000</v>
      </c>
      <c r="N813" s="1">
        <v>3162990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10976373</v>
      </c>
      <c r="W813" s="1">
        <v>1100000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2259278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4744484</v>
      </c>
      <c r="AM813" s="1">
        <v>0</v>
      </c>
      <c r="AN813" s="1">
        <v>77813621</v>
      </c>
      <c r="AO813" s="1">
        <v>16798009</v>
      </c>
      <c r="AP813" s="1">
        <v>61015612</v>
      </c>
      <c r="AQ813" s="1">
        <v>15340470</v>
      </c>
      <c r="AR813" s="1">
        <v>2301071</v>
      </c>
      <c r="AS813" s="1">
        <v>0</v>
      </c>
      <c r="AT813" s="1">
        <f t="shared" si="86"/>
        <v>95455162</v>
      </c>
    </row>
    <row r="814" spans="1:46">
      <c r="A814" s="1" t="str">
        <f>"00923"</f>
        <v>00923</v>
      </c>
      <c r="B814" s="1" t="str">
        <f>"قاسم"</f>
        <v>قاسم</v>
      </c>
      <c r="C814" s="1" t="str">
        <f>"اکراميان"</f>
        <v>اکراميان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13633839</v>
      </c>
      <c r="G814" s="1">
        <v>18204495</v>
      </c>
      <c r="H814" s="1">
        <v>0</v>
      </c>
      <c r="I814" s="1">
        <v>14975875</v>
      </c>
      <c r="J814" s="1">
        <v>0</v>
      </c>
      <c r="K814" s="1">
        <v>4620000</v>
      </c>
      <c r="L814" s="1">
        <v>0</v>
      </c>
      <c r="M814" s="1">
        <v>400000</v>
      </c>
      <c r="N814" s="1">
        <v>2830275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1270000</v>
      </c>
      <c r="U814" s="1">
        <v>0</v>
      </c>
      <c r="V814" s="1">
        <v>8396203</v>
      </c>
      <c r="W814" s="1">
        <v>1100000</v>
      </c>
      <c r="X814" s="1">
        <v>2045076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2021625</v>
      </c>
      <c r="AF814" s="1">
        <v>1111269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10155027</v>
      </c>
      <c r="AM814" s="1">
        <v>0</v>
      </c>
      <c r="AN814" s="1">
        <v>80763684</v>
      </c>
      <c r="AO814" s="1">
        <v>14792510</v>
      </c>
      <c r="AP814" s="1">
        <v>65971174</v>
      </c>
      <c r="AQ814" s="1">
        <v>15557766</v>
      </c>
      <c r="AR814" s="1">
        <v>2333665</v>
      </c>
      <c r="AS814" s="1">
        <v>0</v>
      </c>
      <c r="AT814" s="1">
        <f t="shared" si="86"/>
        <v>98655115</v>
      </c>
    </row>
    <row r="815" spans="1:46">
      <c r="A815" s="1" t="str">
        <f>"00924"</f>
        <v>00924</v>
      </c>
      <c r="B815" s="1" t="str">
        <f>"بهنام"</f>
        <v>بهنام</v>
      </c>
      <c r="C815" s="1" t="str">
        <f>"اميني"</f>
        <v>اميني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12573444</v>
      </c>
      <c r="G815" s="1">
        <v>25160761</v>
      </c>
      <c r="H815" s="1">
        <v>0</v>
      </c>
      <c r="I815" s="1">
        <v>13304541</v>
      </c>
      <c r="J815" s="1">
        <v>0</v>
      </c>
      <c r="K815" s="1">
        <v>4620000</v>
      </c>
      <c r="L815" s="1">
        <v>0</v>
      </c>
      <c r="M815" s="1">
        <v>400000</v>
      </c>
      <c r="N815" s="1">
        <v>2536430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7196593</v>
      </c>
      <c r="W815" s="1">
        <v>1100000</v>
      </c>
      <c r="X815" s="1">
        <v>1886017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1811735</v>
      </c>
      <c r="AF815" s="1">
        <v>4445076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9207239</v>
      </c>
      <c r="AM815" s="1">
        <v>0</v>
      </c>
      <c r="AN815" s="1">
        <v>84241836</v>
      </c>
      <c r="AO815" s="1">
        <v>14298993</v>
      </c>
      <c r="AP815" s="1">
        <v>69942843</v>
      </c>
      <c r="AQ815" s="1">
        <v>15557766</v>
      </c>
      <c r="AR815" s="1">
        <v>2333665</v>
      </c>
      <c r="AS815" s="1">
        <v>0</v>
      </c>
      <c r="AT815" s="1">
        <f t="shared" si="86"/>
        <v>102133267</v>
      </c>
    </row>
    <row r="816" spans="1:46">
      <c r="A816" s="1" t="str">
        <f>"00925"</f>
        <v>00925</v>
      </c>
      <c r="B816" s="1" t="str">
        <f>"سياوش"</f>
        <v>سياوش</v>
      </c>
      <c r="C816" s="1" t="str">
        <f>"ايرانپور"</f>
        <v>ايرانپور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19190163</v>
      </c>
      <c r="G816" s="1">
        <v>24713781</v>
      </c>
      <c r="H816" s="1">
        <v>0</v>
      </c>
      <c r="I816" s="1">
        <v>19169452</v>
      </c>
      <c r="J816" s="1">
        <v>0</v>
      </c>
      <c r="K816" s="1">
        <v>5500000</v>
      </c>
      <c r="L816" s="1">
        <v>0</v>
      </c>
      <c r="M816" s="1">
        <v>400000</v>
      </c>
      <c r="N816" s="1">
        <v>2884365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10942454</v>
      </c>
      <c r="W816" s="1">
        <v>1100000</v>
      </c>
      <c r="X816" s="1">
        <v>2878524</v>
      </c>
      <c r="Y816" s="1">
        <v>0</v>
      </c>
      <c r="Z816" s="1">
        <v>0</v>
      </c>
      <c r="AA816" s="1">
        <v>0</v>
      </c>
      <c r="AB816" s="1">
        <v>0</v>
      </c>
      <c r="AC816" s="1">
        <v>2425950</v>
      </c>
      <c r="AD816" s="1">
        <v>0</v>
      </c>
      <c r="AE816" s="1">
        <v>2060260</v>
      </c>
      <c r="AF816" s="1">
        <v>1111269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11113726</v>
      </c>
      <c r="AM816" s="1">
        <v>0</v>
      </c>
      <c r="AN816" s="1">
        <v>103489944</v>
      </c>
      <c r="AO816" s="1">
        <v>20401272</v>
      </c>
      <c r="AP816" s="1">
        <v>83088672</v>
      </c>
      <c r="AQ816" s="1">
        <v>15557766</v>
      </c>
      <c r="AR816" s="1">
        <v>2333665</v>
      </c>
      <c r="AS816" s="1">
        <v>0</v>
      </c>
      <c r="AT816" s="1">
        <f t="shared" si="86"/>
        <v>121381375</v>
      </c>
    </row>
    <row r="817" spans="1:46">
      <c r="A817" s="1" t="str">
        <f>"00926"</f>
        <v>00926</v>
      </c>
      <c r="B817" s="1" t="str">
        <f>"حسين"</f>
        <v>حسين</v>
      </c>
      <c r="C817" s="1" t="str">
        <f>"بادسار"</f>
        <v>بادسار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11826988</v>
      </c>
      <c r="G817" s="1">
        <v>14671129</v>
      </c>
      <c r="H817" s="1">
        <v>0</v>
      </c>
      <c r="I817" s="1">
        <v>11081521</v>
      </c>
      <c r="J817" s="1">
        <v>0</v>
      </c>
      <c r="K817" s="1">
        <v>4620000</v>
      </c>
      <c r="L817" s="1">
        <v>0</v>
      </c>
      <c r="M817" s="1">
        <v>400000</v>
      </c>
      <c r="N817" s="1">
        <v>2254090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1270000</v>
      </c>
      <c r="U817" s="1">
        <v>0</v>
      </c>
      <c r="V817" s="1">
        <v>6766558</v>
      </c>
      <c r="W817" s="1">
        <v>1100000</v>
      </c>
      <c r="X817" s="1">
        <v>1774048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1610065</v>
      </c>
      <c r="AF817" s="1">
        <v>3333807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8378289</v>
      </c>
      <c r="AM817" s="1">
        <v>0</v>
      </c>
      <c r="AN817" s="1">
        <v>69086495</v>
      </c>
      <c r="AO817" s="1">
        <v>12886149</v>
      </c>
      <c r="AP817" s="1">
        <v>56200346</v>
      </c>
      <c r="AQ817" s="1">
        <v>12896538</v>
      </c>
      <c r="AR817" s="1">
        <v>1934481</v>
      </c>
      <c r="AS817" s="1">
        <v>0</v>
      </c>
      <c r="AT817" s="1">
        <f t="shared" si="86"/>
        <v>83917514</v>
      </c>
    </row>
    <row r="818" spans="1:46">
      <c r="A818" s="1" t="str">
        <f>"00927"</f>
        <v>00927</v>
      </c>
      <c r="B818" s="1" t="str">
        <f>"محمدمهدي"</f>
        <v>محمدمهدي</v>
      </c>
      <c r="C818" s="1" t="str">
        <f>"باروني"</f>
        <v>باروني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11130485</v>
      </c>
      <c r="G818" s="1">
        <v>14289779</v>
      </c>
      <c r="H818" s="1">
        <v>0</v>
      </c>
      <c r="I818" s="1">
        <v>11131367</v>
      </c>
      <c r="J818" s="1">
        <v>0</v>
      </c>
      <c r="K818" s="1">
        <v>0</v>
      </c>
      <c r="L818" s="1">
        <v>0</v>
      </c>
      <c r="M818" s="1">
        <v>400000</v>
      </c>
      <c r="N818" s="1">
        <v>2005691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6373982</v>
      </c>
      <c r="W818" s="1">
        <v>1100000</v>
      </c>
      <c r="X818" s="1">
        <v>1669573</v>
      </c>
      <c r="Y818" s="1">
        <v>0</v>
      </c>
      <c r="Z818" s="1">
        <v>0</v>
      </c>
      <c r="AA818" s="1">
        <v>0</v>
      </c>
      <c r="AB818" s="1">
        <v>0</v>
      </c>
      <c r="AC818" s="1">
        <v>1116722</v>
      </c>
      <c r="AD818" s="1">
        <v>0</v>
      </c>
      <c r="AE818" s="1">
        <v>1432637</v>
      </c>
      <c r="AF818" s="1">
        <v>2222538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7637056</v>
      </c>
      <c r="AM818" s="1">
        <v>0</v>
      </c>
      <c r="AN818" s="1">
        <v>60509830</v>
      </c>
      <c r="AO818" s="1">
        <v>23166669</v>
      </c>
      <c r="AP818" s="1">
        <v>37343161</v>
      </c>
      <c r="AQ818" s="1">
        <v>11657458</v>
      </c>
      <c r="AR818" s="1">
        <v>1748619</v>
      </c>
      <c r="AS818" s="1">
        <v>0</v>
      </c>
      <c r="AT818" s="1">
        <f t="shared" si="86"/>
        <v>73915907</v>
      </c>
    </row>
    <row r="819" spans="1:46">
      <c r="A819" s="1" t="str">
        <f>"00928"</f>
        <v>00928</v>
      </c>
      <c r="B819" s="1" t="str">
        <f>"احد"</f>
        <v>احد</v>
      </c>
      <c r="C819" s="1" t="str">
        <f>"باصري"</f>
        <v>باصري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19524405</v>
      </c>
      <c r="G819" s="1">
        <v>22281133</v>
      </c>
      <c r="H819" s="1">
        <v>0</v>
      </c>
      <c r="I819" s="1">
        <v>17797593</v>
      </c>
      <c r="J819" s="1">
        <v>0</v>
      </c>
      <c r="K819" s="1">
        <v>0</v>
      </c>
      <c r="L819" s="1">
        <v>0</v>
      </c>
      <c r="M819" s="1">
        <v>400000</v>
      </c>
      <c r="N819" s="1">
        <v>3001349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1270000</v>
      </c>
      <c r="U819" s="1">
        <v>0</v>
      </c>
      <c r="V819" s="1">
        <v>10685491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2143821</v>
      </c>
      <c r="AF819" s="1">
        <v>2222538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4502024</v>
      </c>
      <c r="AM819" s="1">
        <v>0</v>
      </c>
      <c r="AN819" s="1">
        <v>84928354</v>
      </c>
      <c r="AO819" s="1">
        <v>18566747</v>
      </c>
      <c r="AP819" s="1">
        <v>66361607</v>
      </c>
      <c r="AQ819" s="1">
        <v>15557766</v>
      </c>
      <c r="AR819" s="1">
        <v>2333665</v>
      </c>
      <c r="AS819" s="1">
        <v>0</v>
      </c>
      <c r="AT819" s="1">
        <f t="shared" si="86"/>
        <v>102819785</v>
      </c>
    </row>
    <row r="820" spans="1:46">
      <c r="A820" s="1" t="str">
        <f>"00929"</f>
        <v>00929</v>
      </c>
      <c r="B820" s="1" t="str">
        <f>"علي اصغر"</f>
        <v>علي اصغر</v>
      </c>
      <c r="C820" s="1" t="str">
        <f>"بوستان"</f>
        <v>بوستان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15993300</v>
      </c>
      <c r="G820" s="1">
        <v>21742063</v>
      </c>
      <c r="H820" s="1">
        <v>0</v>
      </c>
      <c r="I820" s="1">
        <v>15981217</v>
      </c>
      <c r="J820" s="1">
        <v>0</v>
      </c>
      <c r="K820" s="1">
        <v>4620000</v>
      </c>
      <c r="L820" s="1">
        <v>0</v>
      </c>
      <c r="M820" s="1">
        <v>400000</v>
      </c>
      <c r="N820" s="1">
        <v>3252300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9698087</v>
      </c>
      <c r="W820" s="1">
        <v>1100000</v>
      </c>
      <c r="X820" s="1">
        <v>2398995</v>
      </c>
      <c r="Y820" s="1">
        <v>0</v>
      </c>
      <c r="Z820" s="1">
        <v>5445218</v>
      </c>
      <c r="AA820" s="1">
        <v>0</v>
      </c>
      <c r="AB820" s="1">
        <v>0</v>
      </c>
      <c r="AC820" s="1">
        <v>0</v>
      </c>
      <c r="AD820" s="1">
        <v>0</v>
      </c>
      <c r="AE820" s="1">
        <v>2323072</v>
      </c>
      <c r="AF820" s="1">
        <v>4445076</v>
      </c>
      <c r="AG820" s="1">
        <v>3105000</v>
      </c>
      <c r="AH820" s="1">
        <v>0</v>
      </c>
      <c r="AI820" s="1">
        <v>0</v>
      </c>
      <c r="AJ820" s="1">
        <v>0</v>
      </c>
      <c r="AK820" s="1">
        <v>0</v>
      </c>
      <c r="AL820" s="1">
        <v>11767205</v>
      </c>
      <c r="AM820" s="1">
        <v>0</v>
      </c>
      <c r="AN820" s="1">
        <v>102271533</v>
      </c>
      <c r="AO820" s="1">
        <v>9945897</v>
      </c>
      <c r="AP820" s="1">
        <v>92325636</v>
      </c>
      <c r="AQ820" s="1">
        <v>15557766</v>
      </c>
      <c r="AR820" s="1">
        <v>2333665</v>
      </c>
      <c r="AS820" s="1">
        <v>3180000</v>
      </c>
      <c r="AT820" s="1">
        <f t="shared" si="86"/>
        <v>123342964</v>
      </c>
    </row>
    <row r="821" spans="1:46">
      <c r="A821" s="1" t="str">
        <f>"00930"</f>
        <v>00930</v>
      </c>
      <c r="B821" s="1" t="str">
        <f>"فيض اله"</f>
        <v>فيض اله</v>
      </c>
      <c r="C821" s="1" t="str">
        <f>"بهي مقدم"</f>
        <v>بهي مقدم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9297008</v>
      </c>
      <c r="G821" s="1">
        <v>11326614</v>
      </c>
      <c r="H821" s="1">
        <v>0</v>
      </c>
      <c r="I821" s="1">
        <v>8660069</v>
      </c>
      <c r="J821" s="1">
        <v>0</v>
      </c>
      <c r="K821" s="1">
        <v>4620000</v>
      </c>
      <c r="L821" s="1">
        <v>0</v>
      </c>
      <c r="M821" s="1">
        <v>400000</v>
      </c>
      <c r="N821" s="1">
        <v>1671851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1270000</v>
      </c>
      <c r="U821" s="1">
        <v>0</v>
      </c>
      <c r="V821" s="1">
        <v>5167003</v>
      </c>
      <c r="W821" s="1">
        <v>1100000</v>
      </c>
      <c r="X821" s="1">
        <v>1394551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1194180</v>
      </c>
      <c r="AF821" s="1">
        <v>3333807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6371642</v>
      </c>
      <c r="AM821" s="1">
        <v>0</v>
      </c>
      <c r="AN821" s="1">
        <v>55806725</v>
      </c>
      <c r="AO821" s="1">
        <v>6525471</v>
      </c>
      <c r="AP821" s="1">
        <v>49281254</v>
      </c>
      <c r="AQ821" s="1">
        <v>10240584</v>
      </c>
      <c r="AR821" s="1">
        <v>1536088</v>
      </c>
      <c r="AS821" s="1">
        <v>0</v>
      </c>
      <c r="AT821" s="1">
        <f t="shared" si="86"/>
        <v>67583397</v>
      </c>
    </row>
    <row r="822" spans="1:46">
      <c r="A822" s="1" t="str">
        <f>"00931"</f>
        <v>00931</v>
      </c>
      <c r="B822" s="1" t="str">
        <f>"محمدجواد"</f>
        <v>محمدجواد</v>
      </c>
      <c r="C822" s="1" t="str">
        <f>"پرهيزکار"</f>
        <v>پرهيزکار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20079678</v>
      </c>
      <c r="G822" s="1">
        <v>11299134</v>
      </c>
      <c r="H822" s="1">
        <v>0</v>
      </c>
      <c r="I822" s="1">
        <v>17907417</v>
      </c>
      <c r="J822" s="1">
        <v>0</v>
      </c>
      <c r="K822" s="1">
        <v>0</v>
      </c>
      <c r="L822" s="1">
        <v>0</v>
      </c>
      <c r="M822" s="1">
        <v>400000</v>
      </c>
      <c r="N822" s="1">
        <v>3195695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11340858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2282639</v>
      </c>
      <c r="AF822" s="1">
        <v>1111269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4793542</v>
      </c>
      <c r="AM822" s="1">
        <v>0</v>
      </c>
      <c r="AN822" s="1">
        <v>73510232</v>
      </c>
      <c r="AO822" s="1">
        <v>20179539</v>
      </c>
      <c r="AP822" s="1">
        <v>53330693</v>
      </c>
      <c r="AQ822" s="1">
        <v>14479793</v>
      </c>
      <c r="AR822" s="1">
        <v>2171969</v>
      </c>
      <c r="AS822" s="1">
        <v>0</v>
      </c>
      <c r="AT822" s="1">
        <f t="shared" si="86"/>
        <v>90161994</v>
      </c>
    </row>
    <row r="823" spans="1:46">
      <c r="A823" s="1" t="str">
        <f>"00932"</f>
        <v>00932</v>
      </c>
      <c r="B823" s="1" t="str">
        <f>"مختار"</f>
        <v>مختار</v>
      </c>
      <c r="C823" s="1" t="str">
        <f>"جعفري"</f>
        <v>جعفري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11540624</v>
      </c>
      <c r="G823" s="1">
        <v>14181049</v>
      </c>
      <c r="H823" s="1">
        <v>0</v>
      </c>
      <c r="I823" s="1">
        <v>10904056</v>
      </c>
      <c r="J823" s="1">
        <v>0</v>
      </c>
      <c r="K823" s="1">
        <v>4620000</v>
      </c>
      <c r="L823" s="1">
        <v>0</v>
      </c>
      <c r="M823" s="1">
        <v>400000</v>
      </c>
      <c r="N823" s="1">
        <v>2147945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6325483</v>
      </c>
      <c r="W823" s="1">
        <v>1100000</v>
      </c>
      <c r="X823" s="1">
        <v>1731094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1534247</v>
      </c>
      <c r="AF823" s="1">
        <v>1111269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8064927</v>
      </c>
      <c r="AM823" s="1">
        <v>0</v>
      </c>
      <c r="AN823" s="1">
        <v>63660694</v>
      </c>
      <c r="AO823" s="1">
        <v>15910985</v>
      </c>
      <c r="AP823" s="1">
        <v>47749709</v>
      </c>
      <c r="AQ823" s="1">
        <v>12509885</v>
      </c>
      <c r="AR823" s="1">
        <v>1876483</v>
      </c>
      <c r="AS823" s="1">
        <v>0</v>
      </c>
      <c r="AT823" s="1">
        <f t="shared" si="86"/>
        <v>78047062</v>
      </c>
    </row>
    <row r="824" spans="1:46">
      <c r="A824" s="1" t="str">
        <f>"00933"</f>
        <v>00933</v>
      </c>
      <c r="B824" s="1" t="str">
        <f>"پيام"</f>
        <v>پيام</v>
      </c>
      <c r="C824" s="1" t="str">
        <f>"جعفري زاده"</f>
        <v>جعفري زاده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11461668</v>
      </c>
      <c r="G824" s="1">
        <v>14650553</v>
      </c>
      <c r="H824" s="1">
        <v>0</v>
      </c>
      <c r="I824" s="1">
        <v>11109097</v>
      </c>
      <c r="J824" s="1">
        <v>0</v>
      </c>
      <c r="K824" s="1">
        <v>4620000</v>
      </c>
      <c r="L824" s="1">
        <v>0</v>
      </c>
      <c r="M824" s="1">
        <v>400000</v>
      </c>
      <c r="N824" s="1">
        <v>2126043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6534906</v>
      </c>
      <c r="W824" s="1">
        <v>1100000</v>
      </c>
      <c r="X824" s="1">
        <v>1719250</v>
      </c>
      <c r="Y824" s="1">
        <v>0</v>
      </c>
      <c r="Z824" s="1">
        <v>0</v>
      </c>
      <c r="AA824" s="1">
        <v>0</v>
      </c>
      <c r="AB824" s="1">
        <v>0</v>
      </c>
      <c r="AC824" s="1">
        <v>1114100</v>
      </c>
      <c r="AD824" s="1">
        <v>0</v>
      </c>
      <c r="AE824" s="1">
        <v>1518603</v>
      </c>
      <c r="AF824" s="1">
        <v>1111269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7994306</v>
      </c>
      <c r="AM824" s="1">
        <v>0</v>
      </c>
      <c r="AN824" s="1">
        <v>65459795</v>
      </c>
      <c r="AO824" s="1">
        <v>12369213</v>
      </c>
      <c r="AP824" s="1">
        <v>53090582</v>
      </c>
      <c r="AQ824" s="1">
        <v>12869705</v>
      </c>
      <c r="AR824" s="1">
        <v>1930456</v>
      </c>
      <c r="AS824" s="1">
        <v>0</v>
      </c>
      <c r="AT824" s="1">
        <f t="shared" si="86"/>
        <v>80259956</v>
      </c>
    </row>
    <row r="825" spans="1:46">
      <c r="A825" s="1" t="str">
        <f>"00934"</f>
        <v>00934</v>
      </c>
      <c r="B825" s="1" t="str">
        <f>"اميد"</f>
        <v>اميد</v>
      </c>
      <c r="C825" s="1" t="str">
        <f>"جوکار"</f>
        <v>جوکار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24674607</v>
      </c>
      <c r="G825" s="1">
        <v>17575959</v>
      </c>
      <c r="H825" s="1">
        <v>0</v>
      </c>
      <c r="I825" s="1">
        <v>22918521</v>
      </c>
      <c r="J825" s="1">
        <v>0</v>
      </c>
      <c r="K825" s="1">
        <v>0</v>
      </c>
      <c r="L825" s="1">
        <v>0</v>
      </c>
      <c r="M825" s="1">
        <v>400000</v>
      </c>
      <c r="N825" s="1">
        <v>4225915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1270000</v>
      </c>
      <c r="U825" s="1">
        <v>0</v>
      </c>
      <c r="V825" s="1">
        <v>14209483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3018511</v>
      </c>
      <c r="AF825" s="1">
        <v>2222538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6278502</v>
      </c>
      <c r="AM825" s="1">
        <v>0</v>
      </c>
      <c r="AN825" s="1">
        <v>97894036</v>
      </c>
      <c r="AO825" s="1">
        <v>14584661</v>
      </c>
      <c r="AP825" s="1">
        <v>83309375</v>
      </c>
      <c r="AQ825" s="1">
        <v>15557766</v>
      </c>
      <c r="AR825" s="1">
        <v>2333665</v>
      </c>
      <c r="AS825" s="1">
        <v>0</v>
      </c>
      <c r="AT825" s="1">
        <f t="shared" si="86"/>
        <v>115785467</v>
      </c>
    </row>
    <row r="826" spans="1:46">
      <c r="A826" s="1" t="str">
        <f>"00935"</f>
        <v>00935</v>
      </c>
      <c r="B826" s="1" t="str">
        <f>"حسين"</f>
        <v>حسين</v>
      </c>
      <c r="C826" s="1" t="str">
        <f>"چغادکي نژاد"</f>
        <v>چغادکي نژاد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11197336</v>
      </c>
      <c r="G826" s="1">
        <v>13764014</v>
      </c>
      <c r="H826" s="1">
        <v>0</v>
      </c>
      <c r="I826" s="1">
        <v>10828944</v>
      </c>
      <c r="J826" s="1">
        <v>0</v>
      </c>
      <c r="K826" s="1">
        <v>4620000</v>
      </c>
      <c r="L826" s="1">
        <v>0</v>
      </c>
      <c r="M826" s="1">
        <v>400000</v>
      </c>
      <c r="N826" s="1">
        <v>2022432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6139464</v>
      </c>
      <c r="W826" s="1">
        <v>1100000</v>
      </c>
      <c r="X826" s="1">
        <v>1679600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1444595</v>
      </c>
      <c r="AF826" s="1">
        <v>1111269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7692984</v>
      </c>
      <c r="AM826" s="1">
        <v>0</v>
      </c>
      <c r="AN826" s="1">
        <v>62000638</v>
      </c>
      <c r="AO826" s="1">
        <v>11699381</v>
      </c>
      <c r="AP826" s="1">
        <v>50301257</v>
      </c>
      <c r="AQ826" s="1">
        <v>12177874</v>
      </c>
      <c r="AR826" s="1">
        <v>1826681</v>
      </c>
      <c r="AS826" s="1">
        <v>0</v>
      </c>
      <c r="AT826" s="1">
        <f t="shared" si="86"/>
        <v>76005193</v>
      </c>
    </row>
    <row r="827" spans="1:46">
      <c r="A827" s="1" t="str">
        <f>"00936"</f>
        <v>00936</v>
      </c>
      <c r="B827" s="1" t="str">
        <f>"سيدمحمد"</f>
        <v>سيدمحمد</v>
      </c>
      <c r="C827" s="1" t="str">
        <f>"حسيني"</f>
        <v>حسيني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22836276</v>
      </c>
      <c r="G827" s="1">
        <v>23519659</v>
      </c>
      <c r="H827" s="1">
        <v>0</v>
      </c>
      <c r="I827" s="1">
        <v>21269599</v>
      </c>
      <c r="J827" s="1">
        <v>0</v>
      </c>
      <c r="K827" s="1">
        <v>5500000</v>
      </c>
      <c r="L827" s="1">
        <v>0</v>
      </c>
      <c r="M827" s="1">
        <v>400000</v>
      </c>
      <c r="N827" s="1">
        <v>3582499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1270000</v>
      </c>
      <c r="U827" s="1">
        <v>0</v>
      </c>
      <c r="V827" s="1">
        <v>13058920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2558928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5322570</v>
      </c>
      <c r="AM827" s="1">
        <v>0</v>
      </c>
      <c r="AN827" s="1">
        <v>102640989</v>
      </c>
      <c r="AO827" s="1">
        <v>21127260</v>
      </c>
      <c r="AP827" s="1">
        <v>81513729</v>
      </c>
      <c r="AQ827" s="1">
        <v>15557766</v>
      </c>
      <c r="AR827" s="1">
        <v>2333665</v>
      </c>
      <c r="AS827" s="1">
        <v>0</v>
      </c>
      <c r="AT827" s="1">
        <f t="shared" si="86"/>
        <v>120532420</v>
      </c>
    </row>
    <row r="828" spans="1:46">
      <c r="A828" s="1" t="str">
        <f>"00937"</f>
        <v>00937</v>
      </c>
      <c r="B828" s="1" t="str">
        <f>"سيدمسلم"</f>
        <v>سيدمسلم</v>
      </c>
      <c r="C828" s="1" t="str">
        <f>"حسيني"</f>
        <v>حسيني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11561549</v>
      </c>
      <c r="G828" s="1">
        <v>14204410</v>
      </c>
      <c r="H828" s="1">
        <v>0</v>
      </c>
      <c r="I828" s="1">
        <v>10832116</v>
      </c>
      <c r="J828" s="1">
        <v>0</v>
      </c>
      <c r="K828" s="1">
        <v>0</v>
      </c>
      <c r="L828" s="1">
        <v>0</v>
      </c>
      <c r="M828" s="1">
        <v>400000</v>
      </c>
      <c r="N828" s="1">
        <v>2155454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6408005</v>
      </c>
      <c r="W828" s="1">
        <v>1100000</v>
      </c>
      <c r="X828" s="1">
        <v>1734232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1539610</v>
      </c>
      <c r="AF828" s="1">
        <v>1111269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8087295</v>
      </c>
      <c r="AM828" s="1">
        <v>0</v>
      </c>
      <c r="AN828" s="1">
        <v>59133940</v>
      </c>
      <c r="AO828" s="1">
        <v>12025413</v>
      </c>
      <c r="AP828" s="1">
        <v>47108527</v>
      </c>
      <c r="AQ828" s="1">
        <v>11604534</v>
      </c>
      <c r="AR828" s="1">
        <v>1740680</v>
      </c>
      <c r="AS828" s="1">
        <v>0</v>
      </c>
      <c r="AT828" s="1">
        <f t="shared" si="86"/>
        <v>72479154</v>
      </c>
    </row>
    <row r="829" spans="1:46">
      <c r="A829" s="1" t="str">
        <f>"00938"</f>
        <v>00938</v>
      </c>
      <c r="B829" s="1" t="str">
        <f>"فرشاد"</f>
        <v>فرشاد</v>
      </c>
      <c r="C829" s="1" t="str">
        <f>"خدري"</f>
        <v>خدري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11778587</v>
      </c>
      <c r="G829" s="1">
        <v>14766415</v>
      </c>
      <c r="H829" s="1">
        <v>0</v>
      </c>
      <c r="I829" s="1">
        <v>11433089</v>
      </c>
      <c r="J829" s="1">
        <v>0</v>
      </c>
      <c r="K829" s="1">
        <v>4620000</v>
      </c>
      <c r="L829" s="1">
        <v>0</v>
      </c>
      <c r="M829" s="1">
        <v>400000</v>
      </c>
      <c r="N829" s="1">
        <v>2238444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1270000</v>
      </c>
      <c r="U829" s="1">
        <v>0</v>
      </c>
      <c r="V829" s="1">
        <v>6810506</v>
      </c>
      <c r="W829" s="1">
        <v>1100000</v>
      </c>
      <c r="X829" s="1">
        <v>1766788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1598888</v>
      </c>
      <c r="AF829" s="1">
        <v>2222538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8330242</v>
      </c>
      <c r="AM829" s="1">
        <v>0</v>
      </c>
      <c r="AN829" s="1">
        <v>68335497</v>
      </c>
      <c r="AO829" s="1">
        <v>19024241</v>
      </c>
      <c r="AP829" s="1">
        <v>49311256</v>
      </c>
      <c r="AQ829" s="1">
        <v>12968592</v>
      </c>
      <c r="AR829" s="1">
        <v>1945289</v>
      </c>
      <c r="AS829" s="1">
        <v>0</v>
      </c>
      <c r="AT829" s="1">
        <f t="shared" si="86"/>
        <v>83249378</v>
      </c>
    </row>
    <row r="830" spans="1:46">
      <c r="A830" s="1" t="str">
        <f>"00939"</f>
        <v>00939</v>
      </c>
      <c r="B830" s="1" t="str">
        <f>"مهدي"</f>
        <v>مهدي</v>
      </c>
      <c r="C830" s="1" t="str">
        <f>"خليلي"</f>
        <v>خليلي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11878448</v>
      </c>
      <c r="G830" s="1">
        <v>17659902</v>
      </c>
      <c r="H830" s="1">
        <v>0</v>
      </c>
      <c r="I830" s="1">
        <v>11565260</v>
      </c>
      <c r="J830" s="1">
        <v>0</v>
      </c>
      <c r="K830" s="1">
        <v>4620000</v>
      </c>
      <c r="L830" s="1">
        <v>0</v>
      </c>
      <c r="M830" s="1">
        <v>400000</v>
      </c>
      <c r="N830" s="1">
        <v>2274689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1270000</v>
      </c>
      <c r="U830" s="1">
        <v>0</v>
      </c>
      <c r="V830" s="1">
        <v>6708946</v>
      </c>
      <c r="W830" s="1">
        <v>1100000</v>
      </c>
      <c r="X830" s="1">
        <v>1781767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1624778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8437869</v>
      </c>
      <c r="AM830" s="1">
        <v>0</v>
      </c>
      <c r="AN830" s="1">
        <v>71544197</v>
      </c>
      <c r="AO830" s="1">
        <v>13990303</v>
      </c>
      <c r="AP830" s="1">
        <v>57553894</v>
      </c>
      <c r="AQ830" s="1">
        <v>13610332</v>
      </c>
      <c r="AR830" s="1">
        <v>2041550</v>
      </c>
      <c r="AS830" s="1">
        <v>0</v>
      </c>
      <c r="AT830" s="1">
        <f t="shared" si="86"/>
        <v>87196079</v>
      </c>
    </row>
    <row r="831" spans="1:46">
      <c r="A831" s="1" t="str">
        <f>"00940"</f>
        <v>00940</v>
      </c>
      <c r="B831" s="1" t="str">
        <f>"رسول"</f>
        <v>رسول</v>
      </c>
      <c r="C831" s="1" t="str">
        <f>"خورسند نژاد"</f>
        <v>خورسند نژاد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22848855</v>
      </c>
      <c r="G831" s="1">
        <v>28430883</v>
      </c>
      <c r="H831" s="1">
        <v>0</v>
      </c>
      <c r="I831" s="1">
        <v>23178492</v>
      </c>
      <c r="J831" s="1">
        <v>0</v>
      </c>
      <c r="K831" s="1">
        <v>0</v>
      </c>
      <c r="L831" s="1">
        <v>0</v>
      </c>
      <c r="M831" s="1">
        <v>400000</v>
      </c>
      <c r="N831" s="1">
        <v>3586902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13112776</v>
      </c>
      <c r="W831" s="1">
        <v>1100000</v>
      </c>
      <c r="X831" s="1">
        <v>3427328</v>
      </c>
      <c r="Y831" s="1">
        <v>0</v>
      </c>
      <c r="Z831" s="1">
        <v>0</v>
      </c>
      <c r="AA831" s="1">
        <v>0</v>
      </c>
      <c r="AB831" s="1">
        <v>0</v>
      </c>
      <c r="AC831" s="1">
        <v>2425950</v>
      </c>
      <c r="AD831" s="1">
        <v>0</v>
      </c>
      <c r="AE831" s="1">
        <v>2562073</v>
      </c>
      <c r="AF831" s="1">
        <v>2222538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13516045</v>
      </c>
      <c r="AM831" s="1">
        <v>0</v>
      </c>
      <c r="AN831" s="1">
        <v>116811842</v>
      </c>
      <c r="AO831" s="1">
        <v>20005286</v>
      </c>
      <c r="AP831" s="1">
        <v>96806556</v>
      </c>
      <c r="AQ831" s="1">
        <v>15557766</v>
      </c>
      <c r="AR831" s="1">
        <v>2333665</v>
      </c>
      <c r="AS831" s="1">
        <v>0</v>
      </c>
      <c r="AT831" s="1">
        <f t="shared" si="86"/>
        <v>134703273</v>
      </c>
    </row>
    <row r="832" spans="1:46">
      <c r="A832" s="1" t="str">
        <f>"00941"</f>
        <v>00941</v>
      </c>
      <c r="B832" s="1" t="str">
        <f>"عباس"</f>
        <v>عباس</v>
      </c>
      <c r="C832" s="1" t="str">
        <f>"دريسي"</f>
        <v>دريسي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11847001</v>
      </c>
      <c r="G832" s="1">
        <v>16941939</v>
      </c>
      <c r="H832" s="1">
        <v>0</v>
      </c>
      <c r="I832" s="1">
        <v>11521480</v>
      </c>
      <c r="J832" s="1">
        <v>0</v>
      </c>
      <c r="K832" s="1">
        <v>4620000</v>
      </c>
      <c r="L832" s="1">
        <v>0</v>
      </c>
      <c r="M832" s="1">
        <v>400000</v>
      </c>
      <c r="N832" s="1">
        <v>2262573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6595185</v>
      </c>
      <c r="W832" s="1">
        <v>1100000</v>
      </c>
      <c r="X832" s="1">
        <v>1777050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1616124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8402472</v>
      </c>
      <c r="AM832" s="1">
        <v>0</v>
      </c>
      <c r="AN832" s="1">
        <v>69465093</v>
      </c>
      <c r="AO832" s="1">
        <v>17293595</v>
      </c>
      <c r="AP832" s="1">
        <v>52171498</v>
      </c>
      <c r="AQ832" s="1">
        <v>13416765</v>
      </c>
      <c r="AR832" s="1">
        <v>2012515</v>
      </c>
      <c r="AS832" s="1">
        <v>0</v>
      </c>
      <c r="AT832" s="1">
        <f t="shared" si="86"/>
        <v>84894373</v>
      </c>
    </row>
    <row r="833" spans="1:46">
      <c r="A833" s="1" t="str">
        <f>"00942"</f>
        <v>00942</v>
      </c>
      <c r="B833" s="1" t="str">
        <f>"سعيد"</f>
        <v>سعيد</v>
      </c>
      <c r="C833" s="1" t="str">
        <f>"دشتي"</f>
        <v>دشتي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12572128</v>
      </c>
      <c r="G833" s="1">
        <v>17270669</v>
      </c>
      <c r="H833" s="1">
        <v>0</v>
      </c>
      <c r="I833" s="1">
        <v>14112502</v>
      </c>
      <c r="J833" s="1">
        <v>0</v>
      </c>
      <c r="K833" s="1">
        <v>4620000</v>
      </c>
      <c r="L833" s="1">
        <v>0</v>
      </c>
      <c r="M833" s="1">
        <v>400000</v>
      </c>
      <c r="N833" s="1">
        <v>2548174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7965507</v>
      </c>
      <c r="W833" s="1">
        <v>1100000</v>
      </c>
      <c r="X833" s="1">
        <v>1885819</v>
      </c>
      <c r="Y833" s="1">
        <v>0</v>
      </c>
      <c r="Z833" s="1">
        <v>0</v>
      </c>
      <c r="AA833" s="1">
        <v>0</v>
      </c>
      <c r="AB833" s="1">
        <v>0</v>
      </c>
      <c r="AC833" s="1">
        <v>1094324</v>
      </c>
      <c r="AD833" s="1">
        <v>0</v>
      </c>
      <c r="AE833" s="1">
        <v>1820124</v>
      </c>
      <c r="AF833" s="1">
        <v>2222538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9232011</v>
      </c>
      <c r="AM833" s="1">
        <v>0</v>
      </c>
      <c r="AN833" s="1">
        <v>78113796</v>
      </c>
      <c r="AO833" s="1">
        <v>15433007</v>
      </c>
      <c r="AP833" s="1">
        <v>62680789</v>
      </c>
      <c r="AQ833" s="1">
        <v>14924252</v>
      </c>
      <c r="AR833" s="1">
        <v>2238638</v>
      </c>
      <c r="AS833" s="1">
        <v>0</v>
      </c>
      <c r="AT833" s="1">
        <f t="shared" si="86"/>
        <v>95276686</v>
      </c>
    </row>
    <row r="834" spans="1:46">
      <c r="A834" s="1" t="str">
        <f>"00943"</f>
        <v>00943</v>
      </c>
      <c r="B834" s="1" t="str">
        <f>"يحيي"</f>
        <v>يحيي</v>
      </c>
      <c r="C834" s="1" t="str">
        <f>"دهقان"</f>
        <v>دهقان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19547766</v>
      </c>
      <c r="G834" s="1">
        <v>4135798</v>
      </c>
      <c r="H834" s="1">
        <v>0</v>
      </c>
      <c r="I834" s="1">
        <v>17218084</v>
      </c>
      <c r="J834" s="1">
        <v>0</v>
      </c>
      <c r="K834" s="1">
        <v>5500000</v>
      </c>
      <c r="L834" s="1">
        <v>0</v>
      </c>
      <c r="M834" s="1">
        <v>400000</v>
      </c>
      <c r="N834" s="1">
        <v>3009526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10323184</v>
      </c>
      <c r="W834" s="1">
        <v>1100000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2149661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4471295</v>
      </c>
      <c r="AM834" s="1">
        <v>0</v>
      </c>
      <c r="AN834" s="1">
        <v>70236583</v>
      </c>
      <c r="AO834" s="1">
        <v>18820477</v>
      </c>
      <c r="AP834" s="1">
        <v>51416106</v>
      </c>
      <c r="AQ834" s="1">
        <v>13571063</v>
      </c>
      <c r="AR834" s="1">
        <v>2035659</v>
      </c>
      <c r="AS834" s="1">
        <v>0</v>
      </c>
      <c r="AT834" s="1">
        <f t="shared" si="86"/>
        <v>85843305</v>
      </c>
    </row>
    <row r="835" spans="1:46">
      <c r="A835" s="1" t="str">
        <f>"00944"</f>
        <v>00944</v>
      </c>
      <c r="B835" s="1" t="str">
        <f>"علي"</f>
        <v>علي</v>
      </c>
      <c r="C835" s="1" t="str">
        <f>"دهقاني"</f>
        <v>دهقاني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10993959</v>
      </c>
      <c r="G835" s="1">
        <v>17809879</v>
      </c>
      <c r="H835" s="1">
        <v>0</v>
      </c>
      <c r="I835" s="1">
        <v>10406787</v>
      </c>
      <c r="J835" s="1">
        <v>0</v>
      </c>
      <c r="K835" s="1">
        <v>0</v>
      </c>
      <c r="L835" s="1">
        <v>0</v>
      </c>
      <c r="M835" s="1">
        <v>400000</v>
      </c>
      <c r="N835" s="1">
        <v>1946258</v>
      </c>
      <c r="O835" s="1">
        <v>0</v>
      </c>
      <c r="P835" s="1">
        <v>0</v>
      </c>
      <c r="Q835" s="1">
        <v>0</v>
      </c>
      <c r="R835" s="1">
        <v>5406568</v>
      </c>
      <c r="S835" s="1">
        <v>0</v>
      </c>
      <c r="T835" s="1">
        <v>1270000</v>
      </c>
      <c r="U835" s="1">
        <v>0</v>
      </c>
      <c r="V835" s="1">
        <v>5958097</v>
      </c>
      <c r="W835" s="1">
        <v>1100000</v>
      </c>
      <c r="X835" s="1">
        <v>1649094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1390184</v>
      </c>
      <c r="AF835" s="1">
        <v>1111269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7468741</v>
      </c>
      <c r="AM835" s="1">
        <v>0</v>
      </c>
      <c r="AN835" s="1">
        <v>66910836</v>
      </c>
      <c r="AO835" s="1">
        <v>17243586</v>
      </c>
      <c r="AP835" s="1">
        <v>49667250</v>
      </c>
      <c r="AQ835" s="1">
        <v>11824600</v>
      </c>
      <c r="AR835" s="1">
        <v>1773690</v>
      </c>
      <c r="AS835" s="1">
        <v>0</v>
      </c>
      <c r="AT835" s="1">
        <f t="shared" ref="AT835:AT898" si="91">AS835+AR835+AQ835+AN835</f>
        <v>80509126</v>
      </c>
    </row>
    <row r="836" spans="1:46">
      <c r="A836" s="1" t="str">
        <f>"00945"</f>
        <v>00945</v>
      </c>
      <c r="B836" s="1" t="str">
        <f>"محسن"</f>
        <v>محسن</v>
      </c>
      <c r="C836" s="1" t="str">
        <f>"رجبي کرهرودي"</f>
        <v>رجبي کرهرودي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10804202</v>
      </c>
      <c r="G836" s="1">
        <v>13608170</v>
      </c>
      <c r="H836" s="1">
        <v>0</v>
      </c>
      <c r="I836" s="1">
        <v>10659618</v>
      </c>
      <c r="J836" s="1">
        <v>0</v>
      </c>
      <c r="K836" s="1">
        <v>0</v>
      </c>
      <c r="L836" s="1">
        <v>0</v>
      </c>
      <c r="M836" s="1">
        <v>400000</v>
      </c>
      <c r="N836" s="1">
        <v>1882986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1270000</v>
      </c>
      <c r="U836" s="1">
        <v>0</v>
      </c>
      <c r="V836" s="1">
        <v>5790711</v>
      </c>
      <c r="W836" s="1">
        <v>1100000</v>
      </c>
      <c r="X836" s="1">
        <v>1620630</v>
      </c>
      <c r="Y836" s="1">
        <v>0</v>
      </c>
      <c r="Z836" s="1">
        <v>0</v>
      </c>
      <c r="AA836" s="1">
        <v>0</v>
      </c>
      <c r="AB836" s="1">
        <v>0</v>
      </c>
      <c r="AC836" s="1">
        <v>1121748</v>
      </c>
      <c r="AD836" s="1">
        <v>0</v>
      </c>
      <c r="AE836" s="1">
        <v>1344990</v>
      </c>
      <c r="AF836" s="1">
        <v>1111269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7276232</v>
      </c>
      <c r="AM836" s="1">
        <v>0</v>
      </c>
      <c r="AN836" s="1">
        <v>57990556</v>
      </c>
      <c r="AO836" s="1">
        <v>16092103</v>
      </c>
      <c r="AP836" s="1">
        <v>41898453</v>
      </c>
      <c r="AQ836" s="1">
        <v>11121857</v>
      </c>
      <c r="AR836" s="1">
        <v>1668279</v>
      </c>
      <c r="AS836" s="1">
        <v>0</v>
      </c>
      <c r="AT836" s="1">
        <f t="shared" si="91"/>
        <v>70780692</v>
      </c>
    </row>
    <row r="837" spans="1:46">
      <c r="A837" s="1" t="str">
        <f>"00946"</f>
        <v>00946</v>
      </c>
      <c r="B837" s="1" t="str">
        <f>"فتح اله"</f>
        <v>فتح اله</v>
      </c>
      <c r="C837" s="1" t="str">
        <f>"روانان"</f>
        <v>روانان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9654191</v>
      </c>
      <c r="G837" s="1">
        <v>10904603</v>
      </c>
      <c r="H837" s="1">
        <v>0</v>
      </c>
      <c r="I837" s="1">
        <v>8381111</v>
      </c>
      <c r="J837" s="1">
        <v>0</v>
      </c>
      <c r="K837" s="1">
        <v>4620000</v>
      </c>
      <c r="L837" s="1">
        <v>0</v>
      </c>
      <c r="M837" s="1">
        <v>400000</v>
      </c>
      <c r="N837" s="1">
        <v>1447754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4640257</v>
      </c>
      <c r="W837" s="1">
        <v>1100000</v>
      </c>
      <c r="X837" s="1">
        <v>1448129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1034110</v>
      </c>
      <c r="AF837" s="1">
        <v>1111269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5998586</v>
      </c>
      <c r="AM837" s="1">
        <v>0</v>
      </c>
      <c r="AN837" s="1">
        <v>50740010</v>
      </c>
      <c r="AO837" s="1">
        <v>8729588</v>
      </c>
      <c r="AP837" s="1">
        <v>42010422</v>
      </c>
      <c r="AQ837" s="1">
        <v>9925748</v>
      </c>
      <c r="AR837" s="1">
        <v>1488862</v>
      </c>
      <c r="AS837" s="1">
        <v>0</v>
      </c>
      <c r="AT837" s="1">
        <f t="shared" si="91"/>
        <v>62154620</v>
      </c>
    </row>
    <row r="838" spans="1:46">
      <c r="A838" s="1" t="str">
        <f>"00947"</f>
        <v>00947</v>
      </c>
      <c r="B838" s="1" t="str">
        <f>"عليرضا"</f>
        <v>عليرضا</v>
      </c>
      <c r="C838" s="1" t="str">
        <f>"زارع پور"</f>
        <v>زارع پور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13206153</v>
      </c>
      <c r="G838" s="1">
        <v>17628050</v>
      </c>
      <c r="H838" s="1">
        <v>0</v>
      </c>
      <c r="I838" s="1">
        <v>14370608</v>
      </c>
      <c r="J838" s="1">
        <v>0</v>
      </c>
      <c r="K838" s="1">
        <v>4620000</v>
      </c>
      <c r="L838" s="1">
        <v>0</v>
      </c>
      <c r="M838" s="1">
        <v>400000</v>
      </c>
      <c r="N838" s="1">
        <v>2490013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8130337</v>
      </c>
      <c r="W838" s="1">
        <v>1100000</v>
      </c>
      <c r="X838" s="1">
        <v>1980923</v>
      </c>
      <c r="Y838" s="1">
        <v>0</v>
      </c>
      <c r="Z838" s="1">
        <v>0</v>
      </c>
      <c r="AA838" s="1">
        <v>0</v>
      </c>
      <c r="AB838" s="1">
        <v>0</v>
      </c>
      <c r="AC838" s="1">
        <v>1092576</v>
      </c>
      <c r="AD838" s="1">
        <v>0</v>
      </c>
      <c r="AE838" s="1">
        <v>1778581</v>
      </c>
      <c r="AF838" s="1">
        <v>2222538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9297588</v>
      </c>
      <c r="AM838" s="1">
        <v>0</v>
      </c>
      <c r="AN838" s="1">
        <v>78317367</v>
      </c>
      <c r="AO838" s="1">
        <v>17240305</v>
      </c>
      <c r="AP838" s="1">
        <v>61077062</v>
      </c>
      <c r="AQ838" s="1">
        <v>15218966</v>
      </c>
      <c r="AR838" s="1">
        <v>2282845</v>
      </c>
      <c r="AS838" s="1">
        <v>0</v>
      </c>
      <c r="AT838" s="1">
        <f t="shared" si="91"/>
        <v>95819178</v>
      </c>
    </row>
    <row r="839" spans="1:46">
      <c r="A839" s="1" t="str">
        <f>"00948"</f>
        <v>00948</v>
      </c>
      <c r="B839" s="1" t="str">
        <f>"سعيد"</f>
        <v>سعيد</v>
      </c>
      <c r="C839" s="1" t="str">
        <f>"زارعي"</f>
        <v>زارعي</v>
      </c>
      <c r="D839" s="1" t="str">
        <f t="shared" ref="D839:D872" si="92">"قراردادي بهره بردار"</f>
        <v>قراردادي بهره بردار</v>
      </c>
      <c r="E839" s="1" t="str">
        <f t="shared" ref="E839:E872" si="93">"پروژه بهره برداري نيروگاه بوشهر"</f>
        <v>پروژه بهره برداري نيروگاه بوشهر</v>
      </c>
      <c r="F839" s="1">
        <v>11957151</v>
      </c>
      <c r="G839" s="1">
        <v>22772715</v>
      </c>
      <c r="H839" s="1">
        <v>0</v>
      </c>
      <c r="I839" s="1">
        <v>11299012</v>
      </c>
      <c r="J839" s="1">
        <v>0</v>
      </c>
      <c r="K839" s="1">
        <v>3465000</v>
      </c>
      <c r="L839" s="1">
        <v>0</v>
      </c>
      <c r="M839" s="1">
        <v>400000</v>
      </c>
      <c r="N839" s="1">
        <v>2291511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1270000</v>
      </c>
      <c r="U839" s="1">
        <v>0</v>
      </c>
      <c r="V839" s="1">
        <v>6322096</v>
      </c>
      <c r="W839" s="1">
        <v>1100000</v>
      </c>
      <c r="X839" s="1">
        <v>1793573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1636794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6533375</v>
      </c>
      <c r="AM839" s="1">
        <v>0</v>
      </c>
      <c r="AN839" s="1">
        <v>70841227</v>
      </c>
      <c r="AO839" s="1">
        <v>13750094</v>
      </c>
      <c r="AP839" s="1">
        <v>57091133</v>
      </c>
      <c r="AQ839" s="1">
        <v>13914245</v>
      </c>
      <c r="AR839" s="1">
        <v>2087137</v>
      </c>
      <c r="AS839" s="1">
        <v>0</v>
      </c>
      <c r="AT839" s="1">
        <f t="shared" si="91"/>
        <v>86842609</v>
      </c>
    </row>
    <row r="840" spans="1:46">
      <c r="A840" s="1" t="str">
        <f>"00949"</f>
        <v>00949</v>
      </c>
      <c r="B840" s="1" t="str">
        <f>"رضا"</f>
        <v>رضا</v>
      </c>
      <c r="C840" s="1" t="str">
        <f>"زبردست"</f>
        <v>زبردست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11624954</v>
      </c>
      <c r="G840" s="1">
        <v>21494910</v>
      </c>
      <c r="H840" s="1">
        <v>0</v>
      </c>
      <c r="I840" s="1">
        <v>12450974</v>
      </c>
      <c r="J840" s="1">
        <v>0</v>
      </c>
      <c r="K840" s="1">
        <v>3465000</v>
      </c>
      <c r="L840" s="1">
        <v>0</v>
      </c>
      <c r="M840" s="1">
        <v>400000</v>
      </c>
      <c r="N840" s="1">
        <v>2192624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6868903</v>
      </c>
      <c r="W840" s="1">
        <v>1100000</v>
      </c>
      <c r="X840" s="1">
        <v>1743743</v>
      </c>
      <c r="Y840" s="1">
        <v>0</v>
      </c>
      <c r="Z840" s="1">
        <v>0</v>
      </c>
      <c r="AA840" s="1">
        <v>0</v>
      </c>
      <c r="AB840" s="1">
        <v>0</v>
      </c>
      <c r="AC840" s="1">
        <v>1108528</v>
      </c>
      <c r="AD840" s="1">
        <v>0</v>
      </c>
      <c r="AE840" s="1">
        <v>1566160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8185967</v>
      </c>
      <c r="AM840" s="1">
        <v>0</v>
      </c>
      <c r="AN840" s="1">
        <v>72201763</v>
      </c>
      <c r="AO840" s="1">
        <v>13970015</v>
      </c>
      <c r="AP840" s="1">
        <v>58231748</v>
      </c>
      <c r="AQ840" s="1">
        <v>14440353</v>
      </c>
      <c r="AR840" s="1">
        <v>2166053</v>
      </c>
      <c r="AS840" s="1">
        <v>0</v>
      </c>
      <c r="AT840" s="1">
        <f t="shared" si="91"/>
        <v>88808169</v>
      </c>
    </row>
    <row r="841" spans="1:46">
      <c r="A841" s="1" t="str">
        <f>"00950"</f>
        <v>00950</v>
      </c>
      <c r="B841" s="1" t="str">
        <f>"قاسم"</f>
        <v>قاسم</v>
      </c>
      <c r="C841" s="1" t="str">
        <f>"زنده بودي"</f>
        <v>زنده بودي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9641505</v>
      </c>
      <c r="G841" s="1">
        <v>11480947</v>
      </c>
      <c r="H841" s="1">
        <v>0</v>
      </c>
      <c r="I841" s="1">
        <v>8796152</v>
      </c>
      <c r="J841" s="1">
        <v>0</v>
      </c>
      <c r="K841" s="1">
        <v>4620000</v>
      </c>
      <c r="L841" s="1">
        <v>0</v>
      </c>
      <c r="M841" s="1">
        <v>400000</v>
      </c>
      <c r="N841" s="1">
        <v>1646685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1270000</v>
      </c>
      <c r="U841" s="1">
        <v>0</v>
      </c>
      <c r="V841" s="1">
        <v>5121097</v>
      </c>
      <c r="W841" s="1">
        <v>1100000</v>
      </c>
      <c r="X841" s="1">
        <v>1446226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1176204</v>
      </c>
      <c r="AF841" s="1">
        <v>1111269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6421063</v>
      </c>
      <c r="AM841" s="1">
        <v>0</v>
      </c>
      <c r="AN841" s="1">
        <v>54231148</v>
      </c>
      <c r="AO841" s="1">
        <v>7150037</v>
      </c>
      <c r="AP841" s="1">
        <v>47081111</v>
      </c>
      <c r="AQ841" s="1">
        <v>10369976</v>
      </c>
      <c r="AR841" s="1">
        <v>1555496</v>
      </c>
      <c r="AS841" s="1">
        <v>0</v>
      </c>
      <c r="AT841" s="1">
        <f t="shared" si="91"/>
        <v>66156620</v>
      </c>
    </row>
    <row r="842" spans="1:46">
      <c r="A842" s="1" t="str">
        <f>"00951"</f>
        <v>00951</v>
      </c>
      <c r="B842" s="1" t="str">
        <f>"شهرام"</f>
        <v>شهرام</v>
      </c>
      <c r="C842" s="1" t="str">
        <f>"زنگنه"</f>
        <v>زنگنه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12523868</v>
      </c>
      <c r="G842" s="1">
        <v>16080351</v>
      </c>
      <c r="H842" s="1">
        <v>0</v>
      </c>
      <c r="I842" s="1">
        <v>12902144</v>
      </c>
      <c r="J842" s="1">
        <v>0</v>
      </c>
      <c r="K842" s="1">
        <v>4620000</v>
      </c>
      <c r="L842" s="1">
        <v>0</v>
      </c>
      <c r="M842" s="1">
        <v>400000</v>
      </c>
      <c r="N842" s="1">
        <v>2422563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7416514</v>
      </c>
      <c r="W842" s="1">
        <v>1100000</v>
      </c>
      <c r="X842" s="1">
        <v>1878580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1730403</v>
      </c>
      <c r="AF842" s="1">
        <v>3333807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8948367</v>
      </c>
      <c r="AM842" s="1">
        <v>0</v>
      </c>
      <c r="AN842" s="1">
        <v>73356597</v>
      </c>
      <c r="AO842" s="1">
        <v>15584477</v>
      </c>
      <c r="AP842" s="1">
        <v>57772120</v>
      </c>
      <c r="AQ842" s="1">
        <v>14004558</v>
      </c>
      <c r="AR842" s="1">
        <v>2100684</v>
      </c>
      <c r="AS842" s="1">
        <v>0</v>
      </c>
      <c r="AT842" s="1">
        <f t="shared" si="91"/>
        <v>89461839</v>
      </c>
    </row>
    <row r="843" spans="1:46">
      <c r="A843" s="1" t="str">
        <f>"00952"</f>
        <v>00952</v>
      </c>
      <c r="B843" s="1" t="str">
        <f>"علي"</f>
        <v>علي</v>
      </c>
      <c r="C843" s="1" t="str">
        <f>"ساعي"</f>
        <v>ساعي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20288130</v>
      </c>
      <c r="G843" s="1">
        <v>17897002</v>
      </c>
      <c r="H843" s="1">
        <v>0</v>
      </c>
      <c r="I843" s="1">
        <v>18476709</v>
      </c>
      <c r="J843" s="1">
        <v>0</v>
      </c>
      <c r="K843" s="1">
        <v>0</v>
      </c>
      <c r="L843" s="1">
        <v>0</v>
      </c>
      <c r="M843" s="1">
        <v>400000</v>
      </c>
      <c r="N843" s="1">
        <v>3268653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10593313</v>
      </c>
      <c r="W843" s="1">
        <v>1100000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2334752</v>
      </c>
      <c r="AF843" s="1">
        <v>1111269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4902980</v>
      </c>
      <c r="AM843" s="1">
        <v>0</v>
      </c>
      <c r="AN843" s="1">
        <v>80372808</v>
      </c>
      <c r="AO843" s="1">
        <v>17482994</v>
      </c>
      <c r="AP843" s="1">
        <v>62889814</v>
      </c>
      <c r="AQ843" s="1">
        <v>15557766</v>
      </c>
      <c r="AR843" s="1">
        <v>2333665</v>
      </c>
      <c r="AS843" s="1">
        <v>0</v>
      </c>
      <c r="AT843" s="1">
        <f t="shared" si="91"/>
        <v>98264239</v>
      </c>
    </row>
    <row r="844" spans="1:46">
      <c r="A844" s="1" t="str">
        <f>"00953"</f>
        <v>00953</v>
      </c>
      <c r="B844" s="1" t="str">
        <f>"علي اکبر"</f>
        <v>علي اکبر</v>
      </c>
      <c r="C844" s="1" t="str">
        <f>"سلماني مشکاني"</f>
        <v>سلماني مشکاني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13782915</v>
      </c>
      <c r="G844" s="1">
        <v>5816242</v>
      </c>
      <c r="H844" s="1">
        <v>0</v>
      </c>
      <c r="I844" s="1">
        <v>13950526</v>
      </c>
      <c r="J844" s="1">
        <v>0</v>
      </c>
      <c r="K844" s="1">
        <v>4620000</v>
      </c>
      <c r="L844" s="1">
        <v>0</v>
      </c>
      <c r="M844" s="1">
        <v>400000</v>
      </c>
      <c r="N844" s="1">
        <v>2640069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3625709</v>
      </c>
      <c r="W844" s="1">
        <v>1100000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1885763</v>
      </c>
      <c r="AF844" s="1">
        <v>2222538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3997818</v>
      </c>
      <c r="AM844" s="1">
        <v>0</v>
      </c>
      <c r="AN844" s="1">
        <v>54041580</v>
      </c>
      <c r="AO844" s="1">
        <v>12038849</v>
      </c>
      <c r="AP844" s="1">
        <v>42002731</v>
      </c>
      <c r="AQ844" s="1">
        <v>10363808</v>
      </c>
      <c r="AR844" s="1">
        <v>1554571</v>
      </c>
      <c r="AS844" s="1">
        <v>0</v>
      </c>
      <c r="AT844" s="1">
        <f t="shared" si="91"/>
        <v>65959959</v>
      </c>
    </row>
    <row r="845" spans="1:46">
      <c r="A845" s="1" t="str">
        <f>"00954"</f>
        <v>00954</v>
      </c>
      <c r="B845" s="1" t="str">
        <f>"کامران"</f>
        <v>کامران</v>
      </c>
      <c r="C845" s="1" t="str">
        <f>"صادقي"</f>
        <v>صادقي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13185913</v>
      </c>
      <c r="G845" s="1">
        <v>15456841</v>
      </c>
      <c r="H845" s="1">
        <v>0</v>
      </c>
      <c r="I845" s="1">
        <v>12533816</v>
      </c>
      <c r="J845" s="1">
        <v>0</v>
      </c>
      <c r="K845" s="1">
        <v>0</v>
      </c>
      <c r="L845" s="1">
        <v>0</v>
      </c>
      <c r="M845" s="1">
        <v>400000</v>
      </c>
      <c r="N845" s="1">
        <v>2452653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1270000</v>
      </c>
      <c r="U845" s="1">
        <v>0</v>
      </c>
      <c r="V845" s="1">
        <v>7128942</v>
      </c>
      <c r="W845" s="1">
        <v>1100000</v>
      </c>
      <c r="X845" s="1">
        <v>1977887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1751895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7109184</v>
      </c>
      <c r="AM845" s="1">
        <v>0</v>
      </c>
      <c r="AN845" s="1">
        <v>65478400</v>
      </c>
      <c r="AO845" s="1">
        <v>16085438</v>
      </c>
      <c r="AP845" s="1">
        <v>49392962</v>
      </c>
      <c r="AQ845" s="1">
        <v>12619426</v>
      </c>
      <c r="AR845" s="1">
        <v>1892914</v>
      </c>
      <c r="AS845" s="1">
        <v>0</v>
      </c>
      <c r="AT845" s="1">
        <f t="shared" si="91"/>
        <v>79990740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11432023</v>
      </c>
      <c r="G846" s="1">
        <v>21963555</v>
      </c>
      <c r="H846" s="1">
        <v>0</v>
      </c>
      <c r="I846" s="1">
        <v>12159703</v>
      </c>
      <c r="J846" s="1">
        <v>0</v>
      </c>
      <c r="K846" s="1">
        <v>4620000</v>
      </c>
      <c r="L846" s="1">
        <v>0</v>
      </c>
      <c r="M846" s="1">
        <v>400000</v>
      </c>
      <c r="N846" s="1">
        <v>2120845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6717863</v>
      </c>
      <c r="W846" s="1">
        <v>1100000</v>
      </c>
      <c r="X846" s="1">
        <v>1714803</v>
      </c>
      <c r="Y846" s="1">
        <v>0</v>
      </c>
      <c r="Z846" s="1">
        <v>0</v>
      </c>
      <c r="AA846" s="1">
        <v>0</v>
      </c>
      <c r="AB846" s="1">
        <v>0</v>
      </c>
      <c r="AC846" s="1">
        <v>1111041</v>
      </c>
      <c r="AD846" s="1">
        <v>0</v>
      </c>
      <c r="AE846" s="1">
        <v>1514889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7974274</v>
      </c>
      <c r="AM846" s="1">
        <v>0</v>
      </c>
      <c r="AN846" s="1">
        <v>74098996</v>
      </c>
      <c r="AO846" s="1">
        <v>21519150</v>
      </c>
      <c r="AP846" s="1">
        <v>52579846</v>
      </c>
      <c r="AQ846" s="1">
        <v>14565799</v>
      </c>
      <c r="AR846" s="1">
        <v>2184870</v>
      </c>
      <c r="AS846" s="1">
        <v>0</v>
      </c>
      <c r="AT846" s="1">
        <f t="shared" si="91"/>
        <v>90849665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12120587</v>
      </c>
      <c r="G847" s="1">
        <v>15648574</v>
      </c>
      <c r="H847" s="1">
        <v>0</v>
      </c>
      <c r="I847" s="1">
        <v>12755449</v>
      </c>
      <c r="J847" s="1">
        <v>0</v>
      </c>
      <c r="K847" s="1">
        <v>4620000</v>
      </c>
      <c r="L847" s="1">
        <v>0</v>
      </c>
      <c r="M847" s="1">
        <v>400000</v>
      </c>
      <c r="N847" s="1">
        <v>2369239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7059507</v>
      </c>
      <c r="W847" s="1">
        <v>1100000</v>
      </c>
      <c r="X847" s="1">
        <v>1818088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1692314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8713116</v>
      </c>
      <c r="AM847" s="1">
        <v>0</v>
      </c>
      <c r="AN847" s="1">
        <v>69566874</v>
      </c>
      <c r="AO847" s="1">
        <v>11426879</v>
      </c>
      <c r="AP847" s="1">
        <v>58139995</v>
      </c>
      <c r="AQ847" s="1">
        <v>13659375</v>
      </c>
      <c r="AR847" s="1">
        <v>2048906</v>
      </c>
      <c r="AS847" s="1">
        <v>0</v>
      </c>
      <c r="AT847" s="1">
        <f t="shared" si="91"/>
        <v>85275155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10199440</v>
      </c>
      <c r="G848" s="1">
        <v>15005036</v>
      </c>
      <c r="H848" s="1">
        <v>0</v>
      </c>
      <c r="I848" s="1">
        <v>9538420</v>
      </c>
      <c r="J848" s="1">
        <v>0</v>
      </c>
      <c r="K848" s="1">
        <v>0</v>
      </c>
      <c r="L848" s="1">
        <v>0</v>
      </c>
      <c r="M848" s="1">
        <v>400000</v>
      </c>
      <c r="N848" s="1">
        <v>1851926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5539054</v>
      </c>
      <c r="W848" s="1">
        <v>1100000</v>
      </c>
      <c r="X848" s="1">
        <v>1529916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1322804</v>
      </c>
      <c r="AF848" s="1">
        <v>1111269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7028244</v>
      </c>
      <c r="AM848" s="1">
        <v>0</v>
      </c>
      <c r="AN848" s="1">
        <v>55896109</v>
      </c>
      <c r="AO848" s="1">
        <v>12945121</v>
      </c>
      <c r="AP848" s="1">
        <v>42950988</v>
      </c>
      <c r="AQ848" s="1">
        <v>10702968</v>
      </c>
      <c r="AR848" s="1">
        <v>1605445</v>
      </c>
      <c r="AS848" s="1">
        <v>0</v>
      </c>
      <c r="AT848" s="1">
        <f t="shared" si="91"/>
        <v>68204522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19761609</v>
      </c>
      <c r="G849" s="1">
        <v>16413396</v>
      </c>
      <c r="H849" s="1">
        <v>0</v>
      </c>
      <c r="I849" s="1">
        <v>17808362</v>
      </c>
      <c r="J849" s="1">
        <v>0</v>
      </c>
      <c r="K849" s="1">
        <v>0</v>
      </c>
      <c r="L849" s="1">
        <v>0</v>
      </c>
      <c r="M849" s="1">
        <v>400000</v>
      </c>
      <c r="N849" s="1">
        <v>3084371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11752295</v>
      </c>
      <c r="W849" s="1">
        <v>1100000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2203122</v>
      </c>
      <c r="AF849" s="1">
        <v>1111269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4626556</v>
      </c>
      <c r="AM849" s="1">
        <v>0</v>
      </c>
      <c r="AN849" s="1">
        <v>79530980</v>
      </c>
      <c r="AO849" s="1">
        <v>15609973</v>
      </c>
      <c r="AP849" s="1">
        <v>63921007</v>
      </c>
      <c r="AQ849" s="1">
        <v>15429942</v>
      </c>
      <c r="AR849" s="1">
        <v>2314491</v>
      </c>
      <c r="AS849" s="1">
        <v>0</v>
      </c>
      <c r="AT849" s="1">
        <f t="shared" si="91"/>
        <v>97275413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19723872</v>
      </c>
      <c r="G850" s="1">
        <v>24515817</v>
      </c>
      <c r="H850" s="1">
        <v>0</v>
      </c>
      <c r="I850" s="1">
        <v>19950002</v>
      </c>
      <c r="J850" s="1">
        <v>0</v>
      </c>
      <c r="K850" s="1">
        <v>5500000</v>
      </c>
      <c r="L850" s="1">
        <v>0</v>
      </c>
      <c r="M850" s="1">
        <v>400000</v>
      </c>
      <c r="N850" s="1">
        <v>3071163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11059767</v>
      </c>
      <c r="W850" s="1">
        <v>1100000</v>
      </c>
      <c r="X850" s="1">
        <v>2958581</v>
      </c>
      <c r="Y850" s="1">
        <v>0</v>
      </c>
      <c r="Z850" s="1">
        <v>0</v>
      </c>
      <c r="AA850" s="1">
        <v>0</v>
      </c>
      <c r="AB850" s="1">
        <v>0</v>
      </c>
      <c r="AC850" s="1">
        <v>2425950</v>
      </c>
      <c r="AD850" s="1">
        <v>0</v>
      </c>
      <c r="AE850" s="1">
        <v>2193688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11620750</v>
      </c>
      <c r="AM850" s="1">
        <v>0</v>
      </c>
      <c r="AN850" s="1">
        <v>108012128</v>
      </c>
      <c r="AO850" s="1">
        <v>20663650</v>
      </c>
      <c r="AP850" s="1">
        <v>87348478</v>
      </c>
      <c r="AQ850" s="1">
        <v>15557766</v>
      </c>
      <c r="AR850" s="1">
        <v>2333665</v>
      </c>
      <c r="AS850" s="1">
        <v>0</v>
      </c>
      <c r="AT850" s="1">
        <f t="shared" si="91"/>
        <v>125903559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11097682</v>
      </c>
      <c r="G851" s="1">
        <v>13674608</v>
      </c>
      <c r="H851" s="1">
        <v>0</v>
      </c>
      <c r="I851" s="1">
        <v>10881028</v>
      </c>
      <c r="J851" s="1">
        <v>0</v>
      </c>
      <c r="K851" s="1">
        <v>4620000</v>
      </c>
      <c r="L851" s="1">
        <v>0</v>
      </c>
      <c r="M851" s="1">
        <v>400000</v>
      </c>
      <c r="N851" s="1">
        <v>1986629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6099584</v>
      </c>
      <c r="W851" s="1">
        <v>1100000</v>
      </c>
      <c r="X851" s="1">
        <v>1664652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1419021</v>
      </c>
      <c r="AF851" s="1">
        <v>2222538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7586366</v>
      </c>
      <c r="AM851" s="1">
        <v>0</v>
      </c>
      <c r="AN851" s="1">
        <v>64022108</v>
      </c>
      <c r="AO851" s="1">
        <v>11703085</v>
      </c>
      <c r="AP851" s="1">
        <v>52319023</v>
      </c>
      <c r="AQ851" s="1">
        <v>12105914</v>
      </c>
      <c r="AR851" s="1">
        <v>1815887</v>
      </c>
      <c r="AS851" s="1">
        <v>0</v>
      </c>
      <c r="AT851" s="1">
        <f t="shared" si="91"/>
        <v>77943909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11121098</v>
      </c>
      <c r="G852" s="1">
        <v>14691184</v>
      </c>
      <c r="H852" s="1">
        <v>0</v>
      </c>
      <c r="I852" s="1">
        <v>10345343</v>
      </c>
      <c r="J852" s="1">
        <v>0</v>
      </c>
      <c r="K852" s="1">
        <v>4620000</v>
      </c>
      <c r="L852" s="1">
        <v>0</v>
      </c>
      <c r="M852" s="1">
        <v>400000</v>
      </c>
      <c r="N852" s="1">
        <v>1993345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6254592</v>
      </c>
      <c r="W852" s="1">
        <v>1100000</v>
      </c>
      <c r="X852" s="1">
        <v>1668165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1423818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7607783</v>
      </c>
      <c r="AM852" s="1">
        <v>0</v>
      </c>
      <c r="AN852" s="1">
        <v>63606597</v>
      </c>
      <c r="AO852" s="1">
        <v>15375766</v>
      </c>
      <c r="AP852" s="1">
        <v>48230831</v>
      </c>
      <c r="AQ852" s="1">
        <v>12245066</v>
      </c>
      <c r="AR852" s="1">
        <v>1836760</v>
      </c>
      <c r="AS852" s="1">
        <v>0</v>
      </c>
      <c r="AT852" s="1">
        <f t="shared" si="91"/>
        <v>77688423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14561091</v>
      </c>
      <c r="G853" s="1">
        <v>19507904</v>
      </c>
      <c r="H853" s="1">
        <v>0</v>
      </c>
      <c r="I853" s="1">
        <v>16376594</v>
      </c>
      <c r="J853" s="1">
        <v>0</v>
      </c>
      <c r="K853" s="1">
        <v>4620000</v>
      </c>
      <c r="L853" s="1">
        <v>0</v>
      </c>
      <c r="M853" s="1">
        <v>400000</v>
      </c>
      <c r="N853" s="1">
        <v>2964241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8997356</v>
      </c>
      <c r="W853" s="1">
        <v>1100000</v>
      </c>
      <c r="X853" s="1">
        <v>2184164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2117315</v>
      </c>
      <c r="AF853" s="1">
        <v>2222538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10720273</v>
      </c>
      <c r="AM853" s="1">
        <v>0</v>
      </c>
      <c r="AN853" s="1">
        <v>87041476</v>
      </c>
      <c r="AO853" s="1">
        <v>19680848</v>
      </c>
      <c r="AP853" s="1">
        <v>67360628</v>
      </c>
      <c r="AQ853" s="1">
        <v>15557766</v>
      </c>
      <c r="AR853" s="1">
        <v>2333665</v>
      </c>
      <c r="AS853" s="1">
        <v>0</v>
      </c>
      <c r="AT853" s="1">
        <f t="shared" si="91"/>
        <v>104932907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13328898</v>
      </c>
      <c r="G854" s="1">
        <v>16704676</v>
      </c>
      <c r="H854" s="1">
        <v>0</v>
      </c>
      <c r="I854" s="1">
        <v>13140145</v>
      </c>
      <c r="J854" s="1">
        <v>0</v>
      </c>
      <c r="K854" s="1">
        <v>0</v>
      </c>
      <c r="L854" s="1">
        <v>0</v>
      </c>
      <c r="M854" s="1">
        <v>400000</v>
      </c>
      <c r="N854" s="1">
        <v>2521034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7535944</v>
      </c>
      <c r="W854" s="1">
        <v>1100000</v>
      </c>
      <c r="X854" s="1">
        <v>1999335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1800738</v>
      </c>
      <c r="AF854" s="1">
        <v>1111269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9400886</v>
      </c>
      <c r="AM854" s="1">
        <v>0</v>
      </c>
      <c r="AN854" s="1">
        <v>70312925</v>
      </c>
      <c r="AO854" s="1">
        <v>16233275</v>
      </c>
      <c r="AP854" s="1">
        <v>54079650</v>
      </c>
      <c r="AQ854" s="1">
        <v>13586331</v>
      </c>
      <c r="AR854" s="1">
        <v>2037950</v>
      </c>
      <c r="AS854" s="1">
        <v>0</v>
      </c>
      <c r="AT854" s="1">
        <f t="shared" si="91"/>
        <v>85937206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14291541</v>
      </c>
      <c r="G855" s="1">
        <v>18408103</v>
      </c>
      <c r="H855" s="1">
        <v>0</v>
      </c>
      <c r="I855" s="1">
        <v>14455856</v>
      </c>
      <c r="J855" s="1">
        <v>0</v>
      </c>
      <c r="K855" s="1">
        <v>4620000</v>
      </c>
      <c r="L855" s="1">
        <v>0</v>
      </c>
      <c r="M855" s="1">
        <v>400000</v>
      </c>
      <c r="N855" s="1">
        <v>2869899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1270000</v>
      </c>
      <c r="U855" s="1">
        <v>0</v>
      </c>
      <c r="V855" s="1">
        <v>8490110</v>
      </c>
      <c r="W855" s="1">
        <v>1100000</v>
      </c>
      <c r="X855" s="1">
        <v>2143731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2049928</v>
      </c>
      <c r="AF855" s="1">
        <v>1111269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10437245</v>
      </c>
      <c r="AM855" s="1">
        <v>0</v>
      </c>
      <c r="AN855" s="1">
        <v>81647682</v>
      </c>
      <c r="AO855" s="1">
        <v>17088630</v>
      </c>
      <c r="AP855" s="1">
        <v>64559052</v>
      </c>
      <c r="AQ855" s="1">
        <v>15557766</v>
      </c>
      <c r="AR855" s="1">
        <v>2333665</v>
      </c>
      <c r="AS855" s="1">
        <v>0</v>
      </c>
      <c r="AT855" s="1">
        <f t="shared" si="91"/>
        <v>99539113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13761983</v>
      </c>
      <c r="G856" s="1">
        <v>24311714</v>
      </c>
      <c r="H856" s="1">
        <v>0</v>
      </c>
      <c r="I856" s="1">
        <v>12946055</v>
      </c>
      <c r="J856" s="1">
        <v>0</v>
      </c>
      <c r="K856" s="1">
        <v>4620000</v>
      </c>
      <c r="L856" s="1">
        <v>0</v>
      </c>
      <c r="M856" s="1">
        <v>400000</v>
      </c>
      <c r="N856" s="1">
        <v>2665364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7475300</v>
      </c>
      <c r="W856" s="1">
        <v>1100000</v>
      </c>
      <c r="X856" s="1">
        <v>2064297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1903832</v>
      </c>
      <c r="AF856" s="1">
        <v>1111269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7555492</v>
      </c>
      <c r="AM856" s="1">
        <v>0</v>
      </c>
      <c r="AN856" s="1">
        <v>79915306</v>
      </c>
      <c r="AO856" s="1">
        <v>14835035</v>
      </c>
      <c r="AP856" s="1">
        <v>65080271</v>
      </c>
      <c r="AQ856" s="1">
        <v>15557766</v>
      </c>
      <c r="AR856" s="1">
        <v>2333665</v>
      </c>
      <c r="AS856" s="1">
        <v>0</v>
      </c>
      <c r="AT856" s="1">
        <f t="shared" si="91"/>
        <v>97806737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18458784</v>
      </c>
      <c r="G857" s="1">
        <v>23987030</v>
      </c>
      <c r="H857" s="1">
        <v>0</v>
      </c>
      <c r="I857" s="1">
        <v>19285022</v>
      </c>
      <c r="J857" s="1">
        <v>0</v>
      </c>
      <c r="K857" s="1">
        <v>0</v>
      </c>
      <c r="L857" s="1">
        <v>0</v>
      </c>
      <c r="M857" s="1">
        <v>400000</v>
      </c>
      <c r="N857" s="1">
        <v>2828388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9482743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2425950</v>
      </c>
      <c r="AD857" s="1">
        <v>0</v>
      </c>
      <c r="AE857" s="1">
        <v>2020277</v>
      </c>
      <c r="AF857" s="1">
        <v>3333807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4242582</v>
      </c>
      <c r="AM857" s="1">
        <v>0</v>
      </c>
      <c r="AN857" s="1">
        <v>88834583</v>
      </c>
      <c r="AO857" s="1">
        <v>21357806</v>
      </c>
      <c r="AP857" s="1">
        <v>67476777</v>
      </c>
      <c r="AQ857" s="1">
        <v>15557766</v>
      </c>
      <c r="AR857" s="1">
        <v>2333665</v>
      </c>
      <c r="AS857" s="1">
        <v>0</v>
      </c>
      <c r="AT857" s="1">
        <f t="shared" si="91"/>
        <v>106726014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11375824</v>
      </c>
      <c r="G858" s="1">
        <v>14354552</v>
      </c>
      <c r="H858" s="1">
        <v>0</v>
      </c>
      <c r="I858" s="1">
        <v>10781697</v>
      </c>
      <c r="J858" s="1">
        <v>0</v>
      </c>
      <c r="K858" s="1">
        <v>4620000</v>
      </c>
      <c r="L858" s="1">
        <v>0</v>
      </c>
      <c r="M858" s="1">
        <v>400000</v>
      </c>
      <c r="N858" s="1">
        <v>2092300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6475738</v>
      </c>
      <c r="W858" s="1">
        <v>1100000</v>
      </c>
      <c r="X858" s="1">
        <v>1706374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1494500</v>
      </c>
      <c r="AF858" s="1">
        <v>1111269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8792948</v>
      </c>
      <c r="AM858" s="1">
        <v>0</v>
      </c>
      <c r="AN858" s="1">
        <v>64305202</v>
      </c>
      <c r="AO858" s="1">
        <v>11170286</v>
      </c>
      <c r="AP858" s="1">
        <v>53134916</v>
      </c>
      <c r="AQ858" s="1">
        <v>12638787</v>
      </c>
      <c r="AR858" s="1">
        <v>1895818</v>
      </c>
      <c r="AS858" s="1">
        <v>0</v>
      </c>
      <c r="AT858" s="1">
        <f t="shared" si="91"/>
        <v>78839807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18401280</v>
      </c>
      <c r="G859" s="1">
        <v>7499961</v>
      </c>
      <c r="H859" s="1">
        <v>0</v>
      </c>
      <c r="I859" s="1">
        <v>16341503</v>
      </c>
      <c r="J859" s="1">
        <v>0</v>
      </c>
      <c r="K859" s="1">
        <v>0</v>
      </c>
      <c r="L859" s="1">
        <v>0</v>
      </c>
      <c r="M859" s="1">
        <v>400000</v>
      </c>
      <c r="N859" s="1">
        <v>2608256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8301844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1863040</v>
      </c>
      <c r="AF859" s="1">
        <v>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3912383</v>
      </c>
      <c r="AM859" s="1">
        <v>0</v>
      </c>
      <c r="AN859" s="1">
        <v>61920805</v>
      </c>
      <c r="AO859" s="1">
        <v>14101609</v>
      </c>
      <c r="AP859" s="1">
        <v>47819196</v>
      </c>
      <c r="AQ859" s="1">
        <v>12085653</v>
      </c>
      <c r="AR859" s="1">
        <v>1812848</v>
      </c>
      <c r="AS859" s="1">
        <v>0</v>
      </c>
      <c r="AT859" s="1">
        <f t="shared" si="91"/>
        <v>75819306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11366439</v>
      </c>
      <c r="G860" s="1">
        <v>14084492</v>
      </c>
      <c r="H860" s="1">
        <v>0</v>
      </c>
      <c r="I860" s="1">
        <v>11066341</v>
      </c>
      <c r="J860" s="1">
        <v>0</v>
      </c>
      <c r="K860" s="1">
        <v>0</v>
      </c>
      <c r="L860" s="1">
        <v>0</v>
      </c>
      <c r="M860" s="1">
        <v>400000</v>
      </c>
      <c r="N860" s="1">
        <v>2085686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6353906</v>
      </c>
      <c r="W860" s="1">
        <v>1100000</v>
      </c>
      <c r="X860" s="1">
        <v>1704966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1489776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7879259</v>
      </c>
      <c r="AM860" s="1">
        <v>0</v>
      </c>
      <c r="AN860" s="1">
        <v>61023403</v>
      </c>
      <c r="AO860" s="1">
        <v>10533595</v>
      </c>
      <c r="AP860" s="1">
        <v>50489808</v>
      </c>
      <c r="AQ860" s="1">
        <v>11506173</v>
      </c>
      <c r="AR860" s="1">
        <v>1725926</v>
      </c>
      <c r="AS860" s="1">
        <v>0</v>
      </c>
      <c r="AT860" s="1">
        <f t="shared" si="91"/>
        <v>74255502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10799993</v>
      </c>
      <c r="G861" s="1">
        <v>27621021</v>
      </c>
      <c r="H861" s="1">
        <v>0</v>
      </c>
      <c r="I861" s="1">
        <v>10908081</v>
      </c>
      <c r="J861" s="1">
        <v>0</v>
      </c>
      <c r="K861" s="1">
        <v>4620000</v>
      </c>
      <c r="L861" s="1">
        <v>0</v>
      </c>
      <c r="M861" s="1">
        <v>400000</v>
      </c>
      <c r="N861" s="1">
        <v>2075900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6096696</v>
      </c>
      <c r="W861" s="1">
        <v>1100000</v>
      </c>
      <c r="X861" s="1">
        <v>1619999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1482786</v>
      </c>
      <c r="AF861" s="1">
        <v>1111269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7688356</v>
      </c>
      <c r="AM861" s="1">
        <v>0</v>
      </c>
      <c r="AN861" s="1">
        <v>75524101</v>
      </c>
      <c r="AO861" s="1">
        <v>11087317</v>
      </c>
      <c r="AP861" s="1">
        <v>64436784</v>
      </c>
      <c r="AQ861" s="1">
        <v>14882566</v>
      </c>
      <c r="AR861" s="1">
        <v>2232385</v>
      </c>
      <c r="AS861" s="1">
        <v>0</v>
      </c>
      <c r="AT861" s="1">
        <f t="shared" si="91"/>
        <v>92639052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20642139</v>
      </c>
      <c r="G862" s="1">
        <v>35420016</v>
      </c>
      <c r="H862" s="1">
        <v>0</v>
      </c>
      <c r="I862" s="1">
        <v>21265667</v>
      </c>
      <c r="J862" s="1">
        <v>0</v>
      </c>
      <c r="K862" s="1">
        <v>5500000</v>
      </c>
      <c r="L862" s="1">
        <v>0</v>
      </c>
      <c r="M862" s="1">
        <v>400000</v>
      </c>
      <c r="N862" s="1">
        <v>3392556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12861269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4447575</v>
      </c>
      <c r="AD862" s="1">
        <v>0</v>
      </c>
      <c r="AE862" s="1">
        <v>2423254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4361858</v>
      </c>
      <c r="AM862" s="1">
        <v>0</v>
      </c>
      <c r="AN862" s="1">
        <v>114036872</v>
      </c>
      <c r="AO862" s="1">
        <v>21432931</v>
      </c>
      <c r="AP862" s="1">
        <v>92603941</v>
      </c>
      <c r="AQ862" s="1">
        <v>15557766</v>
      </c>
      <c r="AR862" s="1">
        <v>2333665</v>
      </c>
      <c r="AS862" s="1">
        <v>0</v>
      </c>
      <c r="AT862" s="1">
        <f t="shared" si="91"/>
        <v>131928303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11912980</v>
      </c>
      <c r="G863" s="1">
        <v>16511926</v>
      </c>
      <c r="H863" s="1">
        <v>0</v>
      </c>
      <c r="I863" s="1">
        <v>12678602</v>
      </c>
      <c r="J863" s="1">
        <v>0</v>
      </c>
      <c r="K863" s="1">
        <v>4620000</v>
      </c>
      <c r="L863" s="1">
        <v>0</v>
      </c>
      <c r="M863" s="1">
        <v>400000</v>
      </c>
      <c r="N863" s="1">
        <v>2299165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7151030</v>
      </c>
      <c r="W863" s="1">
        <v>1100000</v>
      </c>
      <c r="X863" s="1">
        <v>1786947</v>
      </c>
      <c r="Y863" s="1">
        <v>0</v>
      </c>
      <c r="Z863" s="1">
        <v>0</v>
      </c>
      <c r="AA863" s="1">
        <v>0</v>
      </c>
      <c r="AB863" s="1">
        <v>0</v>
      </c>
      <c r="AC863" s="1">
        <v>1105141</v>
      </c>
      <c r="AD863" s="1">
        <v>0</v>
      </c>
      <c r="AE863" s="1">
        <v>1642261</v>
      </c>
      <c r="AF863" s="1">
        <v>2222538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8500676</v>
      </c>
      <c r="AM863" s="1">
        <v>0</v>
      </c>
      <c r="AN863" s="1">
        <v>71931266</v>
      </c>
      <c r="AO863" s="1">
        <v>14425777</v>
      </c>
      <c r="AP863" s="1">
        <v>57505489</v>
      </c>
      <c r="AQ863" s="1">
        <v>13941746</v>
      </c>
      <c r="AR863" s="1">
        <v>2091262</v>
      </c>
      <c r="AS863" s="1">
        <v>0</v>
      </c>
      <c r="AT863" s="1">
        <f t="shared" si="91"/>
        <v>87964274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11750444</v>
      </c>
      <c r="G864" s="1">
        <v>14748128</v>
      </c>
      <c r="H864" s="1">
        <v>0</v>
      </c>
      <c r="I864" s="1">
        <v>11613347</v>
      </c>
      <c r="J864" s="1">
        <v>0</v>
      </c>
      <c r="K864" s="1">
        <v>3465000</v>
      </c>
      <c r="L864" s="1">
        <v>0</v>
      </c>
      <c r="M864" s="1">
        <v>400000</v>
      </c>
      <c r="N864" s="1">
        <v>2228409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6653291</v>
      </c>
      <c r="W864" s="1">
        <v>1100000</v>
      </c>
      <c r="X864" s="1">
        <v>1762567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1591721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8300297</v>
      </c>
      <c r="AM864" s="1">
        <v>0</v>
      </c>
      <c r="AN864" s="1">
        <v>63613204</v>
      </c>
      <c r="AO864" s="1">
        <v>11237205</v>
      </c>
      <c r="AP864" s="1">
        <v>52375999</v>
      </c>
      <c r="AQ864" s="1">
        <v>12722641</v>
      </c>
      <c r="AR864" s="1">
        <v>1908396</v>
      </c>
      <c r="AS864" s="1">
        <v>0</v>
      </c>
      <c r="AT864" s="1">
        <f t="shared" si="91"/>
        <v>78244241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11510389</v>
      </c>
      <c r="G865" s="1">
        <v>14249804</v>
      </c>
      <c r="H865" s="1">
        <v>0</v>
      </c>
      <c r="I865" s="1">
        <v>11147101</v>
      </c>
      <c r="J865" s="1">
        <v>0</v>
      </c>
      <c r="K865" s="1">
        <v>4620000</v>
      </c>
      <c r="L865" s="1">
        <v>0</v>
      </c>
      <c r="M865" s="1">
        <v>400000</v>
      </c>
      <c r="N865" s="1">
        <v>2138103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1270000</v>
      </c>
      <c r="U865" s="1">
        <v>0</v>
      </c>
      <c r="V865" s="1">
        <v>6356151</v>
      </c>
      <c r="W865" s="1">
        <v>1100000</v>
      </c>
      <c r="X865" s="1">
        <v>1726558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1527216</v>
      </c>
      <c r="AF865" s="1">
        <v>2222538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8034766</v>
      </c>
      <c r="AM865" s="1">
        <v>0</v>
      </c>
      <c r="AN865" s="1">
        <v>66302626</v>
      </c>
      <c r="AO865" s="1">
        <v>15285675</v>
      </c>
      <c r="AP865" s="1">
        <v>51016951</v>
      </c>
      <c r="AQ865" s="1">
        <v>12562018</v>
      </c>
      <c r="AR865" s="1">
        <v>1884303</v>
      </c>
      <c r="AS865" s="1">
        <v>0</v>
      </c>
      <c r="AT865" s="1">
        <f t="shared" si="91"/>
        <v>80748947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12659399</v>
      </c>
      <c r="G866" s="1">
        <v>19519049</v>
      </c>
      <c r="H866" s="1">
        <v>0</v>
      </c>
      <c r="I866" s="1">
        <v>14243953</v>
      </c>
      <c r="J866" s="1">
        <v>0</v>
      </c>
      <c r="K866" s="1">
        <v>4620000</v>
      </c>
      <c r="L866" s="1">
        <v>0</v>
      </c>
      <c r="M866" s="1">
        <v>400000</v>
      </c>
      <c r="N866" s="1">
        <v>2579642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1270000</v>
      </c>
      <c r="U866" s="1">
        <v>0</v>
      </c>
      <c r="V866" s="1">
        <v>7827187</v>
      </c>
      <c r="W866" s="1">
        <v>1100000</v>
      </c>
      <c r="X866" s="1">
        <v>1898910</v>
      </c>
      <c r="Y866" s="1">
        <v>0</v>
      </c>
      <c r="Z866" s="1">
        <v>0</v>
      </c>
      <c r="AA866" s="1">
        <v>0</v>
      </c>
      <c r="AB866" s="1">
        <v>0</v>
      </c>
      <c r="AC866" s="1">
        <v>1093778</v>
      </c>
      <c r="AD866" s="1">
        <v>0</v>
      </c>
      <c r="AE866" s="1">
        <v>1842602</v>
      </c>
      <c r="AF866" s="1">
        <v>1111269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9325626</v>
      </c>
      <c r="AM866" s="1">
        <v>0</v>
      </c>
      <c r="AN866" s="1">
        <v>79491415</v>
      </c>
      <c r="AO866" s="1">
        <v>17307566</v>
      </c>
      <c r="AP866" s="1">
        <v>62183849</v>
      </c>
      <c r="AQ866" s="1">
        <v>15422029</v>
      </c>
      <c r="AR866" s="1">
        <v>2313304</v>
      </c>
      <c r="AS866" s="1">
        <v>0</v>
      </c>
      <c r="AT866" s="1">
        <f t="shared" si="91"/>
        <v>97226748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13829712</v>
      </c>
      <c r="G867" s="1">
        <v>23113701</v>
      </c>
      <c r="H867" s="1">
        <v>0</v>
      </c>
      <c r="I867" s="1">
        <v>15536546</v>
      </c>
      <c r="J867" s="1">
        <v>0</v>
      </c>
      <c r="K867" s="1">
        <v>4620000</v>
      </c>
      <c r="L867" s="1">
        <v>0</v>
      </c>
      <c r="M867" s="1">
        <v>400000</v>
      </c>
      <c r="N867" s="1">
        <v>2708259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8672874</v>
      </c>
      <c r="W867" s="1">
        <v>1100000</v>
      </c>
      <c r="X867" s="1">
        <v>2074457</v>
      </c>
      <c r="Y867" s="1">
        <v>0</v>
      </c>
      <c r="Z867" s="1">
        <v>0</v>
      </c>
      <c r="AA867" s="1">
        <v>0</v>
      </c>
      <c r="AB867" s="1">
        <v>0</v>
      </c>
      <c r="AC867" s="1">
        <v>1092576</v>
      </c>
      <c r="AD867" s="1">
        <v>0</v>
      </c>
      <c r="AE867" s="1">
        <v>1934470</v>
      </c>
      <c r="AF867" s="1">
        <v>1111269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9952326</v>
      </c>
      <c r="AM867" s="1">
        <v>0</v>
      </c>
      <c r="AN867" s="1">
        <v>86146190</v>
      </c>
      <c r="AO867" s="1">
        <v>15576017</v>
      </c>
      <c r="AP867" s="1">
        <v>70570173</v>
      </c>
      <c r="AQ867" s="1">
        <v>15557766</v>
      </c>
      <c r="AR867" s="1">
        <v>2333665</v>
      </c>
      <c r="AS867" s="1">
        <v>0</v>
      </c>
      <c r="AT867" s="1">
        <f t="shared" si="91"/>
        <v>104037621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10835143</v>
      </c>
      <c r="G868" s="1">
        <v>15071839</v>
      </c>
      <c r="H868" s="1">
        <v>0</v>
      </c>
      <c r="I868" s="1">
        <v>9299905</v>
      </c>
      <c r="J868" s="1">
        <v>0</v>
      </c>
      <c r="K868" s="1">
        <v>0</v>
      </c>
      <c r="L868" s="1">
        <v>0</v>
      </c>
      <c r="M868" s="1">
        <v>400000</v>
      </c>
      <c r="N868" s="1">
        <v>1874955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5439460</v>
      </c>
      <c r="W868" s="1">
        <v>1100000</v>
      </c>
      <c r="X868" s="1">
        <v>1625271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1339254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5661200</v>
      </c>
      <c r="AM868" s="1">
        <v>0</v>
      </c>
      <c r="AN868" s="1">
        <v>53917027</v>
      </c>
      <c r="AO868" s="1">
        <v>13975096</v>
      </c>
      <c r="AP868" s="1">
        <v>39941931</v>
      </c>
      <c r="AQ868" s="1">
        <v>10529405</v>
      </c>
      <c r="AR868" s="1">
        <v>1579411</v>
      </c>
      <c r="AS868" s="1">
        <v>0</v>
      </c>
      <c r="AT868" s="1">
        <f t="shared" si="91"/>
        <v>66025843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11484081</v>
      </c>
      <c r="G869" s="1">
        <v>20370383</v>
      </c>
      <c r="H869" s="1">
        <v>0</v>
      </c>
      <c r="I869" s="1">
        <v>11439130</v>
      </c>
      <c r="J869" s="1">
        <v>0</v>
      </c>
      <c r="K869" s="1">
        <v>4620000</v>
      </c>
      <c r="L869" s="1">
        <v>0</v>
      </c>
      <c r="M869" s="1">
        <v>400000</v>
      </c>
      <c r="N869" s="1">
        <v>2135922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1270000</v>
      </c>
      <c r="U869" s="1">
        <v>0</v>
      </c>
      <c r="V869" s="1">
        <v>6608180</v>
      </c>
      <c r="W869" s="1">
        <v>1100000</v>
      </c>
      <c r="X869" s="1">
        <v>1722612</v>
      </c>
      <c r="Y869" s="1">
        <v>0</v>
      </c>
      <c r="Z869" s="1">
        <v>0</v>
      </c>
      <c r="AA869" s="1">
        <v>0</v>
      </c>
      <c r="AB869" s="1">
        <v>0</v>
      </c>
      <c r="AC869" s="1">
        <v>1112898</v>
      </c>
      <c r="AD869" s="1">
        <v>0</v>
      </c>
      <c r="AE869" s="1">
        <v>1525659</v>
      </c>
      <c r="AF869" s="1">
        <v>2222538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8022199</v>
      </c>
      <c r="AM869" s="1">
        <v>0</v>
      </c>
      <c r="AN869" s="1">
        <v>74033602</v>
      </c>
      <c r="AO869" s="1">
        <v>11473409</v>
      </c>
      <c r="AP869" s="1">
        <v>62560193</v>
      </c>
      <c r="AQ869" s="1">
        <v>14108213</v>
      </c>
      <c r="AR869" s="1">
        <v>2116232</v>
      </c>
      <c r="AS869" s="1">
        <v>0</v>
      </c>
      <c r="AT869" s="1">
        <f t="shared" si="91"/>
        <v>90258047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92"/>
        <v>قراردادي بهره بردار</v>
      </c>
      <c r="E870" s="1" t="str">
        <f t="shared" si="93"/>
        <v>پروژه بهره برداري نيروگاه بوشهر</v>
      </c>
      <c r="F870" s="1">
        <v>12664563</v>
      </c>
      <c r="G870" s="1">
        <v>9618946</v>
      </c>
      <c r="H870" s="1">
        <v>0</v>
      </c>
      <c r="I870" s="1">
        <v>11995172</v>
      </c>
      <c r="J870" s="1">
        <v>0</v>
      </c>
      <c r="K870" s="1">
        <v>4620000</v>
      </c>
      <c r="L870" s="1">
        <v>0</v>
      </c>
      <c r="M870" s="1">
        <v>400000</v>
      </c>
      <c r="N870" s="1">
        <v>2438800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6126175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1742000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3832401</v>
      </c>
      <c r="AM870" s="1">
        <v>0</v>
      </c>
      <c r="AN870" s="1">
        <v>56760595</v>
      </c>
      <c r="AO870" s="1">
        <v>9954185</v>
      </c>
      <c r="AP870" s="1">
        <v>46806410</v>
      </c>
      <c r="AQ870" s="1">
        <v>10907611</v>
      </c>
      <c r="AR870" s="1">
        <v>1636142</v>
      </c>
      <c r="AS870" s="1">
        <v>0</v>
      </c>
      <c r="AT870" s="1">
        <f t="shared" si="91"/>
        <v>69304348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92"/>
        <v>قراردادي بهره بردار</v>
      </c>
      <c r="E871" s="1" t="str">
        <f t="shared" si="93"/>
        <v>پروژه بهره برداري نيروگاه بوشهر</v>
      </c>
      <c r="F871" s="1">
        <v>9480752</v>
      </c>
      <c r="G871" s="1">
        <v>4477298</v>
      </c>
      <c r="H871" s="1">
        <v>0</v>
      </c>
      <c r="I871" s="1">
        <v>8534878</v>
      </c>
      <c r="J871" s="1">
        <v>0</v>
      </c>
      <c r="K871" s="1">
        <v>4620000</v>
      </c>
      <c r="L871" s="1">
        <v>0</v>
      </c>
      <c r="M871" s="1">
        <v>400000</v>
      </c>
      <c r="N871" s="1">
        <v>1572157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4055362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1122969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3144313</v>
      </c>
      <c r="AM871" s="1">
        <v>0</v>
      </c>
      <c r="AN871" s="1">
        <v>39777729</v>
      </c>
      <c r="AO871" s="1">
        <v>8432770</v>
      </c>
      <c r="AP871" s="1">
        <v>31344959</v>
      </c>
      <c r="AQ871" s="1">
        <v>7701546</v>
      </c>
      <c r="AR871" s="1">
        <v>1155232</v>
      </c>
      <c r="AS871" s="1">
        <v>0</v>
      </c>
      <c r="AT871" s="1">
        <f t="shared" si="91"/>
        <v>48634507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11956504</v>
      </c>
      <c r="G872" s="1">
        <v>14167181</v>
      </c>
      <c r="H872" s="1">
        <v>0</v>
      </c>
      <c r="I872" s="1">
        <v>10771740</v>
      </c>
      <c r="J872" s="1">
        <v>0</v>
      </c>
      <c r="K872" s="1">
        <v>0</v>
      </c>
      <c r="L872" s="1">
        <v>0</v>
      </c>
      <c r="M872" s="1">
        <v>400000</v>
      </c>
      <c r="N872" s="1">
        <v>1894216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1270000</v>
      </c>
      <c r="U872" s="1">
        <v>0</v>
      </c>
      <c r="V872" s="1">
        <v>3679787</v>
      </c>
      <c r="W872" s="1">
        <v>1100000</v>
      </c>
      <c r="X872" s="1">
        <v>1793476</v>
      </c>
      <c r="Y872" s="1">
        <v>0</v>
      </c>
      <c r="Z872" s="1">
        <v>4055682</v>
      </c>
      <c r="AA872" s="1">
        <v>0</v>
      </c>
      <c r="AB872" s="1">
        <v>0</v>
      </c>
      <c r="AC872" s="1">
        <v>0</v>
      </c>
      <c r="AD872" s="1">
        <v>0</v>
      </c>
      <c r="AE872" s="1">
        <v>1353012</v>
      </c>
      <c r="AF872" s="1">
        <v>2222538</v>
      </c>
      <c r="AG872" s="1">
        <v>3176415</v>
      </c>
      <c r="AH872" s="1">
        <v>0</v>
      </c>
      <c r="AI872" s="1">
        <v>0</v>
      </c>
      <c r="AJ872" s="1">
        <v>0</v>
      </c>
      <c r="AK872" s="1">
        <v>0</v>
      </c>
      <c r="AL872" s="1">
        <v>7645986</v>
      </c>
      <c r="AM872" s="1">
        <v>0</v>
      </c>
      <c r="AN872" s="1">
        <v>65486537</v>
      </c>
      <c r="AO872" s="1">
        <v>6504163</v>
      </c>
      <c r="AP872" s="1">
        <v>58982374</v>
      </c>
      <c r="AQ872" s="1">
        <v>11587663</v>
      </c>
      <c r="AR872" s="1">
        <v>1738150</v>
      </c>
      <c r="AS872" s="1">
        <v>2650000</v>
      </c>
      <c r="AT872" s="1">
        <f t="shared" si="91"/>
        <v>81462350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7440430</v>
      </c>
      <c r="G873" s="1">
        <v>5200936</v>
      </c>
      <c r="H873" s="1">
        <v>0</v>
      </c>
      <c r="I873" s="1">
        <v>5803536</v>
      </c>
      <c r="J873" s="1">
        <v>0</v>
      </c>
      <c r="K873" s="1">
        <v>0</v>
      </c>
      <c r="L873" s="1">
        <v>3620700</v>
      </c>
      <c r="M873" s="1">
        <v>400000</v>
      </c>
      <c r="N873" s="1">
        <v>3916016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2228068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2222538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31932224</v>
      </c>
      <c r="AO873" s="1">
        <v>6745268</v>
      </c>
      <c r="AP873" s="1">
        <v>25186956</v>
      </c>
      <c r="AQ873" s="1">
        <v>5941937</v>
      </c>
      <c r="AR873" s="1">
        <v>891291</v>
      </c>
      <c r="AS873" s="1">
        <v>0</v>
      </c>
      <c r="AT873" s="1">
        <f t="shared" si="91"/>
        <v>38765452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5523882</v>
      </c>
      <c r="G874" s="1">
        <v>5943191</v>
      </c>
      <c r="H874" s="1">
        <v>0</v>
      </c>
      <c r="I874" s="1">
        <v>3314329</v>
      </c>
      <c r="J874" s="1">
        <v>0</v>
      </c>
      <c r="K874" s="1">
        <v>0</v>
      </c>
      <c r="L874" s="1">
        <v>3620700</v>
      </c>
      <c r="M874" s="1">
        <v>400000</v>
      </c>
      <c r="N874" s="1">
        <v>2946070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3550046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1111269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27509487</v>
      </c>
      <c r="AO874" s="1">
        <v>5144541</v>
      </c>
      <c r="AP874" s="1">
        <v>22364946</v>
      </c>
      <c r="AQ874" s="1">
        <v>5279644</v>
      </c>
      <c r="AR874" s="1">
        <v>791947</v>
      </c>
      <c r="AS874" s="1">
        <v>795000</v>
      </c>
      <c r="AT874" s="1">
        <f t="shared" si="91"/>
        <v>34376078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4427188</v>
      </c>
      <c r="G875" s="1">
        <v>4271147</v>
      </c>
      <c r="H875" s="1">
        <v>0</v>
      </c>
      <c r="I875" s="1">
        <v>2744857</v>
      </c>
      <c r="J875" s="1">
        <v>0</v>
      </c>
      <c r="K875" s="1">
        <v>0</v>
      </c>
      <c r="L875" s="1">
        <v>5675700</v>
      </c>
      <c r="M875" s="1">
        <v>400000</v>
      </c>
      <c r="N875" s="1">
        <v>2184467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5166317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3333807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29303483</v>
      </c>
      <c r="AO875" s="1">
        <v>2326286</v>
      </c>
      <c r="AP875" s="1">
        <v>26977197</v>
      </c>
      <c r="AQ875" s="1">
        <v>5193935</v>
      </c>
      <c r="AR875" s="1">
        <v>779090</v>
      </c>
      <c r="AS875" s="1">
        <v>0</v>
      </c>
      <c r="AT875" s="1">
        <f t="shared" si="91"/>
        <v>35276508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23129187</v>
      </c>
      <c r="G876" s="1">
        <v>22423610</v>
      </c>
      <c r="H876" s="1">
        <v>0</v>
      </c>
      <c r="I876" s="1">
        <v>18136519</v>
      </c>
      <c r="J876" s="1">
        <v>0</v>
      </c>
      <c r="K876" s="1">
        <v>5500000</v>
      </c>
      <c r="L876" s="1">
        <v>0</v>
      </c>
      <c r="M876" s="1">
        <v>400000</v>
      </c>
      <c r="N876" s="1">
        <v>3685018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16062147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2632156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11360778</v>
      </c>
      <c r="AM876" s="1">
        <v>0</v>
      </c>
      <c r="AN876" s="1">
        <v>105540684</v>
      </c>
      <c r="AO876" s="1">
        <v>21566187</v>
      </c>
      <c r="AP876" s="1">
        <v>83974497</v>
      </c>
      <c r="AQ876" s="1">
        <v>15557766</v>
      </c>
      <c r="AR876" s="1">
        <v>2333665</v>
      </c>
      <c r="AS876" s="1">
        <v>0</v>
      </c>
      <c r="AT876" s="1">
        <f t="shared" si="91"/>
        <v>123432115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5246904</v>
      </c>
      <c r="G877" s="1">
        <v>5331912</v>
      </c>
      <c r="H877" s="1">
        <v>0</v>
      </c>
      <c r="I877" s="1">
        <v>3148142</v>
      </c>
      <c r="J877" s="1">
        <v>0</v>
      </c>
      <c r="K877" s="1">
        <v>0</v>
      </c>
      <c r="L877" s="1">
        <v>3620700</v>
      </c>
      <c r="M877" s="1">
        <v>400000</v>
      </c>
      <c r="N877" s="1">
        <v>2798349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3466745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25112752</v>
      </c>
      <c r="AO877" s="1">
        <v>4960241</v>
      </c>
      <c r="AP877" s="1">
        <v>20152511</v>
      </c>
      <c r="AQ877" s="1">
        <v>5022550</v>
      </c>
      <c r="AR877" s="1">
        <v>753383</v>
      </c>
      <c r="AS877" s="1">
        <v>530000</v>
      </c>
      <c r="AT877" s="1">
        <f t="shared" si="91"/>
        <v>31418685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94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25508415</v>
      </c>
      <c r="G878" s="1">
        <v>12889149</v>
      </c>
      <c r="H878" s="1">
        <v>0</v>
      </c>
      <c r="I878" s="1">
        <v>19012768</v>
      </c>
      <c r="J878" s="1">
        <v>0</v>
      </c>
      <c r="K878" s="1">
        <v>5500000</v>
      </c>
      <c r="L878" s="1">
        <v>0</v>
      </c>
      <c r="M878" s="1">
        <v>400000</v>
      </c>
      <c r="N878" s="1">
        <v>4741654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5739139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3386896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4741654</v>
      </c>
      <c r="AM878" s="1">
        <v>0</v>
      </c>
      <c r="AN878" s="1">
        <v>84130944</v>
      </c>
      <c r="AO878" s="1">
        <v>21437251</v>
      </c>
      <c r="AP878" s="1">
        <v>62693693</v>
      </c>
      <c r="AQ878" s="1">
        <v>15557766</v>
      </c>
      <c r="AR878" s="1">
        <v>2333665</v>
      </c>
      <c r="AS878" s="1">
        <v>0</v>
      </c>
      <c r="AT878" s="1">
        <f t="shared" si="91"/>
        <v>102022375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94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13777901</v>
      </c>
      <c r="G879" s="1">
        <v>430842</v>
      </c>
      <c r="H879" s="1">
        <v>0</v>
      </c>
      <c r="I879" s="1">
        <v>7126791</v>
      </c>
      <c r="J879" s="1">
        <v>0</v>
      </c>
      <c r="K879" s="1">
        <v>4125000</v>
      </c>
      <c r="L879" s="1">
        <v>0</v>
      </c>
      <c r="M879" s="1">
        <v>400000</v>
      </c>
      <c r="N879" s="1">
        <v>2083540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2685766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1488243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2381189</v>
      </c>
      <c r="AM879" s="1">
        <v>0</v>
      </c>
      <c r="AN879" s="1">
        <v>35599272</v>
      </c>
      <c r="AO879" s="1">
        <v>3910678</v>
      </c>
      <c r="AP879" s="1">
        <v>31688594</v>
      </c>
      <c r="AQ879" s="1">
        <v>7119854</v>
      </c>
      <c r="AR879" s="1">
        <v>1067978</v>
      </c>
      <c r="AS879" s="1">
        <v>0</v>
      </c>
      <c r="AT879" s="1">
        <f t="shared" si="91"/>
        <v>43787104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94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13364580</v>
      </c>
      <c r="G880" s="1">
        <v>15160015</v>
      </c>
      <c r="H880" s="1">
        <v>0</v>
      </c>
      <c r="I880" s="1">
        <v>9320263</v>
      </c>
      <c r="J880" s="1">
        <v>0</v>
      </c>
      <c r="K880" s="1">
        <v>5500000</v>
      </c>
      <c r="L880" s="1">
        <v>0</v>
      </c>
      <c r="M880" s="1">
        <v>400000</v>
      </c>
      <c r="N880" s="1">
        <v>1962398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5354116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1401713</v>
      </c>
      <c r="AF880" s="1">
        <v>1111269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2130604</v>
      </c>
      <c r="AM880" s="1">
        <v>0</v>
      </c>
      <c r="AN880" s="1">
        <v>56804958</v>
      </c>
      <c r="AO880" s="1">
        <v>12976332</v>
      </c>
      <c r="AP880" s="1">
        <v>43828626</v>
      </c>
      <c r="AQ880" s="1">
        <v>11138738</v>
      </c>
      <c r="AR880" s="1">
        <v>1670811</v>
      </c>
      <c r="AS880" s="1">
        <v>0</v>
      </c>
      <c r="AT880" s="1">
        <f t="shared" si="91"/>
        <v>69614507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94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17146077</v>
      </c>
      <c r="G881" s="1">
        <v>11013692</v>
      </c>
      <c r="H881" s="1">
        <v>0</v>
      </c>
      <c r="I881" s="1">
        <v>14597806</v>
      </c>
      <c r="J881" s="1">
        <v>0</v>
      </c>
      <c r="K881" s="1">
        <v>5500000</v>
      </c>
      <c r="L881" s="1">
        <v>0</v>
      </c>
      <c r="M881" s="1">
        <v>400000</v>
      </c>
      <c r="N881" s="1">
        <v>2112802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3814266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1509144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2776825</v>
      </c>
      <c r="AM881" s="1">
        <v>0</v>
      </c>
      <c r="AN881" s="1">
        <v>61081881</v>
      </c>
      <c r="AO881" s="1">
        <v>16452873</v>
      </c>
      <c r="AP881" s="1">
        <v>44629008</v>
      </c>
      <c r="AQ881" s="1">
        <v>11994122</v>
      </c>
      <c r="AR881" s="1">
        <v>1799118</v>
      </c>
      <c r="AS881" s="1">
        <v>0</v>
      </c>
      <c r="AT881" s="1">
        <f t="shared" si="91"/>
        <v>74875121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94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14747949</v>
      </c>
      <c r="G882" s="1">
        <v>1959903</v>
      </c>
      <c r="H882" s="1">
        <v>0</v>
      </c>
      <c r="I882" s="1">
        <v>11769985</v>
      </c>
      <c r="J882" s="1">
        <v>0</v>
      </c>
      <c r="K882" s="1">
        <v>5500000</v>
      </c>
      <c r="L882" s="1">
        <v>0</v>
      </c>
      <c r="M882" s="1">
        <v>400000</v>
      </c>
      <c r="N882" s="1">
        <v>2330398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3490737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1664569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4394464</v>
      </c>
      <c r="AM882" s="1">
        <v>0</v>
      </c>
      <c r="AN882" s="1">
        <v>47358005</v>
      </c>
      <c r="AO882" s="1">
        <v>8164745</v>
      </c>
      <c r="AP882" s="1">
        <v>39193260</v>
      </c>
      <c r="AQ882" s="1">
        <v>9471601</v>
      </c>
      <c r="AR882" s="1">
        <v>1420740</v>
      </c>
      <c r="AS882" s="1">
        <v>0</v>
      </c>
      <c r="AT882" s="1">
        <f t="shared" si="91"/>
        <v>58250346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94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14245463</v>
      </c>
      <c r="G883" s="1">
        <v>1227479</v>
      </c>
      <c r="H883" s="1">
        <v>0</v>
      </c>
      <c r="I883" s="1">
        <v>10291814</v>
      </c>
      <c r="J883" s="1">
        <v>0</v>
      </c>
      <c r="K883" s="1">
        <v>4125000</v>
      </c>
      <c r="L883" s="1">
        <v>0</v>
      </c>
      <c r="M883" s="1">
        <v>400000</v>
      </c>
      <c r="N883" s="1">
        <v>2124500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3060728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1517500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2428001</v>
      </c>
      <c r="AM883" s="1">
        <v>0</v>
      </c>
      <c r="AN883" s="1">
        <v>40520485</v>
      </c>
      <c r="AO883" s="1">
        <v>12434108</v>
      </c>
      <c r="AP883" s="1">
        <v>28086377</v>
      </c>
      <c r="AQ883" s="1">
        <v>8104097</v>
      </c>
      <c r="AR883" s="1">
        <v>1215615</v>
      </c>
      <c r="AS883" s="1">
        <v>0</v>
      </c>
      <c r="AT883" s="1">
        <f t="shared" si="91"/>
        <v>49840197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94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13855284</v>
      </c>
      <c r="G884" s="1">
        <v>11351548</v>
      </c>
      <c r="H884" s="1">
        <v>0</v>
      </c>
      <c r="I884" s="1">
        <v>10759272</v>
      </c>
      <c r="J884" s="1">
        <v>0</v>
      </c>
      <c r="K884" s="1">
        <v>5500000</v>
      </c>
      <c r="L884" s="1">
        <v>0</v>
      </c>
      <c r="M884" s="1">
        <v>400000</v>
      </c>
      <c r="N884" s="1">
        <v>1993723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3145017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1424087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3417811</v>
      </c>
      <c r="AM884" s="1">
        <v>0</v>
      </c>
      <c r="AN884" s="1">
        <v>54058011</v>
      </c>
      <c r="AO884" s="1">
        <v>12268846</v>
      </c>
      <c r="AP884" s="1">
        <v>41789165</v>
      </c>
      <c r="AQ884" s="1">
        <v>10589348</v>
      </c>
      <c r="AR884" s="1">
        <v>1588402</v>
      </c>
      <c r="AS884" s="1">
        <v>0</v>
      </c>
      <c r="AT884" s="1">
        <f t="shared" si="91"/>
        <v>66235761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7494084</v>
      </c>
      <c r="G885" s="1">
        <v>1891495</v>
      </c>
      <c r="H885" s="1">
        <v>0</v>
      </c>
      <c r="I885" s="1">
        <v>4496450</v>
      </c>
      <c r="J885" s="1">
        <v>0</v>
      </c>
      <c r="K885" s="1">
        <v>0</v>
      </c>
      <c r="L885" s="1">
        <v>3620700</v>
      </c>
      <c r="M885" s="1">
        <v>400000</v>
      </c>
      <c r="N885" s="1">
        <v>3996845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6332424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2941212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3631670</v>
      </c>
      <c r="AK885" s="1">
        <v>0</v>
      </c>
      <c r="AL885" s="1">
        <v>0</v>
      </c>
      <c r="AM885" s="1">
        <v>0</v>
      </c>
      <c r="AN885" s="1">
        <v>39238687</v>
      </c>
      <c r="AO885" s="1">
        <v>9138391</v>
      </c>
      <c r="AP885" s="1">
        <v>30100296</v>
      </c>
      <c r="AQ885" s="1">
        <v>7180976</v>
      </c>
      <c r="AR885" s="1">
        <v>1077146</v>
      </c>
      <c r="AS885" s="1">
        <v>1325000</v>
      </c>
      <c r="AT885" s="1">
        <f t="shared" si="91"/>
        <v>48821809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5">"قراردادي بهره بردار"</f>
        <v>قراردادي بهره بردار</v>
      </c>
      <c r="E886" s="1" t="str">
        <f t="shared" ref="E886:E921" si="96">"پروژه بهره برداري نيروگاه بوشهر"</f>
        <v>پروژه بهره برداري نيروگاه بوشهر</v>
      </c>
      <c r="F886" s="1">
        <v>13073301</v>
      </c>
      <c r="G886" s="1">
        <v>207621</v>
      </c>
      <c r="H886" s="1">
        <v>0</v>
      </c>
      <c r="I886" s="1">
        <v>8104447</v>
      </c>
      <c r="J886" s="1">
        <v>0</v>
      </c>
      <c r="K886" s="1">
        <v>5500000</v>
      </c>
      <c r="L886" s="1">
        <v>0</v>
      </c>
      <c r="M886" s="1">
        <v>400000</v>
      </c>
      <c r="N886" s="1">
        <v>1830658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2588515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1307614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1569136</v>
      </c>
      <c r="AM886" s="1">
        <v>0</v>
      </c>
      <c r="AN886" s="1">
        <v>35681292</v>
      </c>
      <c r="AO886" s="1">
        <v>5937548</v>
      </c>
      <c r="AP886" s="1">
        <v>29743744</v>
      </c>
      <c r="AQ886" s="1">
        <v>7136258</v>
      </c>
      <c r="AR886" s="1">
        <v>1070439</v>
      </c>
      <c r="AS886" s="1">
        <v>0</v>
      </c>
      <c r="AT886" s="1">
        <f t="shared" si="91"/>
        <v>43887989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9487332</v>
      </c>
      <c r="G887" s="1">
        <v>367428</v>
      </c>
      <c r="H887" s="1">
        <v>0</v>
      </c>
      <c r="I887" s="1">
        <v>6957817</v>
      </c>
      <c r="J887" s="1">
        <v>0</v>
      </c>
      <c r="K887" s="1">
        <v>4620000</v>
      </c>
      <c r="L887" s="1">
        <v>0</v>
      </c>
      <c r="M887" s="1">
        <v>400000</v>
      </c>
      <c r="N887" s="1">
        <v>1564497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2290459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2436450</v>
      </c>
      <c r="AD887" s="1">
        <v>0</v>
      </c>
      <c r="AE887" s="1">
        <v>1117498</v>
      </c>
      <c r="AF887" s="1">
        <v>1111269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1340998</v>
      </c>
      <c r="AM887" s="1">
        <v>0</v>
      </c>
      <c r="AN887" s="1">
        <v>32793748</v>
      </c>
      <c r="AO887" s="1">
        <v>4971784</v>
      </c>
      <c r="AP887" s="1">
        <v>27821964</v>
      </c>
      <c r="AQ887" s="1">
        <v>6336496</v>
      </c>
      <c r="AR887" s="1">
        <v>950474</v>
      </c>
      <c r="AS887" s="1">
        <v>0</v>
      </c>
      <c r="AT887" s="1">
        <f t="shared" si="91"/>
        <v>40080718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12394249</v>
      </c>
      <c r="G888" s="1">
        <v>10136331</v>
      </c>
      <c r="H888" s="1">
        <v>0</v>
      </c>
      <c r="I888" s="1">
        <v>8518641</v>
      </c>
      <c r="J888" s="1">
        <v>0</v>
      </c>
      <c r="K888" s="1">
        <v>4125000</v>
      </c>
      <c r="L888" s="1">
        <v>0</v>
      </c>
      <c r="M888" s="1">
        <v>400000</v>
      </c>
      <c r="N888" s="1">
        <v>1751054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2579082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1250752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1876129</v>
      </c>
      <c r="AM888" s="1">
        <v>0</v>
      </c>
      <c r="AN888" s="1">
        <v>44131238</v>
      </c>
      <c r="AO888" s="1">
        <v>9997381</v>
      </c>
      <c r="AP888" s="1">
        <v>34133857</v>
      </c>
      <c r="AQ888" s="1">
        <v>8826248</v>
      </c>
      <c r="AR888" s="1">
        <v>1323937</v>
      </c>
      <c r="AS888" s="1">
        <v>0</v>
      </c>
      <c r="AT888" s="1">
        <f t="shared" si="91"/>
        <v>54281423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13155154</v>
      </c>
      <c r="G889" s="1">
        <v>4609479</v>
      </c>
      <c r="H889" s="1">
        <v>0</v>
      </c>
      <c r="I889" s="1">
        <v>9004522</v>
      </c>
      <c r="J889" s="1">
        <v>0</v>
      </c>
      <c r="K889" s="1">
        <v>5500000</v>
      </c>
      <c r="L889" s="1">
        <v>0</v>
      </c>
      <c r="M889" s="1">
        <v>400000</v>
      </c>
      <c r="N889" s="1">
        <v>1868976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2736611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1334983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2002474</v>
      </c>
      <c r="AM889" s="1">
        <v>0</v>
      </c>
      <c r="AN889" s="1">
        <v>41712199</v>
      </c>
      <c r="AO889" s="1">
        <v>9434315</v>
      </c>
      <c r="AP889" s="1">
        <v>32277884</v>
      </c>
      <c r="AQ889" s="1">
        <v>8342440</v>
      </c>
      <c r="AR889" s="1">
        <v>1251366</v>
      </c>
      <c r="AS889" s="1">
        <v>0</v>
      </c>
      <c r="AT889" s="1">
        <f t="shared" si="91"/>
        <v>51306005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12642062</v>
      </c>
      <c r="G890" s="1">
        <v>11927923</v>
      </c>
      <c r="H890" s="1">
        <v>0</v>
      </c>
      <c r="I890" s="1">
        <v>6981046</v>
      </c>
      <c r="J890" s="1">
        <v>0</v>
      </c>
      <c r="K890" s="1">
        <v>4125000</v>
      </c>
      <c r="L890" s="1">
        <v>0</v>
      </c>
      <c r="M890" s="1">
        <v>400000</v>
      </c>
      <c r="N890" s="1">
        <v>1672931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2478529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1194951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2294305</v>
      </c>
      <c r="AM890" s="1">
        <v>0</v>
      </c>
      <c r="AN890" s="1">
        <v>44816747</v>
      </c>
      <c r="AO890" s="1">
        <v>6113213</v>
      </c>
      <c r="AP890" s="1">
        <v>38703534</v>
      </c>
      <c r="AQ890" s="1">
        <v>8963349</v>
      </c>
      <c r="AR890" s="1">
        <v>1344502</v>
      </c>
      <c r="AS890" s="1">
        <v>0</v>
      </c>
      <c r="AT890" s="1">
        <f t="shared" si="91"/>
        <v>55124598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14328110</v>
      </c>
      <c r="G891" s="1">
        <v>5114527</v>
      </c>
      <c r="H891" s="1">
        <v>0</v>
      </c>
      <c r="I891" s="1">
        <v>11123053</v>
      </c>
      <c r="J891" s="1">
        <v>0</v>
      </c>
      <c r="K891" s="1">
        <v>5500000</v>
      </c>
      <c r="L891" s="1">
        <v>0</v>
      </c>
      <c r="M891" s="1">
        <v>400000</v>
      </c>
      <c r="N891" s="1">
        <v>2308780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3188277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1649128</v>
      </c>
      <c r="AF891" s="1">
        <v>2222538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2473692</v>
      </c>
      <c r="AM891" s="1">
        <v>0</v>
      </c>
      <c r="AN891" s="1">
        <v>49408105</v>
      </c>
      <c r="AO891" s="1">
        <v>9277332</v>
      </c>
      <c r="AP891" s="1">
        <v>40130773</v>
      </c>
      <c r="AQ891" s="1">
        <v>9437113</v>
      </c>
      <c r="AR891" s="1">
        <v>1415567</v>
      </c>
      <c r="AS891" s="1">
        <v>0</v>
      </c>
      <c r="AT891" s="1">
        <f t="shared" si="91"/>
        <v>60260785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13076613</v>
      </c>
      <c r="G892" s="1">
        <v>2332179</v>
      </c>
      <c r="H892" s="1">
        <v>0</v>
      </c>
      <c r="I892" s="1">
        <v>8657005</v>
      </c>
      <c r="J892" s="1">
        <v>0</v>
      </c>
      <c r="K892" s="1">
        <v>4125000</v>
      </c>
      <c r="L892" s="1">
        <v>0</v>
      </c>
      <c r="M892" s="1">
        <v>400000</v>
      </c>
      <c r="N892" s="1">
        <v>1687028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1270000</v>
      </c>
      <c r="U892" s="1">
        <v>0</v>
      </c>
      <c r="V892" s="1">
        <v>2643320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1205020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1807530</v>
      </c>
      <c r="AM892" s="1">
        <v>0</v>
      </c>
      <c r="AN892" s="1">
        <v>38303695</v>
      </c>
      <c r="AO892" s="1">
        <v>5719661</v>
      </c>
      <c r="AP892" s="1">
        <v>32584034</v>
      </c>
      <c r="AQ892" s="1">
        <v>7406739</v>
      </c>
      <c r="AR892" s="1">
        <v>1111011</v>
      </c>
      <c r="AS892" s="1">
        <v>0</v>
      </c>
      <c r="AT892" s="1">
        <f t="shared" si="91"/>
        <v>46821445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8365089</v>
      </c>
      <c r="G893" s="1">
        <v>817919</v>
      </c>
      <c r="H893" s="1">
        <v>0</v>
      </c>
      <c r="I893" s="1">
        <v>5417465</v>
      </c>
      <c r="J893" s="1">
        <v>0</v>
      </c>
      <c r="K893" s="1">
        <v>4620000</v>
      </c>
      <c r="L893" s="1">
        <v>0</v>
      </c>
      <c r="M893" s="1">
        <v>400000</v>
      </c>
      <c r="N893" s="1">
        <v>1249564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1699572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892546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1071055</v>
      </c>
      <c r="AM893" s="1">
        <v>0</v>
      </c>
      <c r="AN893" s="1">
        <v>25633210</v>
      </c>
      <c r="AO893" s="1">
        <v>9240991</v>
      </c>
      <c r="AP893" s="1">
        <v>16392219</v>
      </c>
      <c r="AQ893" s="1">
        <v>5126642</v>
      </c>
      <c r="AR893" s="1">
        <v>768996</v>
      </c>
      <c r="AS893" s="1">
        <v>0</v>
      </c>
      <c r="AT893" s="1">
        <f t="shared" si="91"/>
        <v>31528848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13780595</v>
      </c>
      <c r="G894" s="1">
        <v>2654665</v>
      </c>
      <c r="H894" s="1">
        <v>0</v>
      </c>
      <c r="I894" s="1">
        <v>9199447</v>
      </c>
      <c r="J894" s="1">
        <v>0</v>
      </c>
      <c r="K894" s="1">
        <v>4125000</v>
      </c>
      <c r="L894" s="1">
        <v>0</v>
      </c>
      <c r="M894" s="1">
        <v>400000</v>
      </c>
      <c r="N894" s="1">
        <v>2144730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6318541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1531950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3431569</v>
      </c>
      <c r="AM894" s="1">
        <v>0</v>
      </c>
      <c r="AN894" s="1">
        <v>44686497</v>
      </c>
      <c r="AO894" s="1">
        <v>11836954</v>
      </c>
      <c r="AP894" s="1">
        <v>32849543</v>
      </c>
      <c r="AQ894" s="1">
        <v>8937299</v>
      </c>
      <c r="AR894" s="1">
        <v>1340595</v>
      </c>
      <c r="AS894" s="1">
        <v>0</v>
      </c>
      <c r="AT894" s="1">
        <f t="shared" si="91"/>
        <v>54964391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14963971</v>
      </c>
      <c r="G895" s="1">
        <v>587101</v>
      </c>
      <c r="H895" s="1">
        <v>0</v>
      </c>
      <c r="I895" s="1">
        <v>10334575</v>
      </c>
      <c r="J895" s="1">
        <v>0</v>
      </c>
      <c r="K895" s="1">
        <v>5500000</v>
      </c>
      <c r="L895" s="1">
        <v>0</v>
      </c>
      <c r="M895" s="1">
        <v>400000</v>
      </c>
      <c r="N895" s="1">
        <v>2417851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8051673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1727037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2763259</v>
      </c>
      <c r="AM895" s="1">
        <v>0</v>
      </c>
      <c r="AN895" s="1">
        <v>47845467</v>
      </c>
      <c r="AO895" s="1">
        <v>9878820</v>
      </c>
      <c r="AP895" s="1">
        <v>37966647</v>
      </c>
      <c r="AQ895" s="1">
        <v>9569093</v>
      </c>
      <c r="AR895" s="1">
        <v>1435364</v>
      </c>
      <c r="AS895" s="1">
        <v>0</v>
      </c>
      <c r="AT895" s="1">
        <f t="shared" si="91"/>
        <v>58849924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14647880</v>
      </c>
      <c r="G896" s="1">
        <v>15393721</v>
      </c>
      <c r="H896" s="1">
        <v>0</v>
      </c>
      <c r="I896" s="1">
        <v>10180026</v>
      </c>
      <c r="J896" s="1">
        <v>0</v>
      </c>
      <c r="K896" s="1">
        <v>4125000</v>
      </c>
      <c r="L896" s="1">
        <v>0</v>
      </c>
      <c r="M896" s="1">
        <v>400000</v>
      </c>
      <c r="N896" s="1">
        <v>2331736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11159627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1665527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3997263</v>
      </c>
      <c r="AM896" s="1">
        <v>0</v>
      </c>
      <c r="AN896" s="1">
        <v>65000780</v>
      </c>
      <c r="AO896" s="1">
        <v>14770506</v>
      </c>
      <c r="AP896" s="1">
        <v>50230274</v>
      </c>
      <c r="AQ896" s="1">
        <v>13000156</v>
      </c>
      <c r="AR896" s="1">
        <v>1950023</v>
      </c>
      <c r="AS896" s="1">
        <v>0</v>
      </c>
      <c r="AT896" s="1">
        <f t="shared" si="91"/>
        <v>79950959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15072706</v>
      </c>
      <c r="G897" s="1">
        <v>2173013</v>
      </c>
      <c r="H897" s="1">
        <v>0</v>
      </c>
      <c r="I897" s="1">
        <v>11619545</v>
      </c>
      <c r="J897" s="1">
        <v>0</v>
      </c>
      <c r="K897" s="1">
        <v>5500000</v>
      </c>
      <c r="L897" s="1">
        <v>0</v>
      </c>
      <c r="M897" s="1">
        <v>400000</v>
      </c>
      <c r="N897" s="1">
        <v>2518442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1270000</v>
      </c>
      <c r="U897" s="1">
        <v>0</v>
      </c>
      <c r="V897" s="1">
        <v>8956681</v>
      </c>
      <c r="W897" s="1">
        <v>1100000</v>
      </c>
      <c r="X897" s="1">
        <v>2173013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1798887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9702607</v>
      </c>
      <c r="AM897" s="1">
        <v>0</v>
      </c>
      <c r="AN897" s="1">
        <v>62284894</v>
      </c>
      <c r="AO897" s="1">
        <v>12112639</v>
      </c>
      <c r="AP897" s="1">
        <v>50172255</v>
      </c>
      <c r="AQ897" s="1">
        <v>12202979</v>
      </c>
      <c r="AR897" s="1">
        <v>1830447</v>
      </c>
      <c r="AS897" s="1">
        <v>0</v>
      </c>
      <c r="AT897" s="1">
        <f t="shared" si="91"/>
        <v>76318320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14812588</v>
      </c>
      <c r="G898" s="1">
        <v>5593485</v>
      </c>
      <c r="H898" s="1">
        <v>0</v>
      </c>
      <c r="I898" s="1">
        <v>10606925</v>
      </c>
      <c r="J898" s="1">
        <v>0</v>
      </c>
      <c r="K898" s="1">
        <v>5500000</v>
      </c>
      <c r="L898" s="1">
        <v>0</v>
      </c>
      <c r="M898" s="1">
        <v>400000</v>
      </c>
      <c r="N898" s="1">
        <v>2380294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1270000</v>
      </c>
      <c r="U898" s="1">
        <v>0</v>
      </c>
      <c r="V898" s="1">
        <v>9580573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1700211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3536437</v>
      </c>
      <c r="AM898" s="1">
        <v>0</v>
      </c>
      <c r="AN898" s="1">
        <v>56480513</v>
      </c>
      <c r="AO898" s="1">
        <v>8269367</v>
      </c>
      <c r="AP898" s="1">
        <v>48211146</v>
      </c>
      <c r="AQ898" s="1">
        <v>11042103</v>
      </c>
      <c r="AR898" s="1">
        <v>1656315</v>
      </c>
      <c r="AS898" s="1">
        <v>0</v>
      </c>
      <c r="AT898" s="1">
        <f t="shared" si="91"/>
        <v>69178931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14348288</v>
      </c>
      <c r="G899" s="1">
        <v>6486108</v>
      </c>
      <c r="H899" s="1">
        <v>0</v>
      </c>
      <c r="I899" s="1">
        <v>10502559</v>
      </c>
      <c r="J899" s="1">
        <v>0</v>
      </c>
      <c r="K899" s="1">
        <v>5500000</v>
      </c>
      <c r="L899" s="1">
        <v>0</v>
      </c>
      <c r="M899" s="1">
        <v>400000</v>
      </c>
      <c r="N899" s="1">
        <v>2392716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1270000</v>
      </c>
      <c r="U899" s="1">
        <v>0</v>
      </c>
      <c r="V899" s="1">
        <v>11284999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1709083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4238527</v>
      </c>
      <c r="AM899" s="1">
        <v>0</v>
      </c>
      <c r="AN899" s="1">
        <v>59232280</v>
      </c>
      <c r="AO899" s="1">
        <v>14729327</v>
      </c>
      <c r="AP899" s="1">
        <v>44502953</v>
      </c>
      <c r="AQ899" s="1">
        <v>11592456</v>
      </c>
      <c r="AR899" s="1">
        <v>1738868</v>
      </c>
      <c r="AS899" s="1">
        <v>0</v>
      </c>
      <c r="AT899" s="1">
        <f t="shared" ref="AT899:AT962" si="97">AS899+AR899+AQ899+AN899</f>
        <v>72563604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13919742</v>
      </c>
      <c r="G900" s="1">
        <v>2754679</v>
      </c>
      <c r="H900" s="1">
        <v>0</v>
      </c>
      <c r="I900" s="1">
        <v>7165066</v>
      </c>
      <c r="J900" s="1">
        <v>0</v>
      </c>
      <c r="K900" s="1">
        <v>5500000</v>
      </c>
      <c r="L900" s="1">
        <v>0</v>
      </c>
      <c r="M900" s="1">
        <v>400000</v>
      </c>
      <c r="N900" s="1">
        <v>2318217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3122185</v>
      </c>
      <c r="W900" s="1">
        <v>1100000</v>
      </c>
      <c r="X900" s="1">
        <v>2087961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1655869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6162966</v>
      </c>
      <c r="AM900" s="1">
        <v>0</v>
      </c>
      <c r="AN900" s="1">
        <v>47456685</v>
      </c>
      <c r="AO900" s="1">
        <v>9776125</v>
      </c>
      <c r="AP900" s="1">
        <v>37680560</v>
      </c>
      <c r="AQ900" s="1">
        <v>9237337</v>
      </c>
      <c r="AR900" s="1">
        <v>1385601</v>
      </c>
      <c r="AS900" s="1">
        <v>0</v>
      </c>
      <c r="AT900" s="1">
        <f t="shared" si="97"/>
        <v>58079623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13895568</v>
      </c>
      <c r="G901" s="1">
        <v>0</v>
      </c>
      <c r="H901" s="1">
        <v>0</v>
      </c>
      <c r="I901" s="1">
        <v>9181870</v>
      </c>
      <c r="J901" s="1">
        <v>0</v>
      </c>
      <c r="K901" s="1">
        <v>5500000</v>
      </c>
      <c r="L901" s="1">
        <v>0</v>
      </c>
      <c r="M901" s="1">
        <v>400000</v>
      </c>
      <c r="N901" s="1">
        <v>2170961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4951270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1550687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2326029</v>
      </c>
      <c r="AM901" s="1">
        <v>0</v>
      </c>
      <c r="AN901" s="1">
        <v>41076385</v>
      </c>
      <c r="AO901" s="1">
        <v>7277175</v>
      </c>
      <c r="AP901" s="1">
        <v>33799210</v>
      </c>
      <c r="AQ901" s="1">
        <v>8215277</v>
      </c>
      <c r="AR901" s="1">
        <v>1232292</v>
      </c>
      <c r="AS901" s="1">
        <v>0</v>
      </c>
      <c r="AT901" s="1">
        <f t="shared" si="97"/>
        <v>50523954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13661126</v>
      </c>
      <c r="G902" s="1">
        <v>5332328</v>
      </c>
      <c r="H902" s="1">
        <v>0</v>
      </c>
      <c r="I902" s="1">
        <v>9406114</v>
      </c>
      <c r="J902" s="1">
        <v>0</v>
      </c>
      <c r="K902" s="1">
        <v>4125000</v>
      </c>
      <c r="L902" s="1">
        <v>0</v>
      </c>
      <c r="M902" s="1">
        <v>400000</v>
      </c>
      <c r="N902" s="1">
        <v>2115369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8652563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1510978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3142834</v>
      </c>
      <c r="AM902" s="1">
        <v>0</v>
      </c>
      <c r="AN902" s="1">
        <v>49446312</v>
      </c>
      <c r="AO902" s="1">
        <v>6638980</v>
      </c>
      <c r="AP902" s="1">
        <v>42807332</v>
      </c>
      <c r="AQ902" s="1">
        <v>9889262</v>
      </c>
      <c r="AR902" s="1">
        <v>1483389</v>
      </c>
      <c r="AS902" s="1">
        <v>0</v>
      </c>
      <c r="AT902" s="1">
        <f t="shared" si="97"/>
        <v>60818963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15049223</v>
      </c>
      <c r="G903" s="1">
        <v>0</v>
      </c>
      <c r="H903" s="1">
        <v>0</v>
      </c>
      <c r="I903" s="1">
        <v>10711744</v>
      </c>
      <c r="J903" s="1">
        <v>0</v>
      </c>
      <c r="K903" s="1">
        <v>5500000</v>
      </c>
      <c r="L903" s="1">
        <v>0</v>
      </c>
      <c r="M903" s="1">
        <v>400000</v>
      </c>
      <c r="N903" s="1">
        <v>2469453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1270000</v>
      </c>
      <c r="U903" s="1">
        <v>0</v>
      </c>
      <c r="V903" s="1">
        <v>10056632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1763894</v>
      </c>
      <c r="AF903" s="1">
        <v>1111269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3527789</v>
      </c>
      <c r="AM903" s="1">
        <v>0</v>
      </c>
      <c r="AN903" s="1">
        <v>52960004</v>
      </c>
      <c r="AO903" s="1">
        <v>12726313</v>
      </c>
      <c r="AP903" s="1">
        <v>40233691</v>
      </c>
      <c r="AQ903" s="1">
        <v>10115747</v>
      </c>
      <c r="AR903" s="1">
        <v>1517362</v>
      </c>
      <c r="AS903" s="1">
        <v>0</v>
      </c>
      <c r="AT903" s="1">
        <f t="shared" si="97"/>
        <v>64593113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14002882</v>
      </c>
      <c r="G904" s="1">
        <v>9488316</v>
      </c>
      <c r="H904" s="1">
        <v>0</v>
      </c>
      <c r="I904" s="1">
        <v>9376651</v>
      </c>
      <c r="J904" s="1">
        <v>0</v>
      </c>
      <c r="K904" s="1">
        <v>4125000</v>
      </c>
      <c r="L904" s="1">
        <v>0</v>
      </c>
      <c r="M904" s="1">
        <v>400000</v>
      </c>
      <c r="N904" s="1">
        <v>2227201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7435742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1590858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2545373</v>
      </c>
      <c r="AM904" s="1">
        <v>0</v>
      </c>
      <c r="AN904" s="1">
        <v>52292023</v>
      </c>
      <c r="AO904" s="1">
        <v>13251712</v>
      </c>
      <c r="AP904" s="1">
        <v>39040311</v>
      </c>
      <c r="AQ904" s="1">
        <v>10458405</v>
      </c>
      <c r="AR904" s="1">
        <v>1568761</v>
      </c>
      <c r="AS904" s="1">
        <v>0</v>
      </c>
      <c r="AT904" s="1">
        <f t="shared" si="97"/>
        <v>64319189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13736807</v>
      </c>
      <c r="G905" s="1">
        <v>0</v>
      </c>
      <c r="H905" s="1">
        <v>0</v>
      </c>
      <c r="I905" s="1">
        <v>8712440</v>
      </c>
      <c r="J905" s="1">
        <v>0</v>
      </c>
      <c r="K905" s="1">
        <v>4125000</v>
      </c>
      <c r="L905" s="1">
        <v>0</v>
      </c>
      <c r="M905" s="1">
        <v>400000</v>
      </c>
      <c r="N905" s="1">
        <v>2116173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5699091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1511552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2418483</v>
      </c>
      <c r="AM905" s="1">
        <v>0</v>
      </c>
      <c r="AN905" s="1">
        <v>39819546</v>
      </c>
      <c r="AO905" s="1">
        <v>4719683</v>
      </c>
      <c r="AP905" s="1">
        <v>35099863</v>
      </c>
      <c r="AQ905" s="1">
        <v>7963909</v>
      </c>
      <c r="AR905" s="1">
        <v>1194586</v>
      </c>
      <c r="AS905" s="1">
        <v>0</v>
      </c>
      <c r="AT905" s="1">
        <f t="shared" si="97"/>
        <v>48978041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14790090</v>
      </c>
      <c r="G906" s="1">
        <v>2403403</v>
      </c>
      <c r="H906" s="1">
        <v>0</v>
      </c>
      <c r="I906" s="1">
        <v>7689944</v>
      </c>
      <c r="J906" s="1">
        <v>0</v>
      </c>
      <c r="K906" s="1">
        <v>5500000</v>
      </c>
      <c r="L906" s="1">
        <v>0</v>
      </c>
      <c r="M906" s="1">
        <v>400000</v>
      </c>
      <c r="N906" s="1">
        <v>2479881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1270000</v>
      </c>
      <c r="U906" s="1">
        <v>0</v>
      </c>
      <c r="V906" s="1">
        <v>3329390</v>
      </c>
      <c r="W906" s="1">
        <v>1100000</v>
      </c>
      <c r="X906" s="1">
        <v>2218514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1771343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6562640</v>
      </c>
      <c r="AM906" s="1">
        <v>0</v>
      </c>
      <c r="AN906" s="1">
        <v>49515205</v>
      </c>
      <c r="AO906" s="1">
        <v>10175834</v>
      </c>
      <c r="AP906" s="1">
        <v>39339371</v>
      </c>
      <c r="AQ906" s="1">
        <v>9649041</v>
      </c>
      <c r="AR906" s="1">
        <v>1447356</v>
      </c>
      <c r="AS906" s="1">
        <v>0</v>
      </c>
      <c r="AT906" s="1">
        <f t="shared" si="97"/>
        <v>60611602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15212757</v>
      </c>
      <c r="G907" s="1">
        <v>7492899</v>
      </c>
      <c r="H907" s="1">
        <v>0</v>
      </c>
      <c r="I907" s="1">
        <v>10815591</v>
      </c>
      <c r="J907" s="1">
        <v>0</v>
      </c>
      <c r="K907" s="1">
        <v>4125000</v>
      </c>
      <c r="L907" s="1">
        <v>0</v>
      </c>
      <c r="M907" s="1">
        <v>400000</v>
      </c>
      <c r="N907" s="1">
        <v>2533851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10831069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1809894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3474996</v>
      </c>
      <c r="AM907" s="1">
        <v>0</v>
      </c>
      <c r="AN907" s="1">
        <v>57796057</v>
      </c>
      <c r="AO907" s="1">
        <v>10655928</v>
      </c>
      <c r="AP907" s="1">
        <v>47140129</v>
      </c>
      <c r="AQ907" s="1">
        <v>11559211</v>
      </c>
      <c r="AR907" s="1">
        <v>1733882</v>
      </c>
      <c r="AS907" s="1">
        <v>0</v>
      </c>
      <c r="AT907" s="1">
        <f t="shared" si="97"/>
        <v>71089150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13725080</v>
      </c>
      <c r="G908" s="1">
        <v>2241145</v>
      </c>
      <c r="H908" s="1">
        <v>0</v>
      </c>
      <c r="I908" s="1">
        <v>7420785</v>
      </c>
      <c r="J908" s="1">
        <v>0</v>
      </c>
      <c r="K908" s="1">
        <v>4125000</v>
      </c>
      <c r="L908" s="1">
        <v>0</v>
      </c>
      <c r="M908" s="1">
        <v>400000</v>
      </c>
      <c r="N908" s="1">
        <v>2248855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3104615</v>
      </c>
      <c r="W908" s="1">
        <v>1100000</v>
      </c>
      <c r="X908" s="1">
        <v>1992128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1606325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6045114</v>
      </c>
      <c r="AM908" s="1">
        <v>0</v>
      </c>
      <c r="AN908" s="1">
        <v>44009047</v>
      </c>
      <c r="AO908" s="1">
        <v>5023520</v>
      </c>
      <c r="AP908" s="1">
        <v>38985527</v>
      </c>
      <c r="AQ908" s="1">
        <v>8801809</v>
      </c>
      <c r="AR908" s="1">
        <v>1320271</v>
      </c>
      <c r="AS908" s="1">
        <v>0</v>
      </c>
      <c r="AT908" s="1">
        <f t="shared" si="97"/>
        <v>54131127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14086064</v>
      </c>
      <c r="G909" s="1">
        <v>2034853</v>
      </c>
      <c r="H909" s="1">
        <v>0</v>
      </c>
      <c r="I909" s="1">
        <v>7281695</v>
      </c>
      <c r="J909" s="1">
        <v>0</v>
      </c>
      <c r="K909" s="1">
        <v>5500000</v>
      </c>
      <c r="L909" s="1">
        <v>0</v>
      </c>
      <c r="M909" s="1">
        <v>400000</v>
      </c>
      <c r="N909" s="1">
        <v>2379385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1270000</v>
      </c>
      <c r="U909" s="1">
        <v>0</v>
      </c>
      <c r="V909" s="1">
        <v>3171200</v>
      </c>
      <c r="W909" s="1">
        <v>1100000</v>
      </c>
      <c r="X909" s="1">
        <v>2112910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1699561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6265292</v>
      </c>
      <c r="AM909" s="1">
        <v>0</v>
      </c>
      <c r="AN909" s="1">
        <v>47300960</v>
      </c>
      <c r="AO909" s="1">
        <v>10912730</v>
      </c>
      <c r="AP909" s="1">
        <v>36388230</v>
      </c>
      <c r="AQ909" s="1">
        <v>9206192</v>
      </c>
      <c r="AR909" s="1">
        <v>1380929</v>
      </c>
      <c r="AS909" s="1">
        <v>0</v>
      </c>
      <c r="AT909" s="1">
        <f t="shared" si="97"/>
        <v>57888081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14333396</v>
      </c>
      <c r="G910" s="1">
        <v>2354541</v>
      </c>
      <c r="H910" s="1">
        <v>0</v>
      </c>
      <c r="I910" s="1">
        <v>7628025</v>
      </c>
      <c r="J910" s="1">
        <v>0</v>
      </c>
      <c r="K910" s="1">
        <v>4125000</v>
      </c>
      <c r="L910" s="1">
        <v>0</v>
      </c>
      <c r="M910" s="1">
        <v>400000</v>
      </c>
      <c r="N910" s="1">
        <v>2471615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3261702</v>
      </c>
      <c r="W910" s="1">
        <v>1100000</v>
      </c>
      <c r="X910" s="1">
        <v>2092925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1765438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6418546</v>
      </c>
      <c r="AM910" s="1">
        <v>0</v>
      </c>
      <c r="AN910" s="1">
        <v>45951188</v>
      </c>
      <c r="AO910" s="1">
        <v>8243554</v>
      </c>
      <c r="AP910" s="1">
        <v>37707634</v>
      </c>
      <c r="AQ910" s="1">
        <v>9190238</v>
      </c>
      <c r="AR910" s="1">
        <v>1378536</v>
      </c>
      <c r="AS910" s="1">
        <v>0</v>
      </c>
      <c r="AT910" s="1">
        <f t="shared" si="97"/>
        <v>56519962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13956266</v>
      </c>
      <c r="G911" s="1">
        <v>6062860</v>
      </c>
      <c r="H911" s="1">
        <v>0</v>
      </c>
      <c r="I911" s="1">
        <v>9528480</v>
      </c>
      <c r="J911" s="1">
        <v>0</v>
      </c>
      <c r="K911" s="1">
        <v>5500000</v>
      </c>
      <c r="L911" s="1">
        <v>0</v>
      </c>
      <c r="M911" s="1">
        <v>400000</v>
      </c>
      <c r="N911" s="1">
        <v>2225413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9369616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1589581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2924829</v>
      </c>
      <c r="AM911" s="1">
        <v>0</v>
      </c>
      <c r="AN911" s="1">
        <v>52657045</v>
      </c>
      <c r="AO911" s="1">
        <v>12617343</v>
      </c>
      <c r="AP911" s="1">
        <v>40039702</v>
      </c>
      <c r="AQ911" s="1">
        <v>10531409</v>
      </c>
      <c r="AR911" s="1">
        <v>1579711</v>
      </c>
      <c r="AS911" s="1">
        <v>0</v>
      </c>
      <c r="AT911" s="1">
        <f t="shared" si="97"/>
        <v>64768165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13376625</v>
      </c>
      <c r="G912" s="1">
        <v>1900658</v>
      </c>
      <c r="H912" s="1">
        <v>0</v>
      </c>
      <c r="I912" s="1">
        <v>6784035</v>
      </c>
      <c r="J912" s="1">
        <v>0</v>
      </c>
      <c r="K912" s="1">
        <v>4125000</v>
      </c>
      <c r="L912" s="1">
        <v>0</v>
      </c>
      <c r="M912" s="1">
        <v>400000</v>
      </c>
      <c r="N912" s="1">
        <v>2118277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2962065</v>
      </c>
      <c r="W912" s="1">
        <v>1100000</v>
      </c>
      <c r="X912" s="1">
        <v>2006494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1513056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5828654</v>
      </c>
      <c r="AM912" s="1">
        <v>0</v>
      </c>
      <c r="AN912" s="1">
        <v>42114864</v>
      </c>
      <c r="AO912" s="1">
        <v>5522232</v>
      </c>
      <c r="AP912" s="1">
        <v>36592632</v>
      </c>
      <c r="AQ912" s="1">
        <v>8422973</v>
      </c>
      <c r="AR912" s="1">
        <v>1263446</v>
      </c>
      <c r="AS912" s="1">
        <v>0</v>
      </c>
      <c r="AT912" s="1">
        <f t="shared" si="97"/>
        <v>51801283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13658442</v>
      </c>
      <c r="G913" s="1">
        <v>8190905</v>
      </c>
      <c r="H913" s="1">
        <v>0</v>
      </c>
      <c r="I913" s="1">
        <v>9222732</v>
      </c>
      <c r="J913" s="1">
        <v>0</v>
      </c>
      <c r="K913" s="1">
        <v>4125000</v>
      </c>
      <c r="L913" s="1">
        <v>0</v>
      </c>
      <c r="M913" s="1">
        <v>400000</v>
      </c>
      <c r="N913" s="1">
        <v>2124289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9954269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1517349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3641638</v>
      </c>
      <c r="AM913" s="1">
        <v>0</v>
      </c>
      <c r="AN913" s="1">
        <v>53934624</v>
      </c>
      <c r="AO913" s="1">
        <v>13922320</v>
      </c>
      <c r="AP913" s="1">
        <v>40012304</v>
      </c>
      <c r="AQ913" s="1">
        <v>10786925</v>
      </c>
      <c r="AR913" s="1">
        <v>1618039</v>
      </c>
      <c r="AS913" s="1">
        <v>0</v>
      </c>
      <c r="AT913" s="1">
        <f t="shared" si="97"/>
        <v>66339588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14057272</v>
      </c>
      <c r="G914" s="1">
        <v>7896775</v>
      </c>
      <c r="H914" s="1">
        <v>0</v>
      </c>
      <c r="I914" s="1">
        <v>9121800</v>
      </c>
      <c r="J914" s="1">
        <v>0</v>
      </c>
      <c r="K914" s="1">
        <v>4125000</v>
      </c>
      <c r="L914" s="1">
        <v>0</v>
      </c>
      <c r="M914" s="1">
        <v>400000</v>
      </c>
      <c r="N914" s="1">
        <v>2239752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6265210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1599823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2815687</v>
      </c>
      <c r="AM914" s="1">
        <v>0</v>
      </c>
      <c r="AN914" s="1">
        <v>49621319</v>
      </c>
      <c r="AO914" s="1">
        <v>9603172</v>
      </c>
      <c r="AP914" s="1">
        <v>40018147</v>
      </c>
      <c r="AQ914" s="1">
        <v>9924264</v>
      </c>
      <c r="AR914" s="1">
        <v>1488640</v>
      </c>
      <c r="AS914" s="1">
        <v>0</v>
      </c>
      <c r="AT914" s="1">
        <f t="shared" si="97"/>
        <v>61034223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16088262</v>
      </c>
      <c r="G915" s="1">
        <v>2182555</v>
      </c>
      <c r="H915" s="1">
        <v>0</v>
      </c>
      <c r="I915" s="1">
        <v>8182606</v>
      </c>
      <c r="J915" s="1">
        <v>0</v>
      </c>
      <c r="K915" s="1">
        <v>5500000</v>
      </c>
      <c r="L915" s="1">
        <v>0</v>
      </c>
      <c r="M915" s="1">
        <v>400000</v>
      </c>
      <c r="N915" s="1">
        <v>2572878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1270000</v>
      </c>
      <c r="U915" s="1">
        <v>0</v>
      </c>
      <c r="V915" s="1">
        <v>3887297</v>
      </c>
      <c r="W915" s="1">
        <v>1100000</v>
      </c>
      <c r="X915" s="1">
        <v>1870762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1837770</v>
      </c>
      <c r="AF915" s="1">
        <v>0</v>
      </c>
      <c r="AG915" s="1">
        <v>3159648</v>
      </c>
      <c r="AH915" s="1">
        <v>0</v>
      </c>
      <c r="AI915" s="1">
        <v>0</v>
      </c>
      <c r="AJ915" s="1">
        <v>0</v>
      </c>
      <c r="AK915" s="1">
        <v>0</v>
      </c>
      <c r="AL915" s="1">
        <v>7031803</v>
      </c>
      <c r="AM915" s="1">
        <v>0</v>
      </c>
      <c r="AN915" s="1">
        <v>55083581</v>
      </c>
      <c r="AO915" s="1">
        <v>9690682</v>
      </c>
      <c r="AP915" s="1">
        <v>45392899</v>
      </c>
      <c r="AQ915" s="1">
        <v>10762716</v>
      </c>
      <c r="AR915" s="1">
        <v>1614407</v>
      </c>
      <c r="AS915" s="1">
        <v>0</v>
      </c>
      <c r="AT915" s="1">
        <f t="shared" si="97"/>
        <v>67460704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8256751</v>
      </c>
      <c r="G916" s="1">
        <v>5860010</v>
      </c>
      <c r="H916" s="1">
        <v>0</v>
      </c>
      <c r="I916" s="1">
        <v>3968639</v>
      </c>
      <c r="J916" s="1">
        <v>0</v>
      </c>
      <c r="K916" s="1">
        <v>0</v>
      </c>
      <c r="L916" s="1">
        <v>0</v>
      </c>
      <c r="M916" s="1">
        <v>400000</v>
      </c>
      <c r="N916" s="1">
        <v>1103574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1270000</v>
      </c>
      <c r="U916" s="1">
        <v>0</v>
      </c>
      <c r="V916" s="1">
        <v>1522081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788268</v>
      </c>
      <c r="AF916" s="1">
        <v>1111269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1103574</v>
      </c>
      <c r="AM916" s="1">
        <v>0</v>
      </c>
      <c r="AN916" s="1">
        <v>26484166</v>
      </c>
      <c r="AO916" s="1">
        <v>8539664</v>
      </c>
      <c r="AP916" s="1">
        <v>17944502</v>
      </c>
      <c r="AQ916" s="1">
        <v>4820579</v>
      </c>
      <c r="AR916" s="1">
        <v>723087</v>
      </c>
      <c r="AS916" s="1">
        <v>0</v>
      </c>
      <c r="AT916" s="1">
        <f t="shared" si="97"/>
        <v>32027832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14093793</v>
      </c>
      <c r="G917" s="1">
        <v>1094376</v>
      </c>
      <c r="H917" s="1">
        <v>0</v>
      </c>
      <c r="I917" s="1">
        <v>9463092</v>
      </c>
      <c r="J917" s="1">
        <v>0</v>
      </c>
      <c r="K917" s="1">
        <v>5500000</v>
      </c>
      <c r="L917" s="1">
        <v>0</v>
      </c>
      <c r="M917" s="1">
        <v>400000</v>
      </c>
      <c r="N917" s="1">
        <v>2261095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7504290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1615068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2584109</v>
      </c>
      <c r="AM917" s="1">
        <v>0</v>
      </c>
      <c r="AN917" s="1">
        <v>45615823</v>
      </c>
      <c r="AO917" s="1">
        <v>5013078</v>
      </c>
      <c r="AP917" s="1">
        <v>40602745</v>
      </c>
      <c r="AQ917" s="1">
        <v>9123165</v>
      </c>
      <c r="AR917" s="1">
        <v>1368475</v>
      </c>
      <c r="AS917" s="1">
        <v>0</v>
      </c>
      <c r="AT917" s="1">
        <f t="shared" si="97"/>
        <v>56107463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14130982</v>
      </c>
      <c r="G918" s="1">
        <v>12861494</v>
      </c>
      <c r="H918" s="1">
        <v>0</v>
      </c>
      <c r="I918" s="1">
        <v>10169608</v>
      </c>
      <c r="J918" s="1">
        <v>0</v>
      </c>
      <c r="K918" s="1">
        <v>5500000</v>
      </c>
      <c r="L918" s="1">
        <v>0</v>
      </c>
      <c r="M918" s="1">
        <v>400000</v>
      </c>
      <c r="N918" s="1">
        <v>2301094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9938154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1643638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3813240</v>
      </c>
      <c r="AM918" s="1">
        <v>0</v>
      </c>
      <c r="AN918" s="1">
        <v>61858210</v>
      </c>
      <c r="AO918" s="1">
        <v>11463637</v>
      </c>
      <c r="AP918" s="1">
        <v>50394573</v>
      </c>
      <c r="AQ918" s="1">
        <v>12371642</v>
      </c>
      <c r="AR918" s="1">
        <v>1855746</v>
      </c>
      <c r="AS918" s="1">
        <v>0</v>
      </c>
      <c r="AT918" s="1">
        <f t="shared" si="97"/>
        <v>76085598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13009168</v>
      </c>
      <c r="G919" s="1">
        <v>445673</v>
      </c>
      <c r="H919" s="1">
        <v>0</v>
      </c>
      <c r="I919" s="1">
        <v>9261982</v>
      </c>
      <c r="J919" s="1">
        <v>0</v>
      </c>
      <c r="K919" s="1">
        <v>4125000</v>
      </c>
      <c r="L919" s="1">
        <v>0</v>
      </c>
      <c r="M919" s="1">
        <v>400000</v>
      </c>
      <c r="N919" s="1">
        <v>1978341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2778224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1413100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2119651</v>
      </c>
      <c r="AM919" s="1">
        <v>0</v>
      </c>
      <c r="AN919" s="1">
        <v>36631139</v>
      </c>
      <c r="AO919" s="1">
        <v>9114067</v>
      </c>
      <c r="AP919" s="1">
        <v>27517072</v>
      </c>
      <c r="AQ919" s="1">
        <v>7326228</v>
      </c>
      <c r="AR919" s="1">
        <v>1098934</v>
      </c>
      <c r="AS919" s="1">
        <v>0</v>
      </c>
      <c r="AT919" s="1">
        <f t="shared" si="97"/>
        <v>45056301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14952050</v>
      </c>
      <c r="G920" s="1">
        <v>2186047</v>
      </c>
      <c r="H920" s="1">
        <v>0</v>
      </c>
      <c r="I920" s="1">
        <v>8094563</v>
      </c>
      <c r="J920" s="1">
        <v>0</v>
      </c>
      <c r="K920" s="1">
        <v>5500000</v>
      </c>
      <c r="L920" s="1">
        <v>0</v>
      </c>
      <c r="M920" s="1">
        <v>400000</v>
      </c>
      <c r="N920" s="1">
        <v>2541793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1270000</v>
      </c>
      <c r="U920" s="1">
        <v>0</v>
      </c>
      <c r="V920" s="1">
        <v>3406827</v>
      </c>
      <c r="W920" s="1">
        <v>1100000</v>
      </c>
      <c r="X920" s="1">
        <v>1639535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1815566</v>
      </c>
      <c r="AF920" s="1">
        <v>1111269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6664294</v>
      </c>
      <c r="AM920" s="1">
        <v>0</v>
      </c>
      <c r="AN920" s="1">
        <v>50681944</v>
      </c>
      <c r="AO920" s="1">
        <v>8641584</v>
      </c>
      <c r="AP920" s="1">
        <v>42040360</v>
      </c>
      <c r="AQ920" s="1">
        <v>9660135</v>
      </c>
      <c r="AR920" s="1">
        <v>1449020</v>
      </c>
      <c r="AS920" s="1">
        <v>0</v>
      </c>
      <c r="AT920" s="1">
        <f t="shared" si="97"/>
        <v>61791099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5"/>
        <v>قراردادي بهره بردار</v>
      </c>
      <c r="E921" s="1" t="str">
        <f t="shared" si="96"/>
        <v>پروژه بهره برداري نيروگاه بوشهر</v>
      </c>
      <c r="F921" s="1">
        <v>16460377</v>
      </c>
      <c r="G921" s="1">
        <v>4816340</v>
      </c>
      <c r="H921" s="1">
        <v>0</v>
      </c>
      <c r="I921" s="1">
        <v>11194736</v>
      </c>
      <c r="J921" s="1">
        <v>0</v>
      </c>
      <c r="K921" s="1">
        <v>4125000</v>
      </c>
      <c r="L921" s="1">
        <v>0</v>
      </c>
      <c r="M921" s="1">
        <v>400000</v>
      </c>
      <c r="N921" s="1">
        <v>2650542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8807023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1893244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3029190</v>
      </c>
      <c r="AM921" s="1">
        <v>0</v>
      </c>
      <c r="AN921" s="1">
        <v>54476452</v>
      </c>
      <c r="AO921" s="1">
        <v>8312045</v>
      </c>
      <c r="AP921" s="1">
        <v>46164407</v>
      </c>
      <c r="AQ921" s="1">
        <v>10895290</v>
      </c>
      <c r="AR921" s="1">
        <v>1634294</v>
      </c>
      <c r="AS921" s="1">
        <v>0</v>
      </c>
      <c r="AT921" s="1">
        <f t="shared" si="97"/>
        <v>67006036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8058492</v>
      </c>
      <c r="G922" s="1">
        <v>8022523</v>
      </c>
      <c r="H922" s="1">
        <v>0</v>
      </c>
      <c r="I922" s="1">
        <v>4835095</v>
      </c>
      <c r="J922" s="1">
        <v>0</v>
      </c>
      <c r="K922" s="1">
        <v>0</v>
      </c>
      <c r="L922" s="1">
        <v>3620700</v>
      </c>
      <c r="M922" s="1">
        <v>400000</v>
      </c>
      <c r="N922" s="1">
        <v>4297862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6693645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39250855</v>
      </c>
      <c r="AO922" s="1">
        <v>7170677</v>
      </c>
      <c r="AP922" s="1">
        <v>32080178</v>
      </c>
      <c r="AQ922" s="1">
        <v>7405663</v>
      </c>
      <c r="AR922" s="1">
        <v>1110850</v>
      </c>
      <c r="AS922" s="1">
        <v>795000</v>
      </c>
      <c r="AT922" s="1">
        <f t="shared" si="97"/>
        <v>48562368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5518656</v>
      </c>
      <c r="G923" s="1">
        <v>2685635</v>
      </c>
      <c r="H923" s="1">
        <v>0</v>
      </c>
      <c r="I923" s="1">
        <v>3311194</v>
      </c>
      <c r="J923" s="1">
        <v>0</v>
      </c>
      <c r="K923" s="1">
        <v>0</v>
      </c>
      <c r="L923" s="1">
        <v>3620700</v>
      </c>
      <c r="M923" s="1">
        <v>400000</v>
      </c>
      <c r="N923" s="1">
        <v>2943283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5068150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24647618</v>
      </c>
      <c r="AO923" s="1">
        <v>3165333</v>
      </c>
      <c r="AP923" s="1">
        <v>21482285</v>
      </c>
      <c r="AQ923" s="1">
        <v>4929524</v>
      </c>
      <c r="AR923" s="1">
        <v>739429</v>
      </c>
      <c r="AS923" s="1">
        <v>300000</v>
      </c>
      <c r="AT923" s="1">
        <f t="shared" si="97"/>
        <v>30616571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4834050</v>
      </c>
      <c r="G924" s="1">
        <v>564254</v>
      </c>
      <c r="H924" s="1">
        <v>0</v>
      </c>
      <c r="I924" s="1">
        <v>2900430</v>
      </c>
      <c r="J924" s="1">
        <v>0</v>
      </c>
      <c r="K924" s="1">
        <v>0</v>
      </c>
      <c r="L924" s="1">
        <v>3620700</v>
      </c>
      <c r="M924" s="1">
        <v>400000</v>
      </c>
      <c r="N924" s="1">
        <v>2578160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1543334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17540928</v>
      </c>
      <c r="AO924" s="1">
        <v>2367865</v>
      </c>
      <c r="AP924" s="1">
        <v>15173063</v>
      </c>
      <c r="AQ924" s="1">
        <v>3508186</v>
      </c>
      <c r="AR924" s="1">
        <v>526228</v>
      </c>
      <c r="AS924" s="1">
        <v>300000</v>
      </c>
      <c r="AT924" s="1">
        <f t="shared" si="97"/>
        <v>21875342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8">"پروژه بهره برداري نيروگاه بوشهر"</f>
        <v>پروژه بهره برداري نيروگاه بوشهر</v>
      </c>
      <c r="F925" s="1">
        <v>14665727</v>
      </c>
      <c r="G925" s="1">
        <v>0</v>
      </c>
      <c r="H925" s="1">
        <v>0</v>
      </c>
      <c r="I925" s="1">
        <v>9893024</v>
      </c>
      <c r="J925" s="1">
        <v>0</v>
      </c>
      <c r="K925" s="1">
        <v>4125000</v>
      </c>
      <c r="L925" s="1">
        <v>0</v>
      </c>
      <c r="M925" s="1">
        <v>400000</v>
      </c>
      <c r="N925" s="1">
        <v>2291427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5878982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1636734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2455100</v>
      </c>
      <c r="AM925" s="1">
        <v>0</v>
      </c>
      <c r="AN925" s="1">
        <v>42445994</v>
      </c>
      <c r="AO925" s="1">
        <v>6490162</v>
      </c>
      <c r="AP925" s="1">
        <v>35955832</v>
      </c>
      <c r="AQ925" s="1">
        <v>8489199</v>
      </c>
      <c r="AR925" s="1">
        <v>1273380</v>
      </c>
      <c r="AS925" s="1">
        <v>0</v>
      </c>
      <c r="AT925" s="1">
        <f t="shared" si="97"/>
        <v>52208573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8"/>
        <v>پروژه بهره برداري نيروگاه بوشهر</v>
      </c>
      <c r="F926" s="1">
        <v>15253321</v>
      </c>
      <c r="G926" s="1">
        <v>6614392</v>
      </c>
      <c r="H926" s="1">
        <v>0</v>
      </c>
      <c r="I926" s="1">
        <v>11025689</v>
      </c>
      <c r="J926" s="1">
        <v>0</v>
      </c>
      <c r="K926" s="1">
        <v>4125000</v>
      </c>
      <c r="L926" s="1">
        <v>0</v>
      </c>
      <c r="M926" s="1">
        <v>400000</v>
      </c>
      <c r="N926" s="1">
        <v>2525459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6872096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1803900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3752111</v>
      </c>
      <c r="AM926" s="1">
        <v>0</v>
      </c>
      <c r="AN926" s="1">
        <v>53471968</v>
      </c>
      <c r="AO926" s="1">
        <v>9627562</v>
      </c>
      <c r="AP926" s="1">
        <v>43844406</v>
      </c>
      <c r="AQ926" s="1">
        <v>10694394</v>
      </c>
      <c r="AR926" s="1">
        <v>1604159</v>
      </c>
      <c r="AS926" s="1">
        <v>0</v>
      </c>
      <c r="AT926" s="1">
        <f t="shared" si="97"/>
        <v>65770521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13131757</v>
      </c>
      <c r="G927" s="1">
        <v>2086129</v>
      </c>
      <c r="H927" s="1">
        <v>0</v>
      </c>
      <c r="I927" s="1">
        <v>6612251</v>
      </c>
      <c r="J927" s="1">
        <v>0</v>
      </c>
      <c r="K927" s="1">
        <v>5500000</v>
      </c>
      <c r="L927" s="1">
        <v>0</v>
      </c>
      <c r="M927" s="1">
        <v>400000</v>
      </c>
      <c r="N927" s="1">
        <v>2028141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1270000</v>
      </c>
      <c r="U927" s="1">
        <v>0</v>
      </c>
      <c r="V927" s="1">
        <v>2889876</v>
      </c>
      <c r="W927" s="1">
        <v>1100000</v>
      </c>
      <c r="X927" s="1">
        <v>1854337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1448673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5677935</v>
      </c>
      <c r="AM927" s="1">
        <v>0</v>
      </c>
      <c r="AN927" s="1">
        <v>43999099</v>
      </c>
      <c r="AO927" s="1">
        <v>10296236</v>
      </c>
      <c r="AP927" s="1">
        <v>33702863</v>
      </c>
      <c r="AQ927" s="1">
        <v>8545820</v>
      </c>
      <c r="AR927" s="1">
        <v>1281873</v>
      </c>
      <c r="AS927" s="1">
        <v>0</v>
      </c>
      <c r="AT927" s="1">
        <f t="shared" si="97"/>
        <v>53826792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11611761</v>
      </c>
      <c r="G928" s="1">
        <v>7970440</v>
      </c>
      <c r="H928" s="1">
        <v>0</v>
      </c>
      <c r="I928" s="1">
        <v>8997677</v>
      </c>
      <c r="J928" s="1">
        <v>0</v>
      </c>
      <c r="K928" s="1">
        <v>4620000</v>
      </c>
      <c r="L928" s="1">
        <v>0</v>
      </c>
      <c r="M928" s="1">
        <v>400000</v>
      </c>
      <c r="N928" s="1">
        <v>2164549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1270000</v>
      </c>
      <c r="U928" s="1">
        <v>0</v>
      </c>
      <c r="V928" s="1">
        <v>10848701</v>
      </c>
      <c r="W928" s="1">
        <v>1100000</v>
      </c>
      <c r="X928" s="1">
        <v>1741764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1546107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8554759</v>
      </c>
      <c r="AM928" s="1">
        <v>0</v>
      </c>
      <c r="AN928" s="1">
        <v>60825758</v>
      </c>
      <c r="AO928" s="1">
        <v>13290033</v>
      </c>
      <c r="AP928" s="1">
        <v>47535725</v>
      </c>
      <c r="AQ928" s="1">
        <v>11911152</v>
      </c>
      <c r="AR928" s="1">
        <v>1786673</v>
      </c>
      <c r="AS928" s="1">
        <v>0</v>
      </c>
      <c r="AT928" s="1">
        <f t="shared" si="97"/>
        <v>74523583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11637040</v>
      </c>
      <c r="G929" s="1">
        <v>8013829</v>
      </c>
      <c r="H929" s="1">
        <v>0</v>
      </c>
      <c r="I929" s="1">
        <v>9104085</v>
      </c>
      <c r="J929" s="1">
        <v>0</v>
      </c>
      <c r="K929" s="1">
        <v>4620000</v>
      </c>
      <c r="L929" s="1">
        <v>0</v>
      </c>
      <c r="M929" s="1">
        <v>400000</v>
      </c>
      <c r="N929" s="1">
        <v>2174333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1270000</v>
      </c>
      <c r="U929" s="1">
        <v>0</v>
      </c>
      <c r="V929" s="1">
        <v>10907759</v>
      </c>
      <c r="W929" s="1">
        <v>1100000</v>
      </c>
      <c r="X929" s="1">
        <v>1745556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1553095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8585262</v>
      </c>
      <c r="AM929" s="1">
        <v>0</v>
      </c>
      <c r="AN929" s="1">
        <v>61110959</v>
      </c>
      <c r="AO929" s="1">
        <v>13181281</v>
      </c>
      <c r="AP929" s="1">
        <v>47929678</v>
      </c>
      <c r="AQ929" s="1">
        <v>11968192</v>
      </c>
      <c r="AR929" s="1">
        <v>1795229</v>
      </c>
      <c r="AS929" s="1">
        <v>0</v>
      </c>
      <c r="AT929" s="1">
        <f t="shared" si="97"/>
        <v>74874380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8"/>
        <v>پروژه بهره برداري نيروگاه بوشهر</v>
      </c>
      <c r="F930" s="1">
        <v>8741115</v>
      </c>
      <c r="G930" s="1">
        <v>540786</v>
      </c>
      <c r="H930" s="1">
        <v>0</v>
      </c>
      <c r="I930" s="1">
        <v>4641416</v>
      </c>
      <c r="J930" s="1">
        <v>0</v>
      </c>
      <c r="K930" s="1">
        <v>0</v>
      </c>
      <c r="L930" s="1">
        <v>0</v>
      </c>
      <c r="M930" s="1">
        <v>400000</v>
      </c>
      <c r="N930" s="1">
        <v>1279577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1685567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913983</v>
      </c>
      <c r="AF930" s="1">
        <v>1111269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1279577</v>
      </c>
      <c r="AM930" s="1">
        <v>0</v>
      </c>
      <c r="AN930" s="1">
        <v>21693290</v>
      </c>
      <c r="AO930" s="1">
        <v>4660741</v>
      </c>
      <c r="AP930" s="1">
        <v>17032549</v>
      </c>
      <c r="AQ930" s="1">
        <v>4116404</v>
      </c>
      <c r="AR930" s="1">
        <v>617461</v>
      </c>
      <c r="AS930" s="1">
        <v>0</v>
      </c>
      <c r="AT930" s="1">
        <f t="shared" si="97"/>
        <v>26427155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8"/>
        <v>پروژه بهره برداري نيروگاه بوشهر</v>
      </c>
      <c r="F931" s="1">
        <v>11801687</v>
      </c>
      <c r="G931" s="1">
        <v>8190237</v>
      </c>
      <c r="H931" s="1">
        <v>0</v>
      </c>
      <c r="I931" s="1">
        <v>9366399</v>
      </c>
      <c r="J931" s="1">
        <v>0</v>
      </c>
      <c r="K931" s="1">
        <v>3465000</v>
      </c>
      <c r="L931" s="1">
        <v>0</v>
      </c>
      <c r="M931" s="1">
        <v>400000</v>
      </c>
      <c r="N931" s="1">
        <v>2236262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11147872</v>
      </c>
      <c r="W931" s="1">
        <v>1100000</v>
      </c>
      <c r="X931" s="1">
        <v>1770253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1597330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8779750</v>
      </c>
      <c r="AM931" s="1">
        <v>0</v>
      </c>
      <c r="AN931" s="1">
        <v>59854790</v>
      </c>
      <c r="AO931" s="1">
        <v>11742937</v>
      </c>
      <c r="AP931" s="1">
        <v>48111853</v>
      </c>
      <c r="AQ931" s="1">
        <v>11970958</v>
      </c>
      <c r="AR931" s="1">
        <v>1795644</v>
      </c>
      <c r="AS931" s="1">
        <v>0</v>
      </c>
      <c r="AT931" s="1">
        <f t="shared" si="97"/>
        <v>73621392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11094495</v>
      </c>
      <c r="G932" s="1">
        <v>13548470</v>
      </c>
      <c r="H932" s="1">
        <v>0</v>
      </c>
      <c r="I932" s="1">
        <v>10591763</v>
      </c>
      <c r="J932" s="1">
        <v>0</v>
      </c>
      <c r="K932" s="1">
        <v>3465000</v>
      </c>
      <c r="L932" s="1">
        <v>0</v>
      </c>
      <c r="M932" s="1">
        <v>400000</v>
      </c>
      <c r="N932" s="1">
        <v>1983849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6043320</v>
      </c>
      <c r="W932" s="1">
        <v>1100000</v>
      </c>
      <c r="X932" s="1">
        <v>1664174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1417035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7579453</v>
      </c>
      <c r="AM932" s="1">
        <v>0</v>
      </c>
      <c r="AN932" s="1">
        <v>58887559</v>
      </c>
      <c r="AO932" s="1">
        <v>16785000</v>
      </c>
      <c r="AP932" s="1">
        <v>42102559</v>
      </c>
      <c r="AQ932" s="1">
        <v>11777512</v>
      </c>
      <c r="AR932" s="1">
        <v>1766627</v>
      </c>
      <c r="AS932" s="1">
        <v>0</v>
      </c>
      <c r="AT932" s="1">
        <f t="shared" si="97"/>
        <v>72431698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8"/>
        <v>پروژه بهره برداري نيروگاه بوشهر</v>
      </c>
      <c r="F933" s="1">
        <v>13319195</v>
      </c>
      <c r="G933" s="1">
        <v>17060949</v>
      </c>
      <c r="H933" s="1">
        <v>0</v>
      </c>
      <c r="I933" s="1">
        <v>13830386</v>
      </c>
      <c r="J933" s="1">
        <v>0</v>
      </c>
      <c r="K933" s="1">
        <v>4620000</v>
      </c>
      <c r="L933" s="1">
        <v>0</v>
      </c>
      <c r="M933" s="1">
        <v>400000</v>
      </c>
      <c r="N933" s="1">
        <v>2522968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1270000</v>
      </c>
      <c r="U933" s="1">
        <v>0</v>
      </c>
      <c r="V933" s="1">
        <v>7868782</v>
      </c>
      <c r="W933" s="1">
        <v>1100000</v>
      </c>
      <c r="X933" s="1">
        <v>1997879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1802120</v>
      </c>
      <c r="AF933" s="1">
        <v>2222538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9402119</v>
      </c>
      <c r="AM933" s="1">
        <v>0</v>
      </c>
      <c r="AN933" s="1">
        <v>77416936</v>
      </c>
      <c r="AO933" s="1">
        <v>22619285</v>
      </c>
      <c r="AP933" s="1">
        <v>54797651</v>
      </c>
      <c r="AQ933" s="1">
        <v>14784880</v>
      </c>
      <c r="AR933" s="1">
        <v>2217732</v>
      </c>
      <c r="AS933" s="1">
        <v>0</v>
      </c>
      <c r="AT933" s="1">
        <f t="shared" si="97"/>
        <v>94419548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8"/>
        <v>پروژه بهره برداري نيروگاه بوشهر</v>
      </c>
      <c r="F934" s="1">
        <v>10745712</v>
      </c>
      <c r="G934" s="1">
        <v>13645746</v>
      </c>
      <c r="H934" s="1">
        <v>0</v>
      </c>
      <c r="I934" s="1">
        <v>10739625</v>
      </c>
      <c r="J934" s="1">
        <v>0</v>
      </c>
      <c r="K934" s="1">
        <v>4620000</v>
      </c>
      <c r="L934" s="1">
        <v>0</v>
      </c>
      <c r="M934" s="1">
        <v>400000</v>
      </c>
      <c r="N934" s="1">
        <v>2123874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6086710</v>
      </c>
      <c r="W934" s="1">
        <v>1100000</v>
      </c>
      <c r="X934" s="1">
        <v>1611857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1517052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7774872</v>
      </c>
      <c r="AM934" s="1">
        <v>0</v>
      </c>
      <c r="AN934" s="1">
        <v>61635448</v>
      </c>
      <c r="AO934" s="1">
        <v>12913293</v>
      </c>
      <c r="AP934" s="1">
        <v>48722155</v>
      </c>
      <c r="AQ934" s="1">
        <v>12073090</v>
      </c>
      <c r="AR934" s="1">
        <v>1810963</v>
      </c>
      <c r="AS934" s="1">
        <v>0</v>
      </c>
      <c r="AT934" s="1">
        <f t="shared" si="97"/>
        <v>75519501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8"/>
        <v>پروژه بهره برداري نيروگاه بوشهر</v>
      </c>
      <c r="F935" s="1">
        <v>8838254</v>
      </c>
      <c r="G935" s="1">
        <v>686616</v>
      </c>
      <c r="H935" s="1">
        <v>0</v>
      </c>
      <c r="I935" s="1">
        <v>4714424</v>
      </c>
      <c r="J935" s="1">
        <v>0</v>
      </c>
      <c r="K935" s="1">
        <v>0</v>
      </c>
      <c r="L935" s="1">
        <v>0</v>
      </c>
      <c r="M935" s="1">
        <v>400000</v>
      </c>
      <c r="N935" s="1">
        <v>1314572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1712080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938981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1314572</v>
      </c>
      <c r="AM935" s="1">
        <v>0</v>
      </c>
      <c r="AN935" s="1">
        <v>21019499</v>
      </c>
      <c r="AO935" s="1">
        <v>1511365</v>
      </c>
      <c r="AP935" s="1">
        <v>19508134</v>
      </c>
      <c r="AQ935" s="1">
        <v>4203900</v>
      </c>
      <c r="AR935" s="1">
        <v>630585</v>
      </c>
      <c r="AS935" s="1">
        <v>0</v>
      </c>
      <c r="AT935" s="1">
        <f t="shared" si="97"/>
        <v>25853984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9">"قراردادي بهره بردار"</f>
        <v>قراردادي بهره بردار</v>
      </c>
      <c r="E936" s="1" t="str">
        <f t="shared" si="98"/>
        <v>پروژه بهره برداري نيروگاه بوشهر</v>
      </c>
      <c r="F936" s="1">
        <v>10256320</v>
      </c>
      <c r="G936" s="1">
        <v>12585523</v>
      </c>
      <c r="H936" s="1">
        <v>0</v>
      </c>
      <c r="I936" s="1">
        <v>9784010</v>
      </c>
      <c r="J936" s="1">
        <v>0</v>
      </c>
      <c r="K936" s="1">
        <v>4620000</v>
      </c>
      <c r="L936" s="1">
        <v>0</v>
      </c>
      <c r="M936" s="1">
        <v>400000</v>
      </c>
      <c r="N936" s="1">
        <v>1873826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5613796</v>
      </c>
      <c r="W936" s="1">
        <v>1100000</v>
      </c>
      <c r="X936" s="1">
        <v>1538448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1338447</v>
      </c>
      <c r="AF936" s="1">
        <v>1111269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7092237</v>
      </c>
      <c r="AM936" s="1">
        <v>0</v>
      </c>
      <c r="AN936" s="1">
        <v>57313876</v>
      </c>
      <c r="AO936" s="1">
        <v>9884670</v>
      </c>
      <c r="AP936" s="1">
        <v>47429206</v>
      </c>
      <c r="AQ936" s="1">
        <v>11240521</v>
      </c>
      <c r="AR936" s="1">
        <v>1686078</v>
      </c>
      <c r="AS936" s="1">
        <v>0</v>
      </c>
      <c r="AT936" s="1">
        <f t="shared" si="97"/>
        <v>70240475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10500112</v>
      </c>
      <c r="G937" s="1">
        <v>935565</v>
      </c>
      <c r="H937" s="1">
        <v>0</v>
      </c>
      <c r="I937" s="1">
        <v>9827526</v>
      </c>
      <c r="J937" s="1">
        <v>0</v>
      </c>
      <c r="K937" s="1">
        <v>4620000</v>
      </c>
      <c r="L937" s="1">
        <v>0</v>
      </c>
      <c r="M937" s="1">
        <v>400000</v>
      </c>
      <c r="N937" s="1">
        <v>1747709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1270000</v>
      </c>
      <c r="U937" s="1">
        <v>0</v>
      </c>
      <c r="V937" s="1">
        <v>5007728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1248363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3745090</v>
      </c>
      <c r="AM937" s="1">
        <v>0</v>
      </c>
      <c r="AN937" s="1">
        <v>42624631</v>
      </c>
      <c r="AO937" s="1">
        <v>12547976</v>
      </c>
      <c r="AP937" s="1">
        <v>30076655</v>
      </c>
      <c r="AQ937" s="1">
        <v>7826419</v>
      </c>
      <c r="AR937" s="1">
        <v>1173963</v>
      </c>
      <c r="AS937" s="1">
        <v>0</v>
      </c>
      <c r="AT937" s="1">
        <f t="shared" si="97"/>
        <v>51625013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9"/>
        <v>قراردادي بهره بردار</v>
      </c>
      <c r="E938" s="1" t="str">
        <f t="shared" si="98"/>
        <v>پروژه بهره برداري نيروگاه بوشهر</v>
      </c>
      <c r="F938" s="1">
        <v>11147369</v>
      </c>
      <c r="G938" s="1">
        <v>13598414</v>
      </c>
      <c r="H938" s="1">
        <v>0</v>
      </c>
      <c r="I938" s="1">
        <v>10569211</v>
      </c>
      <c r="J938" s="1">
        <v>0</v>
      </c>
      <c r="K938" s="1">
        <v>4620000</v>
      </c>
      <c r="L938" s="1">
        <v>0</v>
      </c>
      <c r="M938" s="1">
        <v>400000</v>
      </c>
      <c r="N938" s="1">
        <v>2003095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6065598</v>
      </c>
      <c r="W938" s="1">
        <v>1100000</v>
      </c>
      <c r="X938" s="1">
        <v>1672105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1430782</v>
      </c>
      <c r="AF938" s="1">
        <v>1111269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7636555</v>
      </c>
      <c r="AM938" s="1">
        <v>0</v>
      </c>
      <c r="AN938" s="1">
        <v>62624398</v>
      </c>
      <c r="AO938" s="1">
        <v>12604620</v>
      </c>
      <c r="AP938" s="1">
        <v>50019778</v>
      </c>
      <c r="AQ938" s="1">
        <v>12048626</v>
      </c>
      <c r="AR938" s="1">
        <v>1807294</v>
      </c>
      <c r="AS938" s="1">
        <v>0</v>
      </c>
      <c r="AT938" s="1">
        <f t="shared" si="97"/>
        <v>76480318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9"/>
        <v>قراردادي بهره بردار</v>
      </c>
      <c r="E939" s="1" t="str">
        <f t="shared" si="98"/>
        <v>پروژه بهره برداري نيروگاه بوشهر</v>
      </c>
      <c r="F939" s="1">
        <v>11524827</v>
      </c>
      <c r="G939" s="1">
        <v>14397233</v>
      </c>
      <c r="H939" s="1">
        <v>0</v>
      </c>
      <c r="I939" s="1">
        <v>11384091</v>
      </c>
      <c r="J939" s="1">
        <v>0</v>
      </c>
      <c r="K939" s="1">
        <v>4620000</v>
      </c>
      <c r="L939" s="1">
        <v>0</v>
      </c>
      <c r="M939" s="1">
        <v>400000</v>
      </c>
      <c r="N939" s="1">
        <v>2145005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6494993</v>
      </c>
      <c r="W939" s="1">
        <v>1100000</v>
      </c>
      <c r="X939" s="1">
        <v>1728724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1532147</v>
      </c>
      <c r="AF939" s="1">
        <v>2222538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8053888</v>
      </c>
      <c r="AM939" s="1">
        <v>0</v>
      </c>
      <c r="AN939" s="1">
        <v>66873446</v>
      </c>
      <c r="AO939" s="1">
        <v>17517515</v>
      </c>
      <c r="AP939" s="1">
        <v>49355931</v>
      </c>
      <c r="AQ939" s="1">
        <v>12676182</v>
      </c>
      <c r="AR939" s="1">
        <v>1901427</v>
      </c>
      <c r="AS939" s="1">
        <v>0</v>
      </c>
      <c r="AT939" s="1">
        <f t="shared" si="97"/>
        <v>81451055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9"/>
        <v>قراردادي بهره بردار</v>
      </c>
      <c r="E940" s="1" t="str">
        <f t="shared" si="98"/>
        <v>پروژه بهره برداري نيروگاه بوشهر</v>
      </c>
      <c r="F940" s="1">
        <v>12488068</v>
      </c>
      <c r="G940" s="1">
        <v>16134601</v>
      </c>
      <c r="H940" s="1">
        <v>0</v>
      </c>
      <c r="I940" s="1">
        <v>12845208</v>
      </c>
      <c r="J940" s="1">
        <v>0</v>
      </c>
      <c r="K940" s="1">
        <v>4620000</v>
      </c>
      <c r="L940" s="1">
        <v>0</v>
      </c>
      <c r="M940" s="1">
        <v>400000</v>
      </c>
      <c r="N940" s="1">
        <v>2504145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7360322</v>
      </c>
      <c r="W940" s="1">
        <v>1100000</v>
      </c>
      <c r="X940" s="1">
        <v>1873210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1788674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9112443</v>
      </c>
      <c r="AM940" s="1">
        <v>0</v>
      </c>
      <c r="AN940" s="1">
        <v>71496671</v>
      </c>
      <c r="AO940" s="1">
        <v>15428694</v>
      </c>
      <c r="AP940" s="1">
        <v>56067977</v>
      </c>
      <c r="AQ940" s="1">
        <v>14045334</v>
      </c>
      <c r="AR940" s="1">
        <v>2106800</v>
      </c>
      <c r="AS940" s="1">
        <v>0</v>
      </c>
      <c r="AT940" s="1">
        <f t="shared" si="97"/>
        <v>87648805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9"/>
        <v>قراردادي بهره بردار</v>
      </c>
      <c r="E941" s="1" t="str">
        <f t="shared" si="98"/>
        <v>پروژه بهره برداري نيروگاه بوشهر</v>
      </c>
      <c r="F941" s="1">
        <v>10934773</v>
      </c>
      <c r="G941" s="1">
        <v>12180623</v>
      </c>
      <c r="H941" s="1">
        <v>0</v>
      </c>
      <c r="I941" s="1">
        <v>9419474</v>
      </c>
      <c r="J941" s="1">
        <v>0</v>
      </c>
      <c r="K941" s="1">
        <v>4620000</v>
      </c>
      <c r="L941" s="1">
        <v>0</v>
      </c>
      <c r="M941" s="1">
        <v>400000</v>
      </c>
      <c r="N941" s="1">
        <v>1911304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5433189</v>
      </c>
      <c r="W941" s="1">
        <v>1100000</v>
      </c>
      <c r="X941" s="1">
        <v>1640216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1365217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5737822</v>
      </c>
      <c r="AM941" s="1">
        <v>0</v>
      </c>
      <c r="AN941" s="1">
        <v>58235156</v>
      </c>
      <c r="AO941" s="1">
        <v>13310078</v>
      </c>
      <c r="AP941" s="1">
        <v>44925078</v>
      </c>
      <c r="AQ941" s="1">
        <v>10948524</v>
      </c>
      <c r="AR941" s="1">
        <v>1642279</v>
      </c>
      <c r="AS941" s="1">
        <v>0</v>
      </c>
      <c r="AT941" s="1">
        <f t="shared" si="97"/>
        <v>70825959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9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33914781</v>
      </c>
      <c r="G942" s="1">
        <v>0</v>
      </c>
      <c r="H942" s="1">
        <v>0</v>
      </c>
      <c r="I942" s="1">
        <v>39687712</v>
      </c>
      <c r="J942" s="1">
        <v>0</v>
      </c>
      <c r="K942" s="1">
        <v>5500000</v>
      </c>
      <c r="L942" s="1">
        <v>0</v>
      </c>
      <c r="M942" s="1">
        <v>400000</v>
      </c>
      <c r="N942" s="1">
        <v>5228461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8779403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3734615</v>
      </c>
      <c r="AF942" s="1">
        <v>3333807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5228461</v>
      </c>
      <c r="AM942" s="1">
        <v>0</v>
      </c>
      <c r="AN942" s="1">
        <v>106907240</v>
      </c>
      <c r="AO942" s="1">
        <v>20862647</v>
      </c>
      <c r="AP942" s="1">
        <v>86044593</v>
      </c>
      <c r="AQ942" s="1">
        <v>15557766</v>
      </c>
      <c r="AR942" s="1">
        <v>2333665</v>
      </c>
      <c r="AS942" s="1">
        <v>0</v>
      </c>
      <c r="AT942" s="1">
        <f t="shared" si="97"/>
        <v>124798671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9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14939474</v>
      </c>
      <c r="G943" s="1">
        <v>10708275</v>
      </c>
      <c r="H943" s="1">
        <v>0</v>
      </c>
      <c r="I943" s="1">
        <v>11140759</v>
      </c>
      <c r="J943" s="1">
        <v>0</v>
      </c>
      <c r="K943" s="1">
        <v>5500000</v>
      </c>
      <c r="L943" s="1">
        <v>0</v>
      </c>
      <c r="M943" s="1">
        <v>400000</v>
      </c>
      <c r="N943" s="1">
        <v>2219332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3178708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1585237</v>
      </c>
      <c r="AF943" s="1">
        <v>1111269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1902285</v>
      </c>
      <c r="AM943" s="1">
        <v>0</v>
      </c>
      <c r="AN943" s="1">
        <v>53785339</v>
      </c>
      <c r="AO943" s="1">
        <v>27680379</v>
      </c>
      <c r="AP943" s="1">
        <v>26104960</v>
      </c>
      <c r="AQ943" s="1">
        <v>10534814</v>
      </c>
      <c r="AR943" s="1">
        <v>1580222</v>
      </c>
      <c r="AS943" s="1">
        <v>0</v>
      </c>
      <c r="AT943" s="1">
        <f t="shared" si="97"/>
        <v>65900375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100">"قراردادي کارگري"</f>
        <v>قراردادي کارگري</v>
      </c>
      <c r="E944" s="1" t="str">
        <f t="shared" ref="E944:E951" si="101">"پروژه تعميرات نيروگاه بوشهر"</f>
        <v>پروژه تعميرات نيروگاه بوشهر</v>
      </c>
      <c r="F944" s="1">
        <v>5450718</v>
      </c>
      <c r="G944" s="1">
        <v>6294486</v>
      </c>
      <c r="H944" s="1">
        <v>0</v>
      </c>
      <c r="I944" s="1">
        <v>3270431</v>
      </c>
      <c r="J944" s="1">
        <v>0</v>
      </c>
      <c r="K944" s="1">
        <v>0</v>
      </c>
      <c r="L944" s="1">
        <v>3620700</v>
      </c>
      <c r="M944" s="1">
        <v>400000</v>
      </c>
      <c r="N944" s="1">
        <v>2907050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3517269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26560654</v>
      </c>
      <c r="AO944" s="1">
        <v>3489246</v>
      </c>
      <c r="AP944" s="1">
        <v>23071408</v>
      </c>
      <c r="AQ944" s="1">
        <v>5312131</v>
      </c>
      <c r="AR944" s="1">
        <v>796820</v>
      </c>
      <c r="AS944" s="1">
        <v>265000</v>
      </c>
      <c r="AT944" s="1">
        <f t="shared" si="97"/>
        <v>32934605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5905380</v>
      </c>
      <c r="G945" s="1">
        <v>0</v>
      </c>
      <c r="H945" s="1">
        <v>0</v>
      </c>
      <c r="I945" s="1">
        <v>3543228</v>
      </c>
      <c r="J945" s="1">
        <v>0</v>
      </c>
      <c r="K945" s="1">
        <v>0</v>
      </c>
      <c r="L945" s="1">
        <v>3620700</v>
      </c>
      <c r="M945" s="1">
        <v>400000</v>
      </c>
      <c r="N945" s="1">
        <v>3149536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5404247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2432827</v>
      </c>
      <c r="AE945" s="1">
        <v>0</v>
      </c>
      <c r="AF945" s="1">
        <v>1111269</v>
      </c>
      <c r="AG945" s="1">
        <v>0</v>
      </c>
      <c r="AH945" s="1">
        <v>0</v>
      </c>
      <c r="AI945" s="1">
        <v>0</v>
      </c>
      <c r="AJ945" s="1">
        <v>3027233</v>
      </c>
      <c r="AK945" s="1">
        <v>0</v>
      </c>
      <c r="AL945" s="1">
        <v>0</v>
      </c>
      <c r="AM945" s="1">
        <v>0</v>
      </c>
      <c r="AN945" s="1">
        <v>29694420</v>
      </c>
      <c r="AO945" s="1">
        <v>5156097</v>
      </c>
      <c r="AP945" s="1">
        <v>24538323</v>
      </c>
      <c r="AQ945" s="1">
        <v>5716630</v>
      </c>
      <c r="AR945" s="1">
        <v>857495</v>
      </c>
      <c r="AS945" s="1">
        <v>585000</v>
      </c>
      <c r="AT945" s="1">
        <f t="shared" si="97"/>
        <v>36853545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5330520</v>
      </c>
      <c r="G946" s="1">
        <v>2189981</v>
      </c>
      <c r="H946" s="1">
        <v>0</v>
      </c>
      <c r="I946" s="1">
        <v>3198312</v>
      </c>
      <c r="J946" s="1">
        <v>0</v>
      </c>
      <c r="K946" s="1">
        <v>0</v>
      </c>
      <c r="L946" s="1">
        <v>3620700</v>
      </c>
      <c r="M946" s="1">
        <v>400000</v>
      </c>
      <c r="N946" s="1">
        <v>2842944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5030205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25935200</v>
      </c>
      <c r="AO946" s="1">
        <v>6686552</v>
      </c>
      <c r="AP946" s="1">
        <v>19248648</v>
      </c>
      <c r="AQ946" s="1">
        <v>4742532</v>
      </c>
      <c r="AR946" s="1">
        <v>711380</v>
      </c>
      <c r="AS946" s="1">
        <v>1060000</v>
      </c>
      <c r="AT946" s="1">
        <f t="shared" si="97"/>
        <v>32449112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5346198</v>
      </c>
      <c r="G947" s="1">
        <v>6557152</v>
      </c>
      <c r="H947" s="1">
        <v>0</v>
      </c>
      <c r="I947" s="1">
        <v>3207719</v>
      </c>
      <c r="J947" s="1">
        <v>0</v>
      </c>
      <c r="K947" s="1">
        <v>0</v>
      </c>
      <c r="L947" s="1">
        <v>3620700</v>
      </c>
      <c r="M947" s="1">
        <v>400000</v>
      </c>
      <c r="N947" s="1">
        <v>2851306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4957777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28040852</v>
      </c>
      <c r="AO947" s="1">
        <v>3212707</v>
      </c>
      <c r="AP947" s="1">
        <v>24828145</v>
      </c>
      <c r="AQ947" s="1">
        <v>5608170</v>
      </c>
      <c r="AR947" s="1">
        <v>841226</v>
      </c>
      <c r="AS947" s="1">
        <v>530000</v>
      </c>
      <c r="AT947" s="1">
        <f t="shared" si="97"/>
        <v>35020248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100"/>
        <v>قراردادي کارگري</v>
      </c>
      <c r="E948" s="1" t="str">
        <f t="shared" si="101"/>
        <v>پروژه تعميرات نيروگاه بوشهر</v>
      </c>
      <c r="F948" s="1">
        <v>5335746</v>
      </c>
      <c r="G948" s="1">
        <v>4365093</v>
      </c>
      <c r="H948" s="1">
        <v>0</v>
      </c>
      <c r="I948" s="1">
        <v>3201448</v>
      </c>
      <c r="J948" s="1">
        <v>0</v>
      </c>
      <c r="K948" s="1">
        <v>0</v>
      </c>
      <c r="L948" s="1">
        <v>3620700</v>
      </c>
      <c r="M948" s="1">
        <v>400000</v>
      </c>
      <c r="N948" s="1">
        <v>2845731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4951087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25819805</v>
      </c>
      <c r="AO948" s="1">
        <v>3612141</v>
      </c>
      <c r="AP948" s="1">
        <v>22207664</v>
      </c>
      <c r="AQ948" s="1">
        <v>5163961</v>
      </c>
      <c r="AR948" s="1">
        <v>774594</v>
      </c>
      <c r="AS948" s="1">
        <v>0</v>
      </c>
      <c r="AT948" s="1">
        <f t="shared" si="97"/>
        <v>31758360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100"/>
        <v>قراردادي کارگري</v>
      </c>
      <c r="E949" s="1" t="str">
        <f t="shared" si="101"/>
        <v>پروژه تعميرات نيروگاه بوشهر</v>
      </c>
      <c r="F949" s="1">
        <v>5429814</v>
      </c>
      <c r="G949" s="1">
        <v>2948107</v>
      </c>
      <c r="H949" s="1">
        <v>0</v>
      </c>
      <c r="I949" s="1">
        <v>3257888</v>
      </c>
      <c r="J949" s="1">
        <v>0</v>
      </c>
      <c r="K949" s="1">
        <v>0</v>
      </c>
      <c r="L949" s="1">
        <v>3620700</v>
      </c>
      <c r="M949" s="1">
        <v>400000</v>
      </c>
      <c r="N949" s="1">
        <v>2895901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5011291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24663701</v>
      </c>
      <c r="AO949" s="1">
        <v>3026459</v>
      </c>
      <c r="AP949" s="1">
        <v>21637242</v>
      </c>
      <c r="AQ949" s="1">
        <v>4932740</v>
      </c>
      <c r="AR949" s="1">
        <v>739911</v>
      </c>
      <c r="AS949" s="1">
        <v>530000</v>
      </c>
      <c r="AT949" s="1">
        <f t="shared" si="97"/>
        <v>30866352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100"/>
        <v>قراردادي کارگري</v>
      </c>
      <c r="E950" s="1" t="str">
        <f t="shared" si="101"/>
        <v>پروژه تعميرات نيروگاه بوشهر</v>
      </c>
      <c r="F950" s="1">
        <v>5053542</v>
      </c>
      <c r="G950" s="1">
        <v>0</v>
      </c>
      <c r="H950" s="1">
        <v>0</v>
      </c>
      <c r="I950" s="1">
        <v>3032125</v>
      </c>
      <c r="J950" s="1">
        <v>0</v>
      </c>
      <c r="K950" s="1">
        <v>0</v>
      </c>
      <c r="L950" s="1">
        <v>3620700</v>
      </c>
      <c r="M950" s="1">
        <v>400000</v>
      </c>
      <c r="N950" s="1">
        <v>2695222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4690969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2160238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1781972</v>
      </c>
      <c r="AK950" s="1">
        <v>0</v>
      </c>
      <c r="AL950" s="1">
        <v>0</v>
      </c>
      <c r="AM950" s="1">
        <v>0</v>
      </c>
      <c r="AN950" s="1">
        <v>25646037</v>
      </c>
      <c r="AO950" s="1">
        <v>3834660</v>
      </c>
      <c r="AP950" s="1">
        <v>21811377</v>
      </c>
      <c r="AQ950" s="1">
        <v>4906954</v>
      </c>
      <c r="AR950" s="1">
        <v>736043</v>
      </c>
      <c r="AS950" s="1">
        <v>795000</v>
      </c>
      <c r="AT950" s="1">
        <f t="shared" si="97"/>
        <v>32084034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100"/>
        <v>قراردادي کارگري</v>
      </c>
      <c r="E951" s="1" t="str">
        <f t="shared" si="101"/>
        <v>پروژه تعميرات نيروگاه بوشهر</v>
      </c>
      <c r="F951" s="1">
        <v>4844502</v>
      </c>
      <c r="G951" s="1">
        <v>1254263</v>
      </c>
      <c r="H951" s="1">
        <v>0</v>
      </c>
      <c r="I951" s="1">
        <v>2906701</v>
      </c>
      <c r="J951" s="1">
        <v>0</v>
      </c>
      <c r="K951" s="1">
        <v>0</v>
      </c>
      <c r="L951" s="1">
        <v>3620700</v>
      </c>
      <c r="M951" s="1">
        <v>400000</v>
      </c>
      <c r="N951" s="1">
        <v>2583734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3245684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2093346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1605457</v>
      </c>
      <c r="AK951" s="1">
        <v>0</v>
      </c>
      <c r="AL951" s="1">
        <v>0</v>
      </c>
      <c r="AM951" s="1">
        <v>0</v>
      </c>
      <c r="AN951" s="1">
        <v>24765656</v>
      </c>
      <c r="AO951" s="1">
        <v>3690316</v>
      </c>
      <c r="AP951" s="1">
        <v>21075340</v>
      </c>
      <c r="AQ951" s="1">
        <v>4730877</v>
      </c>
      <c r="AR951" s="1">
        <v>709632</v>
      </c>
      <c r="AS951" s="1">
        <v>795000</v>
      </c>
      <c r="AT951" s="1">
        <f t="shared" si="97"/>
        <v>31001165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11713855</v>
      </c>
      <c r="G952" s="1">
        <v>18293599</v>
      </c>
      <c r="H952" s="1">
        <v>0</v>
      </c>
      <c r="I952" s="1">
        <v>11443537</v>
      </c>
      <c r="J952" s="1">
        <v>0</v>
      </c>
      <c r="K952" s="1">
        <v>5500000</v>
      </c>
      <c r="L952" s="1">
        <v>0</v>
      </c>
      <c r="M952" s="1">
        <v>400000</v>
      </c>
      <c r="N952" s="1">
        <v>2214123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1270000</v>
      </c>
      <c r="U952" s="1">
        <v>0</v>
      </c>
      <c r="V952" s="1">
        <v>6602202</v>
      </c>
      <c r="W952" s="1">
        <v>1100000</v>
      </c>
      <c r="X952" s="1">
        <v>1757078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1581517</v>
      </c>
      <c r="AF952" s="1">
        <v>1111269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8258707</v>
      </c>
      <c r="AM952" s="1">
        <v>0</v>
      </c>
      <c r="AN952" s="1">
        <v>71245887</v>
      </c>
      <c r="AO952" s="1">
        <v>13048186</v>
      </c>
      <c r="AP952" s="1">
        <v>58197701</v>
      </c>
      <c r="AQ952" s="1">
        <v>13772924</v>
      </c>
      <c r="AR952" s="1">
        <v>2065939</v>
      </c>
      <c r="AS952" s="1">
        <v>0</v>
      </c>
      <c r="AT952" s="1">
        <f t="shared" si="97"/>
        <v>87084750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11343611</v>
      </c>
      <c r="G953" s="1">
        <v>14138568</v>
      </c>
      <c r="H953" s="1">
        <v>0</v>
      </c>
      <c r="I953" s="1">
        <v>11325855</v>
      </c>
      <c r="J953" s="1">
        <v>0</v>
      </c>
      <c r="K953" s="1">
        <v>4620000</v>
      </c>
      <c r="L953" s="1">
        <v>0</v>
      </c>
      <c r="M953" s="1">
        <v>400000</v>
      </c>
      <c r="N953" s="1">
        <v>2078436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1270000</v>
      </c>
      <c r="U953" s="1">
        <v>0</v>
      </c>
      <c r="V953" s="1">
        <v>6306535</v>
      </c>
      <c r="W953" s="1">
        <v>1100000</v>
      </c>
      <c r="X953" s="1">
        <v>1701542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1484598</v>
      </c>
      <c r="AF953" s="1">
        <v>2222538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7856875</v>
      </c>
      <c r="AM953" s="1">
        <v>0</v>
      </c>
      <c r="AN953" s="1">
        <v>65848558</v>
      </c>
      <c r="AO953" s="1">
        <v>12278571</v>
      </c>
      <c r="AP953" s="1">
        <v>53569987</v>
      </c>
      <c r="AQ953" s="1">
        <v>12471204</v>
      </c>
      <c r="AR953" s="1">
        <v>1870681</v>
      </c>
      <c r="AS953" s="1">
        <v>0</v>
      </c>
      <c r="AT953" s="1">
        <f t="shared" si="97"/>
        <v>80190443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23181300</v>
      </c>
      <c r="G954" s="1">
        <v>20106648</v>
      </c>
      <c r="H954" s="1">
        <v>0</v>
      </c>
      <c r="I954" s="1">
        <v>18565575</v>
      </c>
      <c r="J954" s="1">
        <v>0</v>
      </c>
      <c r="K954" s="1">
        <v>5500000</v>
      </c>
      <c r="L954" s="1">
        <v>0</v>
      </c>
      <c r="M954" s="1">
        <v>400000</v>
      </c>
      <c r="N954" s="1">
        <v>3299472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5333623</v>
      </c>
      <c r="W954" s="1">
        <v>1100000</v>
      </c>
      <c r="X954" s="1">
        <v>0</v>
      </c>
      <c r="Y954" s="1">
        <v>0</v>
      </c>
      <c r="Z954" s="1">
        <v>5445218</v>
      </c>
      <c r="AA954" s="1">
        <v>0</v>
      </c>
      <c r="AB954" s="1">
        <v>0</v>
      </c>
      <c r="AC954" s="1">
        <v>0</v>
      </c>
      <c r="AD954" s="1">
        <v>0</v>
      </c>
      <c r="AE954" s="1">
        <v>2356766</v>
      </c>
      <c r="AF954" s="1">
        <v>1111269</v>
      </c>
      <c r="AG954" s="1">
        <v>3105000</v>
      </c>
      <c r="AH954" s="1">
        <v>0</v>
      </c>
      <c r="AI954" s="1">
        <v>0</v>
      </c>
      <c r="AJ954" s="1">
        <v>0</v>
      </c>
      <c r="AK954" s="1">
        <v>0</v>
      </c>
      <c r="AL954" s="1">
        <v>2828119</v>
      </c>
      <c r="AM954" s="1">
        <v>0</v>
      </c>
      <c r="AN954" s="1">
        <v>92332990</v>
      </c>
      <c r="AO954" s="1">
        <v>6910964</v>
      </c>
      <c r="AP954" s="1">
        <v>85422026</v>
      </c>
      <c r="AQ954" s="1">
        <v>15557766</v>
      </c>
      <c r="AR954" s="1">
        <v>2333665</v>
      </c>
      <c r="AS954" s="1">
        <v>2550000</v>
      </c>
      <c r="AT954" s="1">
        <f t="shared" si="97"/>
        <v>112774421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4630236</v>
      </c>
      <c r="G955" s="1">
        <v>3062171</v>
      </c>
      <c r="H955" s="1">
        <v>0</v>
      </c>
      <c r="I955" s="1">
        <v>2778142</v>
      </c>
      <c r="J955" s="1">
        <v>0</v>
      </c>
      <c r="K955" s="1">
        <v>0</v>
      </c>
      <c r="L955" s="1">
        <v>3620700</v>
      </c>
      <c r="M955" s="1">
        <v>400000</v>
      </c>
      <c r="N955" s="1">
        <v>2469459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1499854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2024781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2099775</v>
      </c>
      <c r="AK955" s="1">
        <v>0</v>
      </c>
      <c r="AL955" s="1">
        <v>0</v>
      </c>
      <c r="AM955" s="1">
        <v>0</v>
      </c>
      <c r="AN955" s="1">
        <v>23685118</v>
      </c>
      <c r="AO955" s="1">
        <v>3837958</v>
      </c>
      <c r="AP955" s="1">
        <v>19847160</v>
      </c>
      <c r="AQ955" s="1">
        <v>4737024</v>
      </c>
      <c r="AR955" s="1">
        <v>710554</v>
      </c>
      <c r="AS955" s="1">
        <v>195000</v>
      </c>
      <c r="AT955" s="1">
        <f t="shared" si="97"/>
        <v>29327696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2">"قراردادي بهره بردار"</f>
        <v>قراردادي بهره بردار</v>
      </c>
      <c r="E956" s="1" t="str">
        <f t="shared" ref="E956:E968" si="103">"پروژه بهره برداري نيروگاه بوشهر"</f>
        <v>پروژه بهره برداري نيروگاه بوشهر</v>
      </c>
      <c r="F956" s="1">
        <v>12098673</v>
      </c>
      <c r="G956" s="1">
        <v>8837963</v>
      </c>
      <c r="H956" s="1">
        <v>0</v>
      </c>
      <c r="I956" s="1">
        <v>8821728</v>
      </c>
      <c r="J956" s="1">
        <v>0</v>
      </c>
      <c r="K956" s="1">
        <v>4125000</v>
      </c>
      <c r="L956" s="1">
        <v>0</v>
      </c>
      <c r="M956" s="1">
        <v>400000</v>
      </c>
      <c r="N956" s="1">
        <v>1646616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2562502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1176155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1881848</v>
      </c>
      <c r="AM956" s="1">
        <v>0</v>
      </c>
      <c r="AN956" s="1">
        <v>42650485</v>
      </c>
      <c r="AO956" s="1">
        <v>8149007</v>
      </c>
      <c r="AP956" s="1">
        <v>34501478</v>
      </c>
      <c r="AQ956" s="1">
        <v>8530097</v>
      </c>
      <c r="AR956" s="1">
        <v>1279515</v>
      </c>
      <c r="AS956" s="1">
        <v>0</v>
      </c>
      <c r="AT956" s="1">
        <f t="shared" si="97"/>
        <v>52460097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12843299</v>
      </c>
      <c r="G957" s="1">
        <v>16836606</v>
      </c>
      <c r="H957" s="1">
        <v>0</v>
      </c>
      <c r="I957" s="1">
        <v>6350789</v>
      </c>
      <c r="J957" s="1">
        <v>0</v>
      </c>
      <c r="K957" s="1">
        <v>4125000</v>
      </c>
      <c r="L957" s="1">
        <v>0</v>
      </c>
      <c r="M957" s="1">
        <v>400000</v>
      </c>
      <c r="N957" s="1">
        <v>1921518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1270000</v>
      </c>
      <c r="U957" s="1">
        <v>0</v>
      </c>
      <c r="V957" s="1">
        <v>2798813</v>
      </c>
      <c r="W957" s="1">
        <v>1100000</v>
      </c>
      <c r="X957" s="1">
        <v>1926495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1372513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5500005</v>
      </c>
      <c r="AM957" s="1">
        <v>0</v>
      </c>
      <c r="AN957" s="1">
        <v>56445038</v>
      </c>
      <c r="AO957" s="1">
        <v>6859407</v>
      </c>
      <c r="AP957" s="1">
        <v>49585631</v>
      </c>
      <c r="AQ957" s="1">
        <v>11035008</v>
      </c>
      <c r="AR957" s="1">
        <v>1655251</v>
      </c>
      <c r="AS957" s="1">
        <v>0</v>
      </c>
      <c r="AT957" s="1">
        <f t="shared" si="97"/>
        <v>69135297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13783933</v>
      </c>
      <c r="G958" s="1">
        <v>3877820</v>
      </c>
      <c r="H958" s="1">
        <v>0</v>
      </c>
      <c r="I958" s="1">
        <v>9279642</v>
      </c>
      <c r="J958" s="1">
        <v>0</v>
      </c>
      <c r="K958" s="1">
        <v>5500000</v>
      </c>
      <c r="L958" s="1">
        <v>0</v>
      </c>
      <c r="M958" s="1">
        <v>400000</v>
      </c>
      <c r="N958" s="1">
        <v>2140191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1270000</v>
      </c>
      <c r="U958" s="1">
        <v>0</v>
      </c>
      <c r="V958" s="1">
        <v>5909059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1528707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2812822</v>
      </c>
      <c r="AM958" s="1">
        <v>0</v>
      </c>
      <c r="AN958" s="1">
        <v>47602174</v>
      </c>
      <c r="AO958" s="1">
        <v>8235805</v>
      </c>
      <c r="AP958" s="1">
        <v>39366369</v>
      </c>
      <c r="AQ958" s="1">
        <v>9266435</v>
      </c>
      <c r="AR958" s="1">
        <v>1389965</v>
      </c>
      <c r="AS958" s="1">
        <v>0</v>
      </c>
      <c r="AT958" s="1">
        <f t="shared" si="97"/>
        <v>58258574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9708022</v>
      </c>
      <c r="G959" s="1">
        <v>504601</v>
      </c>
      <c r="H959" s="1">
        <v>0</v>
      </c>
      <c r="I959" s="1">
        <v>6266718</v>
      </c>
      <c r="J959" s="1">
        <v>0</v>
      </c>
      <c r="K959" s="1">
        <v>4620000</v>
      </c>
      <c r="L959" s="1">
        <v>0</v>
      </c>
      <c r="M959" s="1">
        <v>400000</v>
      </c>
      <c r="N959" s="1">
        <v>1634101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2097042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1167215</v>
      </c>
      <c r="AF959" s="1">
        <v>1111269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2194364</v>
      </c>
      <c r="AM959" s="1">
        <v>0</v>
      </c>
      <c r="AN959" s="1">
        <v>30803332</v>
      </c>
      <c r="AO959" s="1">
        <v>5789393</v>
      </c>
      <c r="AP959" s="1">
        <v>25013939</v>
      </c>
      <c r="AQ959" s="1">
        <v>5938413</v>
      </c>
      <c r="AR959" s="1">
        <v>890762</v>
      </c>
      <c r="AS959" s="1">
        <v>0</v>
      </c>
      <c r="AT959" s="1">
        <f t="shared" si="97"/>
        <v>37632507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13244204</v>
      </c>
      <c r="G960" s="1">
        <v>4640167</v>
      </c>
      <c r="H960" s="1">
        <v>0</v>
      </c>
      <c r="I960" s="1">
        <v>8255955</v>
      </c>
      <c r="J960" s="1">
        <v>0</v>
      </c>
      <c r="K960" s="1">
        <v>5500000</v>
      </c>
      <c r="L960" s="1">
        <v>0</v>
      </c>
      <c r="M960" s="1">
        <v>400000</v>
      </c>
      <c r="N960" s="1">
        <v>1929752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5080231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1378395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1929752</v>
      </c>
      <c r="AM960" s="1">
        <v>0</v>
      </c>
      <c r="AN960" s="1">
        <v>43458456</v>
      </c>
      <c r="AO960" s="1">
        <v>6839020</v>
      </c>
      <c r="AP960" s="1">
        <v>36619436</v>
      </c>
      <c r="AQ960" s="1">
        <v>8691691</v>
      </c>
      <c r="AR960" s="1">
        <v>1303754</v>
      </c>
      <c r="AS960" s="1">
        <v>0</v>
      </c>
      <c r="AT960" s="1">
        <f t="shared" si="97"/>
        <v>53453901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9686446</v>
      </c>
      <c r="G961" s="1">
        <v>3594724</v>
      </c>
      <c r="H961" s="1">
        <v>0</v>
      </c>
      <c r="I961" s="1">
        <v>5663925</v>
      </c>
      <c r="J961" s="1">
        <v>0</v>
      </c>
      <c r="K961" s="1">
        <v>4620000</v>
      </c>
      <c r="L961" s="1">
        <v>0</v>
      </c>
      <c r="M961" s="1">
        <v>400000</v>
      </c>
      <c r="N961" s="1">
        <v>1504555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3912625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1074683</v>
      </c>
      <c r="AF961" s="1">
        <v>1111269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1633517</v>
      </c>
      <c r="AM961" s="1">
        <v>0</v>
      </c>
      <c r="AN961" s="1">
        <v>34301744</v>
      </c>
      <c r="AO961" s="1">
        <v>12497126</v>
      </c>
      <c r="AP961" s="1">
        <v>21804618</v>
      </c>
      <c r="AQ961" s="1">
        <v>6638095</v>
      </c>
      <c r="AR961" s="1">
        <v>995714</v>
      </c>
      <c r="AS961" s="1">
        <v>0</v>
      </c>
      <c r="AT961" s="1">
        <f t="shared" si="97"/>
        <v>41935553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9837788</v>
      </c>
      <c r="G962" s="1">
        <v>0</v>
      </c>
      <c r="H962" s="1">
        <v>0</v>
      </c>
      <c r="I962" s="1">
        <v>6121536</v>
      </c>
      <c r="J962" s="1">
        <v>0</v>
      </c>
      <c r="K962" s="1">
        <v>4620000</v>
      </c>
      <c r="L962" s="1">
        <v>0</v>
      </c>
      <c r="M962" s="1">
        <v>400000</v>
      </c>
      <c r="N962" s="1">
        <v>1685662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4131020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1204045</v>
      </c>
      <c r="AF962" s="1">
        <v>1111269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1806068</v>
      </c>
      <c r="AM962" s="1">
        <v>0</v>
      </c>
      <c r="AN962" s="1">
        <v>32017388</v>
      </c>
      <c r="AO962" s="1">
        <v>4600020</v>
      </c>
      <c r="AP962" s="1">
        <v>27417368</v>
      </c>
      <c r="AQ962" s="1">
        <v>6181224</v>
      </c>
      <c r="AR962" s="1">
        <v>927184</v>
      </c>
      <c r="AS962" s="1">
        <v>0</v>
      </c>
      <c r="AT962" s="1">
        <f t="shared" si="97"/>
        <v>39125796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10191509</v>
      </c>
      <c r="G963" s="1">
        <v>5482596</v>
      </c>
      <c r="H963" s="1">
        <v>0</v>
      </c>
      <c r="I963" s="1">
        <v>5994044</v>
      </c>
      <c r="J963" s="1">
        <v>0</v>
      </c>
      <c r="K963" s="1">
        <v>-1039500</v>
      </c>
      <c r="L963" s="1">
        <v>0</v>
      </c>
      <c r="M963" s="1">
        <v>400000</v>
      </c>
      <c r="N963" s="1">
        <v>1687368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4177217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1205263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1807895</v>
      </c>
      <c r="AM963" s="1">
        <v>0</v>
      </c>
      <c r="AN963" s="1">
        <v>31006392</v>
      </c>
      <c r="AO963" s="1">
        <v>5459739</v>
      </c>
      <c r="AP963" s="1">
        <v>25546653</v>
      </c>
      <c r="AQ963" s="1">
        <v>6201278</v>
      </c>
      <c r="AR963" s="1">
        <v>930192</v>
      </c>
      <c r="AS963" s="1">
        <v>0</v>
      </c>
      <c r="AT963" s="1">
        <f t="shared" ref="AT963:AT1026" si="104">AS963+AR963+AQ963+AN963</f>
        <v>38137862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11939466</v>
      </c>
      <c r="G964" s="1">
        <v>5178692</v>
      </c>
      <c r="H964" s="1">
        <v>0</v>
      </c>
      <c r="I964" s="1">
        <v>7960053</v>
      </c>
      <c r="J964" s="1">
        <v>0</v>
      </c>
      <c r="K964" s="1">
        <v>4620000</v>
      </c>
      <c r="L964" s="1">
        <v>0</v>
      </c>
      <c r="M964" s="1">
        <v>400000</v>
      </c>
      <c r="N964" s="1">
        <v>2016452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4930286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1440322</v>
      </c>
      <c r="AF964" s="1">
        <v>1111269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2592580</v>
      </c>
      <c r="AM964" s="1">
        <v>0</v>
      </c>
      <c r="AN964" s="1">
        <v>43289120</v>
      </c>
      <c r="AO964" s="1">
        <v>4827007</v>
      </c>
      <c r="AP964" s="1">
        <v>38462113</v>
      </c>
      <c r="AQ964" s="1">
        <v>8435570</v>
      </c>
      <c r="AR964" s="1">
        <v>1265336</v>
      </c>
      <c r="AS964" s="1">
        <v>0</v>
      </c>
      <c r="AT964" s="1">
        <f t="shared" si="104"/>
        <v>52990026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2"/>
        <v>قراردادي بهره بردار</v>
      </c>
      <c r="E965" s="1" t="str">
        <f t="shared" si="103"/>
        <v>پروژه بهره برداري نيروگاه بوشهر</v>
      </c>
      <c r="F965" s="1">
        <v>15013297</v>
      </c>
      <c r="G965" s="1">
        <v>9274851</v>
      </c>
      <c r="H965" s="1">
        <v>0</v>
      </c>
      <c r="I965" s="1">
        <v>10809103</v>
      </c>
      <c r="J965" s="1">
        <v>0</v>
      </c>
      <c r="K965" s="1">
        <v>0</v>
      </c>
      <c r="L965" s="1">
        <v>0</v>
      </c>
      <c r="M965" s="1">
        <v>400000</v>
      </c>
      <c r="N965" s="1">
        <v>2440349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1270000</v>
      </c>
      <c r="U965" s="1">
        <v>0</v>
      </c>
      <c r="V965" s="1">
        <v>7121187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1743107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3904558</v>
      </c>
      <c r="AM965" s="1">
        <v>0</v>
      </c>
      <c r="AN965" s="1">
        <v>53076452</v>
      </c>
      <c r="AO965" s="1">
        <v>13413483</v>
      </c>
      <c r="AP965" s="1">
        <v>39662969</v>
      </c>
      <c r="AQ965" s="1">
        <v>10361290</v>
      </c>
      <c r="AR965" s="1">
        <v>1554194</v>
      </c>
      <c r="AS965" s="1">
        <v>0</v>
      </c>
      <c r="AT965" s="1">
        <f t="shared" si="104"/>
        <v>64991936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2"/>
        <v>قراردادي بهره بردار</v>
      </c>
      <c r="E966" s="1" t="str">
        <f t="shared" si="103"/>
        <v>پروژه بهره برداري نيروگاه بوشهر</v>
      </c>
      <c r="F966" s="1">
        <v>9466876</v>
      </c>
      <c r="G966" s="1">
        <v>0</v>
      </c>
      <c r="H966" s="1">
        <v>0</v>
      </c>
      <c r="I966" s="1">
        <v>5382000</v>
      </c>
      <c r="J966" s="1">
        <v>0</v>
      </c>
      <c r="K966" s="1">
        <v>4620000</v>
      </c>
      <c r="L966" s="1">
        <v>0</v>
      </c>
      <c r="M966" s="1">
        <v>400000</v>
      </c>
      <c r="N966" s="1">
        <v>1424331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1270000</v>
      </c>
      <c r="U966" s="1">
        <v>0</v>
      </c>
      <c r="V966" s="1">
        <v>3767400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1017378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1546416</v>
      </c>
      <c r="AM966" s="1">
        <v>0</v>
      </c>
      <c r="AN966" s="1">
        <v>29994401</v>
      </c>
      <c r="AO966" s="1">
        <v>2415699</v>
      </c>
      <c r="AP966" s="1">
        <v>27578702</v>
      </c>
      <c r="AQ966" s="1">
        <v>5744880</v>
      </c>
      <c r="AR966" s="1">
        <v>861732</v>
      </c>
      <c r="AS966" s="1">
        <v>0</v>
      </c>
      <c r="AT966" s="1">
        <f t="shared" si="104"/>
        <v>36601013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2"/>
        <v>قراردادي بهره بردار</v>
      </c>
      <c r="E967" s="1" t="str">
        <f t="shared" si="103"/>
        <v>پروژه بهره برداري نيروگاه بوشهر</v>
      </c>
      <c r="F967" s="1">
        <v>9560154</v>
      </c>
      <c r="G967" s="1">
        <v>813822</v>
      </c>
      <c r="H967" s="1">
        <v>0</v>
      </c>
      <c r="I967" s="1">
        <v>5462702</v>
      </c>
      <c r="J967" s="1">
        <v>0</v>
      </c>
      <c r="K967" s="1">
        <v>3465000</v>
      </c>
      <c r="L967" s="1">
        <v>0</v>
      </c>
      <c r="M967" s="1">
        <v>400000</v>
      </c>
      <c r="N967" s="1">
        <v>1455911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3243363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1039937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1559905</v>
      </c>
      <c r="AM967" s="1">
        <v>0</v>
      </c>
      <c r="AN967" s="1">
        <v>28100794</v>
      </c>
      <c r="AO967" s="1">
        <v>3052935</v>
      </c>
      <c r="AP967" s="1">
        <v>25047859</v>
      </c>
      <c r="AQ967" s="1">
        <v>5620159</v>
      </c>
      <c r="AR967" s="1">
        <v>843024</v>
      </c>
      <c r="AS967" s="1">
        <v>0</v>
      </c>
      <c r="AT967" s="1">
        <f t="shared" si="104"/>
        <v>34563977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2"/>
        <v>قراردادي بهره بردار</v>
      </c>
      <c r="E968" s="1" t="str">
        <f t="shared" si="103"/>
        <v>پروژه بهره برداري نيروگاه بوشهر</v>
      </c>
      <c r="F968" s="1">
        <v>11391898</v>
      </c>
      <c r="G968" s="1">
        <v>0</v>
      </c>
      <c r="H968" s="1">
        <v>0</v>
      </c>
      <c r="I968" s="1">
        <v>6838963</v>
      </c>
      <c r="J968" s="1">
        <v>0</v>
      </c>
      <c r="K968" s="1">
        <v>4125000</v>
      </c>
      <c r="L968" s="1">
        <v>0</v>
      </c>
      <c r="M968" s="1">
        <v>400000</v>
      </c>
      <c r="N968" s="1">
        <v>1376839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2186965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983456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1278493</v>
      </c>
      <c r="AM968" s="1">
        <v>0</v>
      </c>
      <c r="AN968" s="1">
        <v>29681614</v>
      </c>
      <c r="AO968" s="1">
        <v>8926120</v>
      </c>
      <c r="AP968" s="1">
        <v>20755494</v>
      </c>
      <c r="AQ968" s="1">
        <v>5936323</v>
      </c>
      <c r="AR968" s="1">
        <v>890448</v>
      </c>
      <c r="AS968" s="1">
        <v>0</v>
      </c>
      <c r="AT968" s="1">
        <f t="shared" si="104"/>
        <v>36508385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7070778</v>
      </c>
      <c r="G969" s="1">
        <v>8614048</v>
      </c>
      <c r="H969" s="1">
        <v>0</v>
      </c>
      <c r="I969" s="1">
        <v>4242467</v>
      </c>
      <c r="J969" s="1">
        <v>0</v>
      </c>
      <c r="K969" s="1">
        <v>0</v>
      </c>
      <c r="L969" s="1">
        <v>3620700</v>
      </c>
      <c r="M969" s="1">
        <v>400000</v>
      </c>
      <c r="N969" s="1">
        <v>3771082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2020503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33062116</v>
      </c>
      <c r="AO969" s="1">
        <v>6993303</v>
      </c>
      <c r="AP969" s="1">
        <v>26068813</v>
      </c>
      <c r="AQ969" s="1">
        <v>6167916</v>
      </c>
      <c r="AR969" s="1">
        <v>925187</v>
      </c>
      <c r="AS969" s="1">
        <v>1200000</v>
      </c>
      <c r="AT969" s="1">
        <f t="shared" si="104"/>
        <v>41355219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5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14347114</v>
      </c>
      <c r="G970" s="1">
        <v>19412119</v>
      </c>
      <c r="H970" s="1">
        <v>0</v>
      </c>
      <c r="I970" s="1">
        <v>11132619</v>
      </c>
      <c r="J970" s="1">
        <v>0</v>
      </c>
      <c r="K970" s="1">
        <v>5500000</v>
      </c>
      <c r="L970" s="1">
        <v>0</v>
      </c>
      <c r="M970" s="1">
        <v>400000</v>
      </c>
      <c r="N970" s="1">
        <v>2336598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6160326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1668999</v>
      </c>
      <c r="AF970" s="1">
        <v>2222538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2937438</v>
      </c>
      <c r="AM970" s="1">
        <v>0</v>
      </c>
      <c r="AN970" s="1">
        <v>67217751</v>
      </c>
      <c r="AO970" s="1">
        <v>21511450</v>
      </c>
      <c r="AP970" s="1">
        <v>45706301</v>
      </c>
      <c r="AQ970" s="1">
        <v>12999043</v>
      </c>
      <c r="AR970" s="1">
        <v>1949856</v>
      </c>
      <c r="AS970" s="1">
        <v>0</v>
      </c>
      <c r="AT970" s="1">
        <f t="shared" si="104"/>
        <v>82166650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11548077</v>
      </c>
      <c r="G971" s="1">
        <v>1079236</v>
      </c>
      <c r="H971" s="1">
        <v>0</v>
      </c>
      <c r="I971" s="1">
        <v>7187739</v>
      </c>
      <c r="J971" s="1">
        <v>0</v>
      </c>
      <c r="K971" s="1">
        <v>4125000</v>
      </c>
      <c r="L971" s="1">
        <v>0</v>
      </c>
      <c r="M971" s="1">
        <v>400000</v>
      </c>
      <c r="N971" s="1">
        <v>1434948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1270000</v>
      </c>
      <c r="U971" s="1">
        <v>0</v>
      </c>
      <c r="V971" s="1">
        <v>2242568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1024963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1229955</v>
      </c>
      <c r="AM971" s="1">
        <v>0</v>
      </c>
      <c r="AN971" s="1">
        <v>32642486</v>
      </c>
      <c r="AO971" s="1">
        <v>5080110</v>
      </c>
      <c r="AP971" s="1">
        <v>27562376</v>
      </c>
      <c r="AQ971" s="1">
        <v>6274497</v>
      </c>
      <c r="AR971" s="1">
        <v>941175</v>
      </c>
      <c r="AS971" s="1">
        <v>0</v>
      </c>
      <c r="AT971" s="1">
        <f t="shared" si="104"/>
        <v>39858158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5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11496255</v>
      </c>
      <c r="G972" s="1">
        <v>13798759</v>
      </c>
      <c r="H972" s="1">
        <v>0</v>
      </c>
      <c r="I972" s="1">
        <v>10048400</v>
      </c>
      <c r="J972" s="1">
        <v>0</v>
      </c>
      <c r="K972" s="1">
        <v>4620000</v>
      </c>
      <c r="L972" s="1">
        <v>0</v>
      </c>
      <c r="M972" s="1">
        <v>400000</v>
      </c>
      <c r="N972" s="1">
        <v>2127609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1270000</v>
      </c>
      <c r="U972" s="1">
        <v>0</v>
      </c>
      <c r="V972" s="1">
        <v>6225004</v>
      </c>
      <c r="W972" s="1">
        <v>1100000</v>
      </c>
      <c r="X972" s="1">
        <v>1724438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1519721</v>
      </c>
      <c r="AF972" s="1">
        <v>1111269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8008038</v>
      </c>
      <c r="AM972" s="1">
        <v>0</v>
      </c>
      <c r="AN972" s="1">
        <v>63449493</v>
      </c>
      <c r="AO972" s="1">
        <v>10857255</v>
      </c>
      <c r="AP972" s="1">
        <v>52592238</v>
      </c>
      <c r="AQ972" s="1">
        <v>12213645</v>
      </c>
      <c r="AR972" s="1">
        <v>1832047</v>
      </c>
      <c r="AS972" s="1">
        <v>0</v>
      </c>
      <c r="AT972" s="1">
        <f t="shared" si="104"/>
        <v>77495185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5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12686042</v>
      </c>
      <c r="G973" s="1">
        <v>1643553</v>
      </c>
      <c r="H973" s="1">
        <v>0</v>
      </c>
      <c r="I973" s="1">
        <v>8513995</v>
      </c>
      <c r="J973" s="1">
        <v>0</v>
      </c>
      <c r="K973" s="1">
        <v>5500000</v>
      </c>
      <c r="L973" s="1">
        <v>0</v>
      </c>
      <c r="M973" s="1">
        <v>400000</v>
      </c>
      <c r="N973" s="1">
        <v>1544819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2561381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1103442</v>
      </c>
      <c r="AF973" s="1">
        <v>1111269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1765508</v>
      </c>
      <c r="AM973" s="1">
        <v>0</v>
      </c>
      <c r="AN973" s="1">
        <v>37930009</v>
      </c>
      <c r="AO973" s="1">
        <v>9217721</v>
      </c>
      <c r="AP973" s="1">
        <v>28712288</v>
      </c>
      <c r="AQ973" s="1">
        <v>7363748</v>
      </c>
      <c r="AR973" s="1">
        <v>1104562</v>
      </c>
      <c r="AS973" s="1">
        <v>0</v>
      </c>
      <c r="AT973" s="1">
        <f t="shared" si="104"/>
        <v>46398319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5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12375792</v>
      </c>
      <c r="G974" s="1">
        <v>3566081</v>
      </c>
      <c r="H974" s="1">
        <v>0</v>
      </c>
      <c r="I974" s="1">
        <v>5833807</v>
      </c>
      <c r="J974" s="1">
        <v>0</v>
      </c>
      <c r="K974" s="1">
        <v>4125000</v>
      </c>
      <c r="L974" s="1">
        <v>0</v>
      </c>
      <c r="M974" s="1">
        <v>400000</v>
      </c>
      <c r="N974" s="1">
        <v>1563534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2223012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1116810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1340172</v>
      </c>
      <c r="AM974" s="1">
        <v>0</v>
      </c>
      <c r="AN974" s="1">
        <v>33644208</v>
      </c>
      <c r="AO974" s="1">
        <v>4536227</v>
      </c>
      <c r="AP974" s="1">
        <v>29107981</v>
      </c>
      <c r="AQ974" s="1">
        <v>6728842</v>
      </c>
      <c r="AR974" s="1">
        <v>1009326</v>
      </c>
      <c r="AS974" s="1">
        <v>0</v>
      </c>
      <c r="AT974" s="1">
        <f t="shared" si="104"/>
        <v>41382376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5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8969601</v>
      </c>
      <c r="G975" s="1">
        <v>6311050</v>
      </c>
      <c r="H975" s="1">
        <v>0</v>
      </c>
      <c r="I975" s="1">
        <v>5623752</v>
      </c>
      <c r="J975" s="1">
        <v>0</v>
      </c>
      <c r="K975" s="1">
        <v>4620000</v>
      </c>
      <c r="L975" s="1">
        <v>0</v>
      </c>
      <c r="M975" s="1">
        <v>400000</v>
      </c>
      <c r="N975" s="1">
        <v>1365026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1270000</v>
      </c>
      <c r="U975" s="1">
        <v>0</v>
      </c>
      <c r="V975" s="1">
        <v>1829843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975019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1365026</v>
      </c>
      <c r="AM975" s="1">
        <v>0</v>
      </c>
      <c r="AN975" s="1">
        <v>33829317</v>
      </c>
      <c r="AO975" s="1">
        <v>11726604</v>
      </c>
      <c r="AP975" s="1">
        <v>22102713</v>
      </c>
      <c r="AQ975" s="1">
        <v>6511863</v>
      </c>
      <c r="AR975" s="1">
        <v>976780</v>
      </c>
      <c r="AS975" s="1">
        <v>0</v>
      </c>
      <c r="AT975" s="1">
        <f t="shared" si="104"/>
        <v>41317960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6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11686370</v>
      </c>
      <c r="G976" s="1">
        <v>6468469</v>
      </c>
      <c r="H976" s="1">
        <v>0</v>
      </c>
      <c r="I976" s="1">
        <v>6716492</v>
      </c>
      <c r="J976" s="1">
        <v>0</v>
      </c>
      <c r="K976" s="1">
        <v>0</v>
      </c>
      <c r="L976" s="1">
        <v>0</v>
      </c>
      <c r="M976" s="1">
        <v>400000</v>
      </c>
      <c r="N976" s="1">
        <v>1319622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2179617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942588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1131105</v>
      </c>
      <c r="AM976" s="1">
        <v>0</v>
      </c>
      <c r="AN976" s="1">
        <v>31944263</v>
      </c>
      <c r="AO976" s="1">
        <v>5010636</v>
      </c>
      <c r="AP976" s="1">
        <v>26933627</v>
      </c>
      <c r="AQ976" s="1">
        <v>6388853</v>
      </c>
      <c r="AR976" s="1">
        <v>958328</v>
      </c>
      <c r="AS976" s="1">
        <v>0</v>
      </c>
      <c r="AT976" s="1">
        <f t="shared" si="104"/>
        <v>39291444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6"/>
        <v>قراردادي کارگري</v>
      </c>
      <c r="E977" s="1" t="str">
        <f t="shared" ref="E977:E993" si="107">"پروژه تعميرات نيروگاه بوشهر"</f>
        <v>پروژه تعميرات نيروگاه بوشهر</v>
      </c>
      <c r="F977" s="1">
        <v>4510038</v>
      </c>
      <c r="G977" s="1">
        <v>4306103</v>
      </c>
      <c r="H977" s="1">
        <v>0</v>
      </c>
      <c r="I977" s="1">
        <v>2706023</v>
      </c>
      <c r="J977" s="1">
        <v>0</v>
      </c>
      <c r="K977" s="1">
        <v>0</v>
      </c>
      <c r="L977" s="1">
        <v>3663840</v>
      </c>
      <c r="M977" s="1">
        <v>400000</v>
      </c>
      <c r="N977" s="1">
        <v>2405354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1478525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20569883</v>
      </c>
      <c r="AO977" s="1">
        <v>2579892</v>
      </c>
      <c r="AP977" s="1">
        <v>17989991</v>
      </c>
      <c r="AQ977" s="1">
        <v>4113977</v>
      </c>
      <c r="AR977" s="1">
        <v>617096</v>
      </c>
      <c r="AS977" s="1">
        <v>300000</v>
      </c>
      <c r="AT977" s="1">
        <f t="shared" si="104"/>
        <v>25600956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5502978</v>
      </c>
      <c r="G978" s="1">
        <v>3490001</v>
      </c>
      <c r="H978" s="1">
        <v>0</v>
      </c>
      <c r="I978" s="1">
        <v>3301787</v>
      </c>
      <c r="J978" s="1">
        <v>0</v>
      </c>
      <c r="K978" s="1">
        <v>0</v>
      </c>
      <c r="L978" s="1">
        <v>3663840</v>
      </c>
      <c r="M978" s="1">
        <v>400000</v>
      </c>
      <c r="N978" s="1">
        <v>2934922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1690353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22083881</v>
      </c>
      <c r="AO978" s="1">
        <v>2685872</v>
      </c>
      <c r="AP978" s="1">
        <v>19398009</v>
      </c>
      <c r="AQ978" s="1">
        <v>4416776</v>
      </c>
      <c r="AR978" s="1">
        <v>662516</v>
      </c>
      <c r="AS978" s="1">
        <v>300000</v>
      </c>
      <c r="AT978" s="1">
        <f t="shared" si="104"/>
        <v>27463173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4886310</v>
      </c>
      <c r="G979" s="1">
        <v>4335458</v>
      </c>
      <c r="H979" s="1">
        <v>0</v>
      </c>
      <c r="I979" s="1">
        <v>2931786</v>
      </c>
      <c r="J979" s="1">
        <v>0</v>
      </c>
      <c r="K979" s="1">
        <v>0</v>
      </c>
      <c r="L979" s="1">
        <v>3663840</v>
      </c>
      <c r="M979" s="1">
        <v>400000</v>
      </c>
      <c r="N979" s="1">
        <v>2606032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1558797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21482223</v>
      </c>
      <c r="AO979" s="1">
        <v>2073756</v>
      </c>
      <c r="AP979" s="1">
        <v>19408467</v>
      </c>
      <c r="AQ979" s="1">
        <v>4296445</v>
      </c>
      <c r="AR979" s="1">
        <v>644467</v>
      </c>
      <c r="AS979" s="1">
        <v>265000</v>
      </c>
      <c r="AT979" s="1">
        <f t="shared" si="104"/>
        <v>26688135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4640688</v>
      </c>
      <c r="G980" s="1">
        <v>2197763</v>
      </c>
      <c r="H980" s="1">
        <v>0</v>
      </c>
      <c r="I980" s="1">
        <v>2784413</v>
      </c>
      <c r="J980" s="1">
        <v>0</v>
      </c>
      <c r="K980" s="1">
        <v>0</v>
      </c>
      <c r="L980" s="1">
        <v>3663840</v>
      </c>
      <c r="M980" s="1">
        <v>400000</v>
      </c>
      <c r="N980" s="1">
        <v>2475034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1506397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18768135</v>
      </c>
      <c r="AO980" s="1">
        <v>2601123</v>
      </c>
      <c r="AP980" s="1">
        <v>16167012</v>
      </c>
      <c r="AQ980" s="1">
        <v>3753627</v>
      </c>
      <c r="AR980" s="1">
        <v>563044</v>
      </c>
      <c r="AS980" s="1">
        <v>0</v>
      </c>
      <c r="AT980" s="1">
        <f t="shared" si="104"/>
        <v>23084806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4541394</v>
      </c>
      <c r="G981" s="1">
        <v>1839215</v>
      </c>
      <c r="H981" s="1">
        <v>0</v>
      </c>
      <c r="I981" s="1">
        <v>2724836</v>
      </c>
      <c r="J981" s="1">
        <v>0</v>
      </c>
      <c r="K981" s="1">
        <v>0</v>
      </c>
      <c r="L981" s="1">
        <v>3663840</v>
      </c>
      <c r="M981" s="1">
        <v>400000</v>
      </c>
      <c r="N981" s="1">
        <v>2422077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1485215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18176577</v>
      </c>
      <c r="AO981" s="1">
        <v>1842360</v>
      </c>
      <c r="AP981" s="1">
        <v>16334217</v>
      </c>
      <c r="AQ981" s="1">
        <v>3635315</v>
      </c>
      <c r="AR981" s="1">
        <v>545297</v>
      </c>
      <c r="AS981" s="1">
        <v>265000</v>
      </c>
      <c r="AT981" s="1">
        <f t="shared" si="104"/>
        <v>22622189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5226000</v>
      </c>
      <c r="G982" s="1">
        <v>0</v>
      </c>
      <c r="H982" s="1">
        <v>0</v>
      </c>
      <c r="I982" s="1">
        <v>3135600</v>
      </c>
      <c r="J982" s="1">
        <v>0</v>
      </c>
      <c r="K982" s="1">
        <v>0</v>
      </c>
      <c r="L982" s="1">
        <v>3663840</v>
      </c>
      <c r="M982" s="1">
        <v>400000</v>
      </c>
      <c r="N982" s="1">
        <v>2787200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1631264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20166442</v>
      </c>
      <c r="AO982" s="1">
        <v>4552739</v>
      </c>
      <c r="AP982" s="1">
        <v>15613703</v>
      </c>
      <c r="AQ982" s="1">
        <v>3588781</v>
      </c>
      <c r="AR982" s="1">
        <v>538317</v>
      </c>
      <c r="AS982" s="1">
        <v>1855000</v>
      </c>
      <c r="AT982" s="1">
        <f t="shared" si="104"/>
        <v>26148540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4604106</v>
      </c>
      <c r="G983" s="1">
        <v>3277865</v>
      </c>
      <c r="H983" s="1">
        <v>0</v>
      </c>
      <c r="I983" s="1">
        <v>2762464</v>
      </c>
      <c r="J983" s="1">
        <v>0</v>
      </c>
      <c r="K983" s="1">
        <v>0</v>
      </c>
      <c r="L983" s="1">
        <v>3663840</v>
      </c>
      <c r="M983" s="1">
        <v>400000</v>
      </c>
      <c r="N983" s="1">
        <v>2455523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1498593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1111269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20873660</v>
      </c>
      <c r="AO983" s="1">
        <v>5080033</v>
      </c>
      <c r="AP983" s="1">
        <v>15793627</v>
      </c>
      <c r="AQ983" s="1">
        <v>3952478</v>
      </c>
      <c r="AR983" s="1">
        <v>592872</v>
      </c>
      <c r="AS983" s="1">
        <v>795000</v>
      </c>
      <c r="AT983" s="1">
        <f t="shared" si="104"/>
        <v>26214010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5638854</v>
      </c>
      <c r="G984" s="1">
        <v>2539357</v>
      </c>
      <c r="H984" s="1">
        <v>0</v>
      </c>
      <c r="I984" s="1">
        <v>3383312</v>
      </c>
      <c r="J984" s="1">
        <v>0</v>
      </c>
      <c r="K984" s="1">
        <v>0</v>
      </c>
      <c r="L984" s="1">
        <v>3663840</v>
      </c>
      <c r="M984" s="1">
        <v>400000</v>
      </c>
      <c r="N984" s="1">
        <v>3007389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1719340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21452092</v>
      </c>
      <c r="AO984" s="1">
        <v>5328312</v>
      </c>
      <c r="AP984" s="1">
        <v>16123780</v>
      </c>
      <c r="AQ984" s="1">
        <v>4290418</v>
      </c>
      <c r="AR984" s="1">
        <v>643563</v>
      </c>
      <c r="AS984" s="1">
        <v>530000</v>
      </c>
      <c r="AT984" s="1">
        <f t="shared" si="104"/>
        <v>26916073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4734756</v>
      </c>
      <c r="G985" s="1">
        <v>891982</v>
      </c>
      <c r="H985" s="1">
        <v>0</v>
      </c>
      <c r="I985" s="1">
        <v>2840854</v>
      </c>
      <c r="J985" s="1">
        <v>0</v>
      </c>
      <c r="K985" s="1">
        <v>0</v>
      </c>
      <c r="L985" s="1">
        <v>3663840</v>
      </c>
      <c r="M985" s="1">
        <v>400000</v>
      </c>
      <c r="N985" s="1">
        <v>2525203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1526465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18794369</v>
      </c>
      <c r="AO985" s="1">
        <v>1577817</v>
      </c>
      <c r="AP985" s="1">
        <v>17216552</v>
      </c>
      <c r="AQ985" s="1">
        <v>3536620</v>
      </c>
      <c r="AR985" s="1">
        <v>530493</v>
      </c>
      <c r="AS985" s="1">
        <v>480000</v>
      </c>
      <c r="AT985" s="1">
        <f t="shared" si="104"/>
        <v>23341482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4839276</v>
      </c>
      <c r="G986" s="1">
        <v>2718869</v>
      </c>
      <c r="H986" s="1">
        <v>0</v>
      </c>
      <c r="I986" s="1">
        <v>2903566</v>
      </c>
      <c r="J986" s="1">
        <v>0</v>
      </c>
      <c r="K986" s="1">
        <v>0</v>
      </c>
      <c r="L986" s="1">
        <v>3663840</v>
      </c>
      <c r="M986" s="1">
        <v>400000</v>
      </c>
      <c r="N986" s="1">
        <v>2580947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1548763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19755261</v>
      </c>
      <c r="AO986" s="1">
        <v>4149534</v>
      </c>
      <c r="AP986" s="1">
        <v>15605727</v>
      </c>
      <c r="AQ986" s="1">
        <v>3951052</v>
      </c>
      <c r="AR986" s="1">
        <v>592658</v>
      </c>
      <c r="AS986" s="1">
        <v>530000</v>
      </c>
      <c r="AT986" s="1">
        <f t="shared" si="104"/>
        <v>24828971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4734756</v>
      </c>
      <c r="G987" s="1">
        <v>0</v>
      </c>
      <c r="H987" s="1">
        <v>0</v>
      </c>
      <c r="I987" s="1">
        <v>2840854</v>
      </c>
      <c r="J987" s="1">
        <v>0</v>
      </c>
      <c r="K987" s="1">
        <v>0</v>
      </c>
      <c r="L987" s="1">
        <v>5020080</v>
      </c>
      <c r="M987" s="1">
        <v>400000</v>
      </c>
      <c r="N987" s="1">
        <v>2525203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1662089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18282982</v>
      </c>
      <c r="AO987" s="1">
        <v>2909809</v>
      </c>
      <c r="AP987" s="1">
        <v>15373173</v>
      </c>
      <c r="AQ987" s="1">
        <v>3656596</v>
      </c>
      <c r="AR987" s="1">
        <v>548489</v>
      </c>
      <c r="AS987" s="1">
        <v>1325000</v>
      </c>
      <c r="AT987" s="1">
        <f t="shared" si="104"/>
        <v>23813067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4724304</v>
      </c>
      <c r="G988" s="1">
        <v>2671653</v>
      </c>
      <c r="H988" s="1">
        <v>0</v>
      </c>
      <c r="I988" s="1">
        <v>2834582</v>
      </c>
      <c r="J988" s="1">
        <v>0</v>
      </c>
      <c r="K988" s="1">
        <v>0</v>
      </c>
      <c r="L988" s="1">
        <v>3663840</v>
      </c>
      <c r="M988" s="1">
        <v>400000</v>
      </c>
      <c r="N988" s="1">
        <v>2519629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1524236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19438244</v>
      </c>
      <c r="AO988" s="1">
        <v>4850677</v>
      </c>
      <c r="AP988" s="1">
        <v>14587567</v>
      </c>
      <c r="AQ988" s="1">
        <v>3887649</v>
      </c>
      <c r="AR988" s="1">
        <v>583147</v>
      </c>
      <c r="AS988" s="1">
        <v>600000</v>
      </c>
      <c r="AT988" s="1">
        <f t="shared" si="104"/>
        <v>24509040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5539560</v>
      </c>
      <c r="G989" s="1">
        <v>5887635</v>
      </c>
      <c r="H989" s="1">
        <v>0</v>
      </c>
      <c r="I989" s="1">
        <v>3323736</v>
      </c>
      <c r="J989" s="1">
        <v>0</v>
      </c>
      <c r="K989" s="1">
        <v>0</v>
      </c>
      <c r="L989" s="1">
        <v>3663840</v>
      </c>
      <c r="M989" s="1">
        <v>400000</v>
      </c>
      <c r="N989" s="1">
        <v>2954432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1698157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26789898</v>
      </c>
      <c r="AO989" s="1">
        <v>1759715</v>
      </c>
      <c r="AP989" s="1">
        <v>25030183</v>
      </c>
      <c r="AQ989" s="1">
        <v>4913472</v>
      </c>
      <c r="AR989" s="1">
        <v>737021</v>
      </c>
      <c r="AS989" s="1">
        <v>0</v>
      </c>
      <c r="AT989" s="1">
        <f t="shared" si="104"/>
        <v>32440391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4828824</v>
      </c>
      <c r="G990" s="1">
        <v>0</v>
      </c>
      <c r="H990" s="1">
        <v>0</v>
      </c>
      <c r="I990" s="1">
        <v>2897294</v>
      </c>
      <c r="J990" s="1">
        <v>0</v>
      </c>
      <c r="K990" s="1">
        <v>0</v>
      </c>
      <c r="L990" s="1">
        <v>3663840</v>
      </c>
      <c r="M990" s="1">
        <v>400000</v>
      </c>
      <c r="N990" s="1">
        <v>2575373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1546533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17011864</v>
      </c>
      <c r="AO990" s="1">
        <v>3627496</v>
      </c>
      <c r="AP990" s="1">
        <v>13384368</v>
      </c>
      <c r="AQ990" s="1">
        <v>3402373</v>
      </c>
      <c r="AR990" s="1">
        <v>510356</v>
      </c>
      <c r="AS990" s="1">
        <v>265000</v>
      </c>
      <c r="AT990" s="1">
        <f t="shared" si="104"/>
        <v>21189593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5027412</v>
      </c>
      <c r="G991" s="1">
        <v>0</v>
      </c>
      <c r="H991" s="1">
        <v>0</v>
      </c>
      <c r="I991" s="1">
        <v>3016447</v>
      </c>
      <c r="J991" s="1">
        <v>0</v>
      </c>
      <c r="K991" s="1">
        <v>0</v>
      </c>
      <c r="L991" s="1">
        <v>3663840</v>
      </c>
      <c r="M991" s="1">
        <v>400000</v>
      </c>
      <c r="N991" s="1">
        <v>2681286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1588899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17477884</v>
      </c>
      <c r="AO991" s="1">
        <v>2363452</v>
      </c>
      <c r="AP991" s="1">
        <v>15114432</v>
      </c>
      <c r="AQ991" s="1">
        <v>3495577</v>
      </c>
      <c r="AR991" s="1">
        <v>524337</v>
      </c>
      <c r="AS991" s="1">
        <v>300000</v>
      </c>
      <c r="AT991" s="1">
        <f t="shared" si="104"/>
        <v>21797798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4724304</v>
      </c>
      <c r="G992" s="1">
        <v>1669783</v>
      </c>
      <c r="H992" s="1">
        <v>0</v>
      </c>
      <c r="I992" s="1">
        <v>2834582</v>
      </c>
      <c r="J992" s="1">
        <v>0</v>
      </c>
      <c r="K992" s="1">
        <v>0</v>
      </c>
      <c r="L992" s="1">
        <v>3663840</v>
      </c>
      <c r="M992" s="1">
        <v>400000</v>
      </c>
      <c r="N992" s="1">
        <v>2519629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1524236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18436374</v>
      </c>
      <c r="AO992" s="1">
        <v>4097212</v>
      </c>
      <c r="AP992" s="1">
        <v>14339162</v>
      </c>
      <c r="AQ992" s="1">
        <v>3687275</v>
      </c>
      <c r="AR992" s="1">
        <v>553091</v>
      </c>
      <c r="AS992" s="1">
        <v>300000</v>
      </c>
      <c r="AT992" s="1">
        <f t="shared" si="104"/>
        <v>22976740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4598880</v>
      </c>
      <c r="G993" s="1">
        <v>1091727</v>
      </c>
      <c r="H993" s="1">
        <v>0</v>
      </c>
      <c r="I993" s="1">
        <v>2759328</v>
      </c>
      <c r="J993" s="1">
        <v>0</v>
      </c>
      <c r="K993" s="1">
        <v>0</v>
      </c>
      <c r="L993" s="1">
        <v>3663840</v>
      </c>
      <c r="M993" s="1">
        <v>400000</v>
      </c>
      <c r="N993" s="1">
        <v>2452736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1497478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17563989</v>
      </c>
      <c r="AO993" s="1">
        <v>3716145</v>
      </c>
      <c r="AP993" s="1">
        <v>13847844</v>
      </c>
      <c r="AQ993" s="1">
        <v>3512798</v>
      </c>
      <c r="AR993" s="1">
        <v>526920</v>
      </c>
      <c r="AS993" s="1">
        <v>390000</v>
      </c>
      <c r="AT993" s="1">
        <f t="shared" si="104"/>
        <v>21993707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10941571</v>
      </c>
      <c r="G994" s="1">
        <v>0</v>
      </c>
      <c r="H994" s="1">
        <v>0</v>
      </c>
      <c r="I994" s="1">
        <v>4963706</v>
      </c>
      <c r="J994" s="1">
        <v>0</v>
      </c>
      <c r="K994" s="1">
        <v>5500000</v>
      </c>
      <c r="L994" s="1">
        <v>0</v>
      </c>
      <c r="M994" s="1">
        <v>400000</v>
      </c>
      <c r="N994" s="1">
        <v>1202480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1899737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858914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1030697</v>
      </c>
      <c r="AM994" s="1">
        <v>0</v>
      </c>
      <c r="AN994" s="1">
        <v>27897105</v>
      </c>
      <c r="AO994" s="1">
        <v>11507876</v>
      </c>
      <c r="AP994" s="1">
        <v>16389229</v>
      </c>
      <c r="AQ994" s="1">
        <v>5579421</v>
      </c>
      <c r="AR994" s="1">
        <v>836913</v>
      </c>
      <c r="AS994" s="1">
        <v>0</v>
      </c>
      <c r="AT994" s="1">
        <f t="shared" si="104"/>
        <v>34313439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5111028</v>
      </c>
      <c r="G995" s="1">
        <v>2948404</v>
      </c>
      <c r="H995" s="1">
        <v>0</v>
      </c>
      <c r="I995" s="1">
        <v>3066617</v>
      </c>
      <c r="J995" s="1">
        <v>0</v>
      </c>
      <c r="K995" s="1">
        <v>0</v>
      </c>
      <c r="L995" s="1">
        <v>3663840</v>
      </c>
      <c r="M995" s="1">
        <v>400000</v>
      </c>
      <c r="N995" s="1">
        <v>2725882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1606737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20622508</v>
      </c>
      <c r="AO995" s="1">
        <v>3683576</v>
      </c>
      <c r="AP995" s="1">
        <v>16938932</v>
      </c>
      <c r="AQ995" s="1">
        <v>4124502</v>
      </c>
      <c r="AR995" s="1">
        <v>618675</v>
      </c>
      <c r="AS995" s="1">
        <v>600000</v>
      </c>
      <c r="AT995" s="1">
        <f t="shared" si="104"/>
        <v>25965685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4588428</v>
      </c>
      <c r="G996" s="1">
        <v>1089939</v>
      </c>
      <c r="H996" s="1">
        <v>0</v>
      </c>
      <c r="I996" s="1">
        <v>2753057</v>
      </c>
      <c r="J996" s="1">
        <v>0</v>
      </c>
      <c r="K996" s="1">
        <v>0</v>
      </c>
      <c r="L996" s="1">
        <v>3663840</v>
      </c>
      <c r="M996" s="1">
        <v>400000</v>
      </c>
      <c r="N996" s="1">
        <v>2447162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1495249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17537675</v>
      </c>
      <c r="AO996" s="1">
        <v>2857637</v>
      </c>
      <c r="AP996" s="1">
        <v>14680038</v>
      </c>
      <c r="AQ996" s="1">
        <v>3507535</v>
      </c>
      <c r="AR996" s="1">
        <v>526130</v>
      </c>
      <c r="AS996" s="1">
        <v>795000</v>
      </c>
      <c r="AT996" s="1">
        <f t="shared" si="104"/>
        <v>22366340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5309616</v>
      </c>
      <c r="G997" s="1">
        <v>3640027</v>
      </c>
      <c r="H997" s="1">
        <v>0</v>
      </c>
      <c r="I997" s="1">
        <v>3185770</v>
      </c>
      <c r="J997" s="1">
        <v>0</v>
      </c>
      <c r="K997" s="1">
        <v>0</v>
      </c>
      <c r="L997" s="1">
        <v>3663840</v>
      </c>
      <c r="M997" s="1">
        <v>400000</v>
      </c>
      <c r="N997" s="1">
        <v>2831795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1649102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1049371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22829521</v>
      </c>
      <c r="AO997" s="1">
        <v>3834732</v>
      </c>
      <c r="AP997" s="1">
        <v>18994789</v>
      </c>
      <c r="AQ997" s="1">
        <v>4565904</v>
      </c>
      <c r="AR997" s="1">
        <v>684886</v>
      </c>
      <c r="AS997" s="1">
        <v>265000</v>
      </c>
      <c r="AT997" s="1">
        <f t="shared" si="104"/>
        <v>28345311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5325294</v>
      </c>
      <c r="G998" s="1">
        <v>1945640</v>
      </c>
      <c r="H998" s="1">
        <v>0</v>
      </c>
      <c r="I998" s="1">
        <v>3195176</v>
      </c>
      <c r="J998" s="1">
        <v>0</v>
      </c>
      <c r="K998" s="1">
        <v>0</v>
      </c>
      <c r="L998" s="1">
        <v>3663840</v>
      </c>
      <c r="M998" s="1">
        <v>400000</v>
      </c>
      <c r="N998" s="1">
        <v>2840157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1652447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22345092</v>
      </c>
      <c r="AO998" s="1">
        <v>1448579</v>
      </c>
      <c r="AP998" s="1">
        <v>20896513</v>
      </c>
      <c r="AQ998" s="1">
        <v>4024511</v>
      </c>
      <c r="AR998" s="1">
        <v>603677</v>
      </c>
      <c r="AS998" s="1">
        <v>0</v>
      </c>
      <c r="AT998" s="1">
        <f t="shared" si="104"/>
        <v>26973280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12326127</v>
      </c>
      <c r="G999" s="1">
        <v>5333845</v>
      </c>
      <c r="H999" s="1">
        <v>0</v>
      </c>
      <c r="I999" s="1">
        <v>10709418</v>
      </c>
      <c r="J999" s="1">
        <v>0</v>
      </c>
      <c r="K999" s="1">
        <v>4620000</v>
      </c>
      <c r="L999" s="1">
        <v>0</v>
      </c>
      <c r="M999" s="1">
        <v>400000</v>
      </c>
      <c r="N999" s="1">
        <v>2097572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1270000</v>
      </c>
      <c r="U999" s="1">
        <v>0</v>
      </c>
      <c r="V999" s="1">
        <v>3022722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1498265</v>
      </c>
      <c r="AF999" s="1">
        <v>2222538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3595837</v>
      </c>
      <c r="AM999" s="1">
        <v>0</v>
      </c>
      <c r="AN999" s="1">
        <v>48196324</v>
      </c>
      <c r="AO999" s="1">
        <v>8897156</v>
      </c>
      <c r="AP999" s="1">
        <v>39299168</v>
      </c>
      <c r="AQ999" s="1">
        <v>8940757</v>
      </c>
      <c r="AR999" s="1">
        <v>1341114</v>
      </c>
      <c r="AS999" s="1">
        <v>0</v>
      </c>
      <c r="AT999" s="1">
        <f t="shared" si="104"/>
        <v>58478195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8">"قراردادي کارگري"</f>
        <v>قراردادي کارگري</v>
      </c>
      <c r="E1000" s="1" t="str">
        <f t="shared" ref="E1000:E1031" si="109">"پروژه تعميرات نيروگاه بوشهر"</f>
        <v>پروژه تعميرات نيروگاه بوشهر</v>
      </c>
      <c r="F1000" s="1">
        <v>2730411</v>
      </c>
      <c r="G1000" s="1">
        <v>3387855</v>
      </c>
      <c r="H1000" s="1">
        <v>0</v>
      </c>
      <c r="I1000" s="1">
        <v>1638246</v>
      </c>
      <c r="J1000" s="1">
        <v>0</v>
      </c>
      <c r="K1000" s="1">
        <v>0</v>
      </c>
      <c r="L1000" s="1">
        <v>2076176</v>
      </c>
      <c r="M1000" s="1">
        <v>226667</v>
      </c>
      <c r="N1000" s="1">
        <v>1456219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875105</v>
      </c>
      <c r="W1000" s="1">
        <v>623333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13014012</v>
      </c>
      <c r="AO1000" s="1">
        <v>1460981</v>
      </c>
      <c r="AP1000" s="1">
        <v>11553031</v>
      </c>
      <c r="AQ1000" s="1">
        <v>2602802</v>
      </c>
      <c r="AR1000" s="1">
        <v>390420</v>
      </c>
      <c r="AS1000" s="1">
        <v>265000</v>
      </c>
      <c r="AT1000" s="1">
        <f t="shared" si="104"/>
        <v>16272234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4640688</v>
      </c>
      <c r="G1001" s="1">
        <v>1977986</v>
      </c>
      <c r="H1001" s="1">
        <v>0</v>
      </c>
      <c r="I1001" s="1">
        <v>2784413</v>
      </c>
      <c r="J1001" s="1">
        <v>0</v>
      </c>
      <c r="K1001" s="1">
        <v>0</v>
      </c>
      <c r="L1001" s="1">
        <v>3663840</v>
      </c>
      <c r="M1001" s="1">
        <v>400000</v>
      </c>
      <c r="N1001" s="1">
        <v>2475034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1506397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18548358</v>
      </c>
      <c r="AO1001" s="1">
        <v>3535051</v>
      </c>
      <c r="AP1001" s="1">
        <v>15013307</v>
      </c>
      <c r="AQ1001" s="1">
        <v>3709672</v>
      </c>
      <c r="AR1001" s="1">
        <v>556451</v>
      </c>
      <c r="AS1001" s="1">
        <v>265000</v>
      </c>
      <c r="AT1001" s="1">
        <f t="shared" si="104"/>
        <v>23079481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6642246</v>
      </c>
      <c r="G1002" s="1">
        <v>5477206</v>
      </c>
      <c r="H1002" s="1">
        <v>0</v>
      </c>
      <c r="I1002" s="1">
        <v>3985348</v>
      </c>
      <c r="J1002" s="1">
        <v>0</v>
      </c>
      <c r="K1002" s="1">
        <v>0</v>
      </c>
      <c r="L1002" s="1">
        <v>3663840</v>
      </c>
      <c r="M1002" s="1">
        <v>400000</v>
      </c>
      <c r="N1002" s="1">
        <v>3542531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1933396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27855836</v>
      </c>
      <c r="AO1002" s="1">
        <v>5168786</v>
      </c>
      <c r="AP1002" s="1">
        <v>22687050</v>
      </c>
      <c r="AQ1002" s="1">
        <v>5348913</v>
      </c>
      <c r="AR1002" s="1">
        <v>802337</v>
      </c>
      <c r="AS1002" s="1">
        <v>795000</v>
      </c>
      <c r="AT1002" s="1">
        <f t="shared" si="104"/>
        <v>34802086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8"/>
        <v>قراردادي کارگري</v>
      </c>
      <c r="E1003" s="1" t="str">
        <f t="shared" si="109"/>
        <v>پروژه تعميرات نيروگاه بوشهر</v>
      </c>
      <c r="F1003" s="1">
        <v>6537726</v>
      </c>
      <c r="G1003" s="1">
        <v>5693942</v>
      </c>
      <c r="H1003" s="1">
        <v>0</v>
      </c>
      <c r="I1003" s="1">
        <v>3922636</v>
      </c>
      <c r="J1003" s="1">
        <v>0</v>
      </c>
      <c r="K1003" s="1">
        <v>0</v>
      </c>
      <c r="L1003" s="1">
        <v>3663840</v>
      </c>
      <c r="M1003" s="1">
        <v>400000</v>
      </c>
      <c r="N1003" s="1">
        <v>3486787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1911099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27827299</v>
      </c>
      <c r="AO1003" s="1">
        <v>5166788</v>
      </c>
      <c r="AP1003" s="1">
        <v>22660511</v>
      </c>
      <c r="AQ1003" s="1">
        <v>5343206</v>
      </c>
      <c r="AR1003" s="1">
        <v>801481</v>
      </c>
      <c r="AS1003" s="1">
        <v>795000</v>
      </c>
      <c r="AT1003" s="1">
        <f t="shared" si="104"/>
        <v>34766986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8"/>
        <v>قراردادي کارگري</v>
      </c>
      <c r="E1004" s="1" t="str">
        <f t="shared" si="109"/>
        <v>پروژه تعميرات نيروگاه بوشهر</v>
      </c>
      <c r="F1004" s="1">
        <v>5649306</v>
      </c>
      <c r="G1004" s="1">
        <v>6466835</v>
      </c>
      <c r="H1004" s="1">
        <v>0</v>
      </c>
      <c r="I1004" s="1">
        <v>3389584</v>
      </c>
      <c r="J1004" s="1">
        <v>0</v>
      </c>
      <c r="K1004" s="1">
        <v>0</v>
      </c>
      <c r="L1004" s="1">
        <v>3620700</v>
      </c>
      <c r="M1004" s="1">
        <v>400000</v>
      </c>
      <c r="N1004" s="1">
        <v>3012963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1717255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25356643</v>
      </c>
      <c r="AO1004" s="1">
        <v>2963293</v>
      </c>
      <c r="AP1004" s="1">
        <v>22393350</v>
      </c>
      <c r="AQ1004" s="1">
        <v>5071329</v>
      </c>
      <c r="AR1004" s="1">
        <v>760699</v>
      </c>
      <c r="AS1004" s="1">
        <v>390000</v>
      </c>
      <c r="AT1004" s="1">
        <f t="shared" si="104"/>
        <v>31578671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8"/>
        <v>قراردادي کارگري</v>
      </c>
      <c r="E1005" s="1" t="str">
        <f t="shared" si="109"/>
        <v>پروژه تعميرات نيروگاه بوشهر</v>
      </c>
      <c r="F1005" s="1">
        <v>4577976</v>
      </c>
      <c r="G1005" s="1">
        <v>14860258</v>
      </c>
      <c r="H1005" s="1">
        <v>0</v>
      </c>
      <c r="I1005" s="1">
        <v>2746786</v>
      </c>
      <c r="J1005" s="1">
        <v>0</v>
      </c>
      <c r="K1005" s="1">
        <v>0</v>
      </c>
      <c r="L1005" s="1">
        <v>3620700</v>
      </c>
      <c r="M1005" s="1">
        <v>400000</v>
      </c>
      <c r="N1005" s="1">
        <v>2441587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1488705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31236012</v>
      </c>
      <c r="AO1005" s="1">
        <v>3562084</v>
      </c>
      <c r="AP1005" s="1">
        <v>27673928</v>
      </c>
      <c r="AQ1005" s="1">
        <v>6247202</v>
      </c>
      <c r="AR1005" s="1">
        <v>937080</v>
      </c>
      <c r="AS1005" s="1">
        <v>530000</v>
      </c>
      <c r="AT1005" s="1">
        <f t="shared" si="104"/>
        <v>38950294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8"/>
        <v>قراردادي کارگري</v>
      </c>
      <c r="E1006" s="1" t="str">
        <f t="shared" si="109"/>
        <v>پروژه تعميرات نيروگاه بوشهر</v>
      </c>
      <c r="F1006" s="1">
        <v>4510038</v>
      </c>
      <c r="G1006" s="1">
        <v>3219196</v>
      </c>
      <c r="H1006" s="1">
        <v>0</v>
      </c>
      <c r="I1006" s="1">
        <v>2706023</v>
      </c>
      <c r="J1006" s="1">
        <v>0</v>
      </c>
      <c r="K1006" s="1">
        <v>0</v>
      </c>
      <c r="L1006" s="1">
        <v>3620700</v>
      </c>
      <c r="M1006" s="1">
        <v>400000</v>
      </c>
      <c r="N1006" s="1">
        <v>2405354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1474211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19435522</v>
      </c>
      <c r="AO1006" s="1">
        <v>4580487</v>
      </c>
      <c r="AP1006" s="1">
        <v>14855035</v>
      </c>
      <c r="AQ1006" s="1">
        <v>3887104</v>
      </c>
      <c r="AR1006" s="1">
        <v>583066</v>
      </c>
      <c r="AS1006" s="1">
        <v>530000</v>
      </c>
      <c r="AT1006" s="1">
        <f t="shared" si="104"/>
        <v>24435692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10">"قراردادي بهره بردار"</f>
        <v>قراردادي بهره بردار</v>
      </c>
      <c r="E1007" s="1" t="str">
        <f t="shared" si="109"/>
        <v>پروژه تعميرات نيروگاه بوشهر</v>
      </c>
      <c r="F1007" s="1">
        <v>7424094</v>
      </c>
      <c r="G1007" s="1">
        <v>2141504</v>
      </c>
      <c r="H1007" s="1">
        <v>0</v>
      </c>
      <c r="I1007" s="1">
        <v>3463947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906904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1334964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647789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906904</v>
      </c>
      <c r="AM1007" s="1">
        <v>0</v>
      </c>
      <c r="AN1007" s="1">
        <v>21791106</v>
      </c>
      <c r="AO1007" s="1">
        <v>2565377</v>
      </c>
      <c r="AP1007" s="1">
        <v>19225729</v>
      </c>
      <c r="AQ1007" s="1">
        <v>4358221</v>
      </c>
      <c r="AR1007" s="1">
        <v>653733</v>
      </c>
      <c r="AS1007" s="1">
        <v>0</v>
      </c>
      <c r="AT1007" s="1">
        <f t="shared" si="104"/>
        <v>26803060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7089770</v>
      </c>
      <c r="G1008" s="1">
        <v>1998436</v>
      </c>
      <c r="H1008" s="1">
        <v>0</v>
      </c>
      <c r="I1008" s="1">
        <v>3232530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786758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1245778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561970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786758</v>
      </c>
      <c r="AM1008" s="1">
        <v>0</v>
      </c>
      <c r="AN1008" s="1">
        <v>21822000</v>
      </c>
      <c r="AO1008" s="1">
        <v>6354206</v>
      </c>
      <c r="AP1008" s="1">
        <v>15467794</v>
      </c>
      <c r="AQ1008" s="1">
        <v>4364400</v>
      </c>
      <c r="AR1008" s="1">
        <v>654660</v>
      </c>
      <c r="AS1008" s="1">
        <v>0</v>
      </c>
      <c r="AT1008" s="1">
        <f t="shared" si="104"/>
        <v>26841060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10417700</v>
      </c>
      <c r="G1009" s="1">
        <v>1409960</v>
      </c>
      <c r="H1009" s="1">
        <v>0</v>
      </c>
      <c r="I1009" s="1">
        <v>4561302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1011000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1757872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722143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866571</v>
      </c>
      <c r="AM1009" s="1">
        <v>0</v>
      </c>
      <c r="AN1009" s="1">
        <v>26371548</v>
      </c>
      <c r="AO1009" s="1">
        <v>4590419</v>
      </c>
      <c r="AP1009" s="1">
        <v>21781129</v>
      </c>
      <c r="AQ1009" s="1">
        <v>5274310</v>
      </c>
      <c r="AR1009" s="1">
        <v>791146</v>
      </c>
      <c r="AS1009" s="1">
        <v>0</v>
      </c>
      <c r="AT1009" s="1">
        <f t="shared" si="104"/>
        <v>32437004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8042034</v>
      </c>
      <c r="G1010" s="1">
        <v>1203106</v>
      </c>
      <c r="H1010" s="1">
        <v>0</v>
      </c>
      <c r="I1010" s="1">
        <v>3892943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1129134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1499977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806524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1129134</v>
      </c>
      <c r="AM1010" s="1">
        <v>0</v>
      </c>
      <c r="AN1010" s="1">
        <v>23822852</v>
      </c>
      <c r="AO1010" s="1">
        <v>7097600</v>
      </c>
      <c r="AP1010" s="1">
        <v>16725252</v>
      </c>
      <c r="AQ1010" s="1">
        <v>4764570</v>
      </c>
      <c r="AR1010" s="1">
        <v>714686</v>
      </c>
      <c r="AS1010" s="1">
        <v>0</v>
      </c>
      <c r="AT1010" s="1">
        <f t="shared" si="104"/>
        <v>29302108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10459978</v>
      </c>
      <c r="G1011" s="1">
        <v>2128196</v>
      </c>
      <c r="H1011" s="1">
        <v>0</v>
      </c>
      <c r="I1011" s="1">
        <v>4589892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1026289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1768890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733063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879677</v>
      </c>
      <c r="AM1011" s="1">
        <v>0</v>
      </c>
      <c r="AN1011" s="1">
        <v>27210985</v>
      </c>
      <c r="AO1011" s="1">
        <v>4155445</v>
      </c>
      <c r="AP1011" s="1">
        <v>23055540</v>
      </c>
      <c r="AQ1011" s="1">
        <v>5442197</v>
      </c>
      <c r="AR1011" s="1">
        <v>816330</v>
      </c>
      <c r="AS1011" s="1">
        <v>0</v>
      </c>
      <c r="AT1011" s="1">
        <f t="shared" si="104"/>
        <v>33469512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10718884</v>
      </c>
      <c r="G1012" s="1">
        <v>2651717</v>
      </c>
      <c r="H1012" s="1">
        <v>0</v>
      </c>
      <c r="I1012" s="1">
        <v>4765812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1120847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1836688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800604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960726</v>
      </c>
      <c r="AM1012" s="1">
        <v>0</v>
      </c>
      <c r="AN1012" s="1">
        <v>29855278</v>
      </c>
      <c r="AO1012" s="1">
        <v>5553687</v>
      </c>
      <c r="AP1012" s="1">
        <v>24301591</v>
      </c>
      <c r="AQ1012" s="1">
        <v>5971056</v>
      </c>
      <c r="AR1012" s="1">
        <v>895658</v>
      </c>
      <c r="AS1012" s="1">
        <v>0</v>
      </c>
      <c r="AT1012" s="1">
        <f t="shared" si="104"/>
        <v>36721992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7002258</v>
      </c>
      <c r="G1013" s="1">
        <v>1372642</v>
      </c>
      <c r="H1013" s="1">
        <v>0</v>
      </c>
      <c r="I1013" s="1">
        <v>3171841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755190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1222390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539421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755190</v>
      </c>
      <c r="AM1013" s="1">
        <v>0</v>
      </c>
      <c r="AN1013" s="1">
        <v>19783932</v>
      </c>
      <c r="AO1013" s="1">
        <v>2424875</v>
      </c>
      <c r="AP1013" s="1">
        <v>17359057</v>
      </c>
      <c r="AQ1013" s="1">
        <v>3956786</v>
      </c>
      <c r="AR1013" s="1">
        <v>593518</v>
      </c>
      <c r="AS1013" s="1">
        <v>0</v>
      </c>
      <c r="AT1013" s="1">
        <f t="shared" si="104"/>
        <v>24334236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7686364</v>
      </c>
      <c r="G1014" s="1">
        <v>2253098</v>
      </c>
      <c r="H1014" s="1">
        <v>0</v>
      </c>
      <c r="I1014" s="1">
        <v>3641371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1001204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1404528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715146</v>
      </c>
      <c r="AF1014" s="1">
        <v>1111269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1001204</v>
      </c>
      <c r="AM1014" s="1">
        <v>0</v>
      </c>
      <c r="AN1014" s="1">
        <v>24934184</v>
      </c>
      <c r="AO1014" s="1">
        <v>2707604</v>
      </c>
      <c r="AP1014" s="1">
        <v>22226580</v>
      </c>
      <c r="AQ1014" s="1">
        <v>4764583</v>
      </c>
      <c r="AR1014" s="1">
        <v>714687</v>
      </c>
      <c r="AS1014" s="1">
        <v>0</v>
      </c>
      <c r="AT1014" s="1">
        <f t="shared" si="104"/>
        <v>30413454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7862453</v>
      </c>
      <c r="G1015" s="1">
        <v>582334</v>
      </c>
      <c r="H1015" s="1">
        <v>0</v>
      </c>
      <c r="I1015" s="1">
        <v>3768564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1064557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1452053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760399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1064557</v>
      </c>
      <c r="AM1015" s="1">
        <v>0</v>
      </c>
      <c r="AN1015" s="1">
        <v>21519917</v>
      </c>
      <c r="AO1015" s="1">
        <v>3146394</v>
      </c>
      <c r="AP1015" s="1">
        <v>18373523</v>
      </c>
      <c r="AQ1015" s="1">
        <v>4303983</v>
      </c>
      <c r="AR1015" s="1">
        <v>645598</v>
      </c>
      <c r="AS1015" s="1">
        <v>0</v>
      </c>
      <c r="AT1015" s="1">
        <f t="shared" si="104"/>
        <v>26469498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6975663</v>
      </c>
      <c r="G1016" s="1">
        <v>1949591</v>
      </c>
      <c r="H1016" s="1">
        <v>0</v>
      </c>
      <c r="I1016" s="1">
        <v>3153521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745724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1215329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532661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745724</v>
      </c>
      <c r="AM1016" s="1">
        <v>0</v>
      </c>
      <c r="AN1016" s="1">
        <v>20283213</v>
      </c>
      <c r="AO1016" s="1">
        <v>2459825</v>
      </c>
      <c r="AP1016" s="1">
        <v>17823388</v>
      </c>
      <c r="AQ1016" s="1">
        <v>4056643</v>
      </c>
      <c r="AR1016" s="1">
        <v>608496</v>
      </c>
      <c r="AS1016" s="1">
        <v>0</v>
      </c>
      <c r="AT1016" s="1">
        <f t="shared" si="104"/>
        <v>24948352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7091714</v>
      </c>
      <c r="G1017" s="1">
        <v>399852</v>
      </c>
      <c r="H1017" s="1">
        <v>0</v>
      </c>
      <c r="I1017" s="1">
        <v>3233858</v>
      </c>
      <c r="J1017" s="1">
        <v>0</v>
      </c>
      <c r="K1017" s="1">
        <v>4620000</v>
      </c>
      <c r="L1017" s="1">
        <v>0</v>
      </c>
      <c r="M1017" s="1">
        <v>400000</v>
      </c>
      <c r="N1017" s="1">
        <v>787439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1246290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562456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787439</v>
      </c>
      <c r="AM1017" s="1">
        <v>0</v>
      </c>
      <c r="AN1017" s="1">
        <v>20229048</v>
      </c>
      <c r="AO1017" s="1">
        <v>2656033</v>
      </c>
      <c r="AP1017" s="1">
        <v>17573015</v>
      </c>
      <c r="AQ1017" s="1">
        <v>4045810</v>
      </c>
      <c r="AR1017" s="1">
        <v>606871</v>
      </c>
      <c r="AS1017" s="1">
        <v>0</v>
      </c>
      <c r="AT1017" s="1">
        <f t="shared" si="104"/>
        <v>24881729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7185620</v>
      </c>
      <c r="G1018" s="1">
        <v>2039537</v>
      </c>
      <c r="H1018" s="1">
        <v>0</v>
      </c>
      <c r="I1018" s="1">
        <v>3299709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821089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1271400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586492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821089</v>
      </c>
      <c r="AM1018" s="1">
        <v>0</v>
      </c>
      <c r="AN1018" s="1">
        <v>20989936</v>
      </c>
      <c r="AO1018" s="1">
        <v>3969296</v>
      </c>
      <c r="AP1018" s="1">
        <v>17020640</v>
      </c>
      <c r="AQ1018" s="1">
        <v>4197987</v>
      </c>
      <c r="AR1018" s="1">
        <v>629698</v>
      </c>
      <c r="AS1018" s="1">
        <v>0</v>
      </c>
      <c r="AT1018" s="1">
        <f t="shared" si="104"/>
        <v>25817621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7209553</v>
      </c>
      <c r="G1019" s="1">
        <v>2049680</v>
      </c>
      <c r="H1019" s="1">
        <v>0</v>
      </c>
      <c r="I1019" s="1">
        <v>3315418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829779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1277723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592699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829779</v>
      </c>
      <c r="AM1019" s="1">
        <v>0</v>
      </c>
      <c r="AN1019" s="1">
        <v>22224631</v>
      </c>
      <c r="AO1019" s="1">
        <v>4715724</v>
      </c>
      <c r="AP1019" s="1">
        <v>17508907</v>
      </c>
      <c r="AQ1019" s="1">
        <v>4444926</v>
      </c>
      <c r="AR1019" s="1">
        <v>666739</v>
      </c>
      <c r="AS1019" s="1">
        <v>0</v>
      </c>
      <c r="AT1019" s="1">
        <f t="shared" si="104"/>
        <v>27336296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7023010</v>
      </c>
      <c r="G1020" s="1">
        <v>1969775</v>
      </c>
      <c r="H1020" s="1">
        <v>0</v>
      </c>
      <c r="I1020" s="1">
        <v>3186170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762609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1227912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544721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762609</v>
      </c>
      <c r="AM1020" s="1">
        <v>0</v>
      </c>
      <c r="AN1020" s="1">
        <v>20441806</v>
      </c>
      <c r="AO1020" s="1">
        <v>3530926</v>
      </c>
      <c r="AP1020" s="1">
        <v>16910880</v>
      </c>
      <c r="AQ1020" s="1">
        <v>4088361</v>
      </c>
      <c r="AR1020" s="1">
        <v>613254</v>
      </c>
      <c r="AS1020" s="1">
        <v>0</v>
      </c>
      <c r="AT1020" s="1">
        <f t="shared" si="104"/>
        <v>25143421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10910127</v>
      </c>
      <c r="G1021" s="1">
        <v>2420653</v>
      </c>
      <c r="H1021" s="1">
        <v>0</v>
      </c>
      <c r="I1021" s="1">
        <v>4890207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1190736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1886223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850526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1020631</v>
      </c>
      <c r="AM1021" s="1">
        <v>0</v>
      </c>
      <c r="AN1021" s="1">
        <v>28794103</v>
      </c>
      <c r="AO1021" s="1">
        <v>5134075</v>
      </c>
      <c r="AP1021" s="1">
        <v>23660028</v>
      </c>
      <c r="AQ1021" s="1">
        <v>5758821</v>
      </c>
      <c r="AR1021" s="1">
        <v>863823</v>
      </c>
      <c r="AS1021" s="1">
        <v>0</v>
      </c>
      <c r="AT1021" s="1">
        <f t="shared" si="104"/>
        <v>35416747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11385393</v>
      </c>
      <c r="G1022" s="1">
        <v>2419729</v>
      </c>
      <c r="H1022" s="1">
        <v>0</v>
      </c>
      <c r="I1022" s="1">
        <v>5218643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1364220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2011203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974443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1169332</v>
      </c>
      <c r="AM1022" s="1">
        <v>0</v>
      </c>
      <c r="AN1022" s="1">
        <v>30167963</v>
      </c>
      <c r="AO1022" s="1">
        <v>5322047</v>
      </c>
      <c r="AP1022" s="1">
        <v>24845916</v>
      </c>
      <c r="AQ1022" s="1">
        <v>6033593</v>
      </c>
      <c r="AR1022" s="1">
        <v>905039</v>
      </c>
      <c r="AS1022" s="1">
        <v>0</v>
      </c>
      <c r="AT1022" s="1">
        <f t="shared" si="104"/>
        <v>37106595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10417700</v>
      </c>
      <c r="G1023" s="1">
        <v>2819919</v>
      </c>
      <c r="H1023" s="1">
        <v>0</v>
      </c>
      <c r="I1023" s="1">
        <v>4561302</v>
      </c>
      <c r="J1023" s="1">
        <v>0</v>
      </c>
      <c r="K1023" s="1">
        <v>0</v>
      </c>
      <c r="L1023" s="1">
        <v>0</v>
      </c>
      <c r="M1023" s="1">
        <v>400000</v>
      </c>
      <c r="N1023" s="1">
        <v>1011000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1757872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722143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866571</v>
      </c>
      <c r="AM1023" s="1">
        <v>0</v>
      </c>
      <c r="AN1023" s="1">
        <v>23656507</v>
      </c>
      <c r="AO1023" s="1">
        <v>2695955</v>
      </c>
      <c r="AP1023" s="1">
        <v>20960552</v>
      </c>
      <c r="AQ1023" s="1">
        <v>4731301</v>
      </c>
      <c r="AR1023" s="1">
        <v>709695</v>
      </c>
      <c r="AS1023" s="1">
        <v>0</v>
      </c>
      <c r="AT1023" s="1">
        <f t="shared" si="104"/>
        <v>29097503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10456132</v>
      </c>
      <c r="G1024" s="1">
        <v>2836011</v>
      </c>
      <c r="H1024" s="1">
        <v>0</v>
      </c>
      <c r="I1024" s="1">
        <v>4587332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1024943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1767903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732103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878522</v>
      </c>
      <c r="AM1024" s="1">
        <v>0</v>
      </c>
      <c r="AN1024" s="1">
        <v>27907946</v>
      </c>
      <c r="AO1024" s="1">
        <v>4272534</v>
      </c>
      <c r="AP1024" s="1">
        <v>23635412</v>
      </c>
      <c r="AQ1024" s="1">
        <v>5581589</v>
      </c>
      <c r="AR1024" s="1">
        <v>837238</v>
      </c>
      <c r="AS1024" s="1">
        <v>0</v>
      </c>
      <c r="AT1024" s="1">
        <f t="shared" si="104"/>
        <v>34326773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6975663</v>
      </c>
      <c r="G1025" s="1">
        <v>974795</v>
      </c>
      <c r="H1025" s="1">
        <v>0</v>
      </c>
      <c r="I1025" s="1">
        <v>3153521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745724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1215329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532661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745724</v>
      </c>
      <c r="AM1025" s="1">
        <v>0</v>
      </c>
      <c r="AN1025" s="1">
        <v>20463417</v>
      </c>
      <c r="AO1025" s="1">
        <v>2472439</v>
      </c>
      <c r="AP1025" s="1">
        <v>17990978</v>
      </c>
      <c r="AQ1025" s="1">
        <v>4092683</v>
      </c>
      <c r="AR1025" s="1">
        <v>613903</v>
      </c>
      <c r="AS1025" s="1">
        <v>0</v>
      </c>
      <c r="AT1025" s="1">
        <f t="shared" si="104"/>
        <v>25170003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7245135</v>
      </c>
      <c r="G1026" s="1">
        <v>309734</v>
      </c>
      <c r="H1026" s="1">
        <v>0</v>
      </c>
      <c r="I1026" s="1">
        <v>3340029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842546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1287208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601819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842546</v>
      </c>
      <c r="AM1026" s="1">
        <v>0</v>
      </c>
      <c r="AN1026" s="1">
        <v>20589017</v>
      </c>
      <c r="AO1026" s="1">
        <v>5761231</v>
      </c>
      <c r="AP1026" s="1">
        <v>14827786</v>
      </c>
      <c r="AQ1026" s="1">
        <v>4117803</v>
      </c>
      <c r="AR1026" s="1">
        <v>617671</v>
      </c>
      <c r="AS1026" s="1">
        <v>0</v>
      </c>
      <c r="AT1026" s="1">
        <f t="shared" si="104"/>
        <v>25324491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10484937</v>
      </c>
      <c r="G1027" s="1">
        <v>2136106</v>
      </c>
      <c r="H1027" s="1">
        <v>0</v>
      </c>
      <c r="I1027" s="1">
        <v>4606952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1035517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1775465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739655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887586</v>
      </c>
      <c r="AM1027" s="1">
        <v>0</v>
      </c>
      <c r="AN1027" s="1">
        <v>27291218</v>
      </c>
      <c r="AO1027" s="1">
        <v>4814925</v>
      </c>
      <c r="AP1027" s="1">
        <v>22476293</v>
      </c>
      <c r="AQ1027" s="1">
        <v>5458244</v>
      </c>
      <c r="AR1027" s="1">
        <v>818737</v>
      </c>
      <c r="AS1027" s="1">
        <v>0</v>
      </c>
      <c r="AT1027" s="1">
        <f t="shared" ref="AT1027:AT1090" si="111">AS1027+AR1027+AQ1027+AN1027</f>
        <v>33568199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7035979</v>
      </c>
      <c r="G1028" s="1">
        <v>987673</v>
      </c>
      <c r="H1028" s="1">
        <v>0</v>
      </c>
      <c r="I1028" s="1">
        <v>3195180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767305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1231385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548075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767305</v>
      </c>
      <c r="AM1028" s="1">
        <v>0</v>
      </c>
      <c r="AN1028" s="1">
        <v>19497902</v>
      </c>
      <c r="AO1028" s="1">
        <v>4804853</v>
      </c>
      <c r="AP1028" s="1">
        <v>14693049</v>
      </c>
      <c r="AQ1028" s="1">
        <v>3899580</v>
      </c>
      <c r="AR1028" s="1">
        <v>584937</v>
      </c>
      <c r="AS1028" s="1">
        <v>0</v>
      </c>
      <c r="AT1028" s="1">
        <f t="shared" si="111"/>
        <v>23982419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7371795</v>
      </c>
      <c r="G1029" s="1">
        <v>847654</v>
      </c>
      <c r="H1029" s="1">
        <v>0</v>
      </c>
      <c r="I1029" s="1">
        <v>3427765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888130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1321020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634378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888130</v>
      </c>
      <c r="AM1029" s="1">
        <v>0</v>
      </c>
      <c r="AN1029" s="1">
        <v>20343872</v>
      </c>
      <c r="AO1029" s="1">
        <v>4584071</v>
      </c>
      <c r="AP1029" s="1">
        <v>15759801</v>
      </c>
      <c r="AQ1029" s="1">
        <v>4068774</v>
      </c>
      <c r="AR1029" s="1">
        <v>610316</v>
      </c>
      <c r="AS1029" s="1">
        <v>0</v>
      </c>
      <c r="AT1029" s="1">
        <f t="shared" si="111"/>
        <v>25022962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7002258</v>
      </c>
      <c r="G1030" s="1">
        <v>784367</v>
      </c>
      <c r="H1030" s="1">
        <v>0</v>
      </c>
      <c r="I1030" s="1">
        <v>3171841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755190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1222390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539421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755190</v>
      </c>
      <c r="AM1030" s="1">
        <v>0</v>
      </c>
      <c r="AN1030" s="1">
        <v>19195657</v>
      </c>
      <c r="AO1030" s="1">
        <v>4083696</v>
      </c>
      <c r="AP1030" s="1">
        <v>15111961</v>
      </c>
      <c r="AQ1030" s="1">
        <v>3839131</v>
      </c>
      <c r="AR1030" s="1">
        <v>575870</v>
      </c>
      <c r="AS1030" s="1">
        <v>0</v>
      </c>
      <c r="AT1030" s="1">
        <f t="shared" si="111"/>
        <v>23610658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6975663</v>
      </c>
      <c r="G1031" s="1">
        <v>1364713</v>
      </c>
      <c r="H1031" s="1">
        <v>0</v>
      </c>
      <c r="I1031" s="1">
        <v>3153521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745724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1215329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532661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745724</v>
      </c>
      <c r="AM1031" s="1">
        <v>0</v>
      </c>
      <c r="AN1031" s="1">
        <v>19698335</v>
      </c>
      <c r="AO1031" s="1">
        <v>7518883</v>
      </c>
      <c r="AP1031" s="1">
        <v>12179452</v>
      </c>
      <c r="AQ1031" s="1">
        <v>3939667</v>
      </c>
      <c r="AR1031" s="1">
        <v>590950</v>
      </c>
      <c r="AS1031" s="1">
        <v>0</v>
      </c>
      <c r="AT1031" s="1">
        <f t="shared" si="111"/>
        <v>24228952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10"/>
        <v>قراردادي بهره بردار</v>
      </c>
      <c r="E1032" s="1" t="str">
        <f t="shared" ref="E1032:E1058" si="112">"پروژه تعميرات نيروگاه بوشهر"</f>
        <v>پروژه تعميرات نيروگاه بوشهر</v>
      </c>
      <c r="F1032" s="1">
        <v>7009392</v>
      </c>
      <c r="G1032" s="1">
        <v>883810</v>
      </c>
      <c r="H1032" s="1">
        <v>0</v>
      </c>
      <c r="I1032" s="1">
        <v>3176865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757843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1224325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541316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757843</v>
      </c>
      <c r="AM1032" s="1">
        <v>0</v>
      </c>
      <c r="AN1032" s="1">
        <v>19316394</v>
      </c>
      <c r="AO1032" s="1">
        <v>2392148</v>
      </c>
      <c r="AP1032" s="1">
        <v>16924246</v>
      </c>
      <c r="AQ1032" s="1">
        <v>3863279</v>
      </c>
      <c r="AR1032" s="1">
        <v>579492</v>
      </c>
      <c r="AS1032" s="1">
        <v>0</v>
      </c>
      <c r="AT1032" s="1">
        <f t="shared" si="111"/>
        <v>23759165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7002258</v>
      </c>
      <c r="G1033" s="1">
        <v>1960917</v>
      </c>
      <c r="H1033" s="1">
        <v>0</v>
      </c>
      <c r="I1033" s="1">
        <v>3171841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755190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1222390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539421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755190</v>
      </c>
      <c r="AM1033" s="1">
        <v>0</v>
      </c>
      <c r="AN1033" s="1">
        <v>21527207</v>
      </c>
      <c r="AO1033" s="1">
        <v>5946904</v>
      </c>
      <c r="AP1033" s="1">
        <v>15580303</v>
      </c>
      <c r="AQ1033" s="1">
        <v>4305441</v>
      </c>
      <c r="AR1033" s="1">
        <v>645816</v>
      </c>
      <c r="AS1033" s="1">
        <v>0</v>
      </c>
      <c r="AT1033" s="1">
        <f t="shared" si="111"/>
        <v>26478464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7007447</v>
      </c>
      <c r="G1034" s="1">
        <v>0</v>
      </c>
      <c r="H1034" s="1">
        <v>0</v>
      </c>
      <c r="I1034" s="1">
        <v>3175535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757162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1223813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540830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757162</v>
      </c>
      <c r="AM1034" s="1">
        <v>0</v>
      </c>
      <c r="AN1034" s="1">
        <v>18426949</v>
      </c>
      <c r="AO1034" s="1">
        <v>4529886</v>
      </c>
      <c r="AP1034" s="1">
        <v>13897063</v>
      </c>
      <c r="AQ1034" s="1">
        <v>3685390</v>
      </c>
      <c r="AR1034" s="1">
        <v>552808</v>
      </c>
      <c r="AS1034" s="1">
        <v>0</v>
      </c>
      <c r="AT1034" s="1">
        <f t="shared" si="111"/>
        <v>22665147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10"/>
        <v>قراردادي بهره بردار</v>
      </c>
      <c r="E1035" s="1" t="str">
        <f t="shared" si="112"/>
        <v>پروژه تعميرات نيروگاه بوشهر</v>
      </c>
      <c r="F1035" s="1">
        <v>10677724</v>
      </c>
      <c r="G1035" s="1">
        <v>2929000</v>
      </c>
      <c r="H1035" s="1">
        <v>0</v>
      </c>
      <c r="I1035" s="1">
        <v>4737743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1105702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1825870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789786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947745</v>
      </c>
      <c r="AM1035" s="1">
        <v>0</v>
      </c>
      <c r="AN1035" s="1">
        <v>28638570</v>
      </c>
      <c r="AO1035" s="1">
        <v>7237946</v>
      </c>
      <c r="AP1035" s="1">
        <v>21400624</v>
      </c>
      <c r="AQ1035" s="1">
        <v>5727714</v>
      </c>
      <c r="AR1035" s="1">
        <v>859157</v>
      </c>
      <c r="AS1035" s="1">
        <v>0</v>
      </c>
      <c r="AT1035" s="1">
        <f t="shared" si="111"/>
        <v>35225441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10"/>
        <v>قراردادي بهره بردار</v>
      </c>
      <c r="E1036" s="1" t="str">
        <f t="shared" si="112"/>
        <v>پروژه تعميرات نيروگاه بوشهر</v>
      </c>
      <c r="F1036" s="1">
        <v>7006149</v>
      </c>
      <c r="G1036" s="1">
        <v>0</v>
      </c>
      <c r="H1036" s="1">
        <v>0</v>
      </c>
      <c r="I1036" s="1">
        <v>3174499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756551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1223414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540394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756551</v>
      </c>
      <c r="AM1036" s="1">
        <v>0</v>
      </c>
      <c r="AN1036" s="1">
        <v>18422558</v>
      </c>
      <c r="AO1036" s="1">
        <v>4529579</v>
      </c>
      <c r="AP1036" s="1">
        <v>13892979</v>
      </c>
      <c r="AQ1036" s="1">
        <v>3684512</v>
      </c>
      <c r="AR1036" s="1">
        <v>552677</v>
      </c>
      <c r="AS1036" s="1">
        <v>0</v>
      </c>
      <c r="AT1036" s="1">
        <f t="shared" si="111"/>
        <v>22659747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10"/>
        <v>قراردادي بهره بردار</v>
      </c>
      <c r="E1037" s="1" t="str">
        <f t="shared" si="112"/>
        <v>پروژه تعميرات نيروگاه بوشهر</v>
      </c>
      <c r="F1037" s="1">
        <v>7873338</v>
      </c>
      <c r="G1037" s="1">
        <v>2333162</v>
      </c>
      <c r="H1037" s="1">
        <v>0</v>
      </c>
      <c r="I1037" s="1">
        <v>3770767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1068524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1454439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763231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1068524</v>
      </c>
      <c r="AM1037" s="1">
        <v>0</v>
      </c>
      <c r="AN1037" s="1">
        <v>23296985</v>
      </c>
      <c r="AO1037" s="1">
        <v>3730789</v>
      </c>
      <c r="AP1037" s="1">
        <v>19566196</v>
      </c>
      <c r="AQ1037" s="1">
        <v>4659397</v>
      </c>
      <c r="AR1037" s="1">
        <v>698910</v>
      </c>
      <c r="AS1037" s="1">
        <v>0</v>
      </c>
      <c r="AT1037" s="1">
        <f t="shared" si="111"/>
        <v>28655292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10"/>
        <v>قراردادي بهره بردار</v>
      </c>
      <c r="E1038" s="1" t="str">
        <f t="shared" si="112"/>
        <v>پروژه تعميرات نيروگاه بوشهر</v>
      </c>
      <c r="F1038" s="1">
        <v>7007447</v>
      </c>
      <c r="G1038" s="1">
        <v>1472401</v>
      </c>
      <c r="H1038" s="1">
        <v>0</v>
      </c>
      <c r="I1038" s="1">
        <v>3175535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757162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1223813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540830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757162</v>
      </c>
      <c r="AM1038" s="1">
        <v>0</v>
      </c>
      <c r="AN1038" s="1">
        <v>19899350</v>
      </c>
      <c r="AO1038" s="1">
        <v>2532955</v>
      </c>
      <c r="AP1038" s="1">
        <v>17366395</v>
      </c>
      <c r="AQ1038" s="1">
        <v>3979870</v>
      </c>
      <c r="AR1038" s="1">
        <v>596981</v>
      </c>
      <c r="AS1038" s="1">
        <v>0</v>
      </c>
      <c r="AT1038" s="1">
        <f t="shared" si="111"/>
        <v>24476201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3">"قراردادي بهره بردار"</f>
        <v>قراردادي بهره بردار</v>
      </c>
      <c r="E1039" s="1" t="str">
        <f t="shared" si="112"/>
        <v>پروژه تعميرات نيروگاه بوشهر</v>
      </c>
      <c r="F1039" s="1">
        <v>6975663</v>
      </c>
      <c r="G1039" s="1">
        <v>1949591</v>
      </c>
      <c r="H1039" s="1">
        <v>0</v>
      </c>
      <c r="I1039" s="1">
        <v>3153521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745724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1215329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532661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745724</v>
      </c>
      <c r="AM1039" s="1">
        <v>0</v>
      </c>
      <c r="AN1039" s="1">
        <v>20283213</v>
      </c>
      <c r="AO1039" s="1">
        <v>2859825</v>
      </c>
      <c r="AP1039" s="1">
        <v>17423388</v>
      </c>
      <c r="AQ1039" s="1">
        <v>4056643</v>
      </c>
      <c r="AR1039" s="1">
        <v>608496</v>
      </c>
      <c r="AS1039" s="1">
        <v>0</v>
      </c>
      <c r="AT1039" s="1">
        <f t="shared" si="111"/>
        <v>24948352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10681486</v>
      </c>
      <c r="G1040" s="1">
        <v>2941674</v>
      </c>
      <c r="H1040" s="1">
        <v>0</v>
      </c>
      <c r="I1040" s="1">
        <v>4808339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1107511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1833770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791079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949295</v>
      </c>
      <c r="AM1040" s="1">
        <v>0</v>
      </c>
      <c r="AN1040" s="1">
        <v>28738154</v>
      </c>
      <c r="AO1040" s="1">
        <v>6332010</v>
      </c>
      <c r="AP1040" s="1">
        <v>22406144</v>
      </c>
      <c r="AQ1040" s="1">
        <v>5747631</v>
      </c>
      <c r="AR1040" s="1">
        <v>862145</v>
      </c>
      <c r="AS1040" s="1">
        <v>0</v>
      </c>
      <c r="AT1040" s="1">
        <f t="shared" si="111"/>
        <v>35347930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10908210</v>
      </c>
      <c r="G1041" s="1">
        <v>3025923</v>
      </c>
      <c r="H1041" s="1">
        <v>0</v>
      </c>
      <c r="I1041" s="1">
        <v>4894519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1190065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1886290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850046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1020055</v>
      </c>
      <c r="AM1041" s="1">
        <v>0</v>
      </c>
      <c r="AN1041" s="1">
        <v>30775108</v>
      </c>
      <c r="AO1041" s="1">
        <v>6860219</v>
      </c>
      <c r="AP1041" s="1">
        <v>23914889</v>
      </c>
      <c r="AQ1041" s="1">
        <v>6155022</v>
      </c>
      <c r="AR1041" s="1">
        <v>923253</v>
      </c>
      <c r="AS1041" s="1">
        <v>0</v>
      </c>
      <c r="AT1041" s="1">
        <f t="shared" si="111"/>
        <v>37853383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7142237</v>
      </c>
      <c r="G1042" s="1">
        <v>0</v>
      </c>
      <c r="H1042" s="1">
        <v>0</v>
      </c>
      <c r="I1042" s="1">
        <v>3268826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805592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1259767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575422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805592</v>
      </c>
      <c r="AM1042" s="1">
        <v>0</v>
      </c>
      <c r="AN1042" s="1">
        <v>18822436</v>
      </c>
      <c r="AO1042" s="1">
        <v>2657571</v>
      </c>
      <c r="AP1042" s="1">
        <v>16164865</v>
      </c>
      <c r="AQ1042" s="1">
        <v>3764487</v>
      </c>
      <c r="AR1042" s="1">
        <v>564673</v>
      </c>
      <c r="AS1042" s="1">
        <v>0</v>
      </c>
      <c r="AT1042" s="1">
        <f t="shared" si="111"/>
        <v>23151596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7293626</v>
      </c>
      <c r="G1043" s="1">
        <v>2085655</v>
      </c>
      <c r="H1043" s="1">
        <v>0</v>
      </c>
      <c r="I1043" s="1">
        <v>3373609</v>
      </c>
      <c r="J1043" s="1">
        <v>0</v>
      </c>
      <c r="K1043" s="1">
        <v>4620000</v>
      </c>
      <c r="L1043" s="1">
        <v>0</v>
      </c>
      <c r="M1043" s="1">
        <v>400000</v>
      </c>
      <c r="N1043" s="1">
        <v>859988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1300149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614277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859988</v>
      </c>
      <c r="AM1043" s="1">
        <v>0</v>
      </c>
      <c r="AN1043" s="1">
        <v>22507292</v>
      </c>
      <c r="AO1043" s="1">
        <v>4782176</v>
      </c>
      <c r="AP1043" s="1">
        <v>17725116</v>
      </c>
      <c r="AQ1043" s="1">
        <v>4501458</v>
      </c>
      <c r="AR1043" s="1">
        <v>675219</v>
      </c>
      <c r="AS1043" s="1">
        <v>0</v>
      </c>
      <c r="AT1043" s="1">
        <f t="shared" si="111"/>
        <v>27683969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10892868</v>
      </c>
      <c r="G1044" s="1">
        <v>1666934</v>
      </c>
      <c r="H1044" s="1">
        <v>0</v>
      </c>
      <c r="I1044" s="1">
        <v>4954001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1184696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1889323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846211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1015454</v>
      </c>
      <c r="AM1044" s="1">
        <v>0</v>
      </c>
      <c r="AN1044" s="1">
        <v>29449487</v>
      </c>
      <c r="AO1044" s="1">
        <v>2581561</v>
      </c>
      <c r="AP1044" s="1">
        <v>26867926</v>
      </c>
      <c r="AQ1044" s="1">
        <v>5889897</v>
      </c>
      <c r="AR1044" s="1">
        <v>883485</v>
      </c>
      <c r="AS1044" s="1">
        <v>0</v>
      </c>
      <c r="AT1044" s="1">
        <f t="shared" si="111"/>
        <v>36222869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7367912</v>
      </c>
      <c r="G1045" s="1">
        <v>2117495</v>
      </c>
      <c r="H1045" s="1">
        <v>0</v>
      </c>
      <c r="I1045" s="1">
        <v>3425111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886771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1319997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633407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886771</v>
      </c>
      <c r="AM1045" s="1">
        <v>0</v>
      </c>
      <c r="AN1045" s="1">
        <v>21602464</v>
      </c>
      <c r="AO1045" s="1">
        <v>5498838</v>
      </c>
      <c r="AP1045" s="1">
        <v>16103626</v>
      </c>
      <c r="AQ1045" s="1">
        <v>4320493</v>
      </c>
      <c r="AR1045" s="1">
        <v>648074</v>
      </c>
      <c r="AS1045" s="1">
        <v>0</v>
      </c>
      <c r="AT1045" s="1">
        <f t="shared" si="111"/>
        <v>26571031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10733239</v>
      </c>
      <c r="G1046" s="1">
        <v>2952398</v>
      </c>
      <c r="H1046" s="1">
        <v>0</v>
      </c>
      <c r="I1046" s="1">
        <v>4775591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1126116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1840455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804369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965243</v>
      </c>
      <c r="AM1046" s="1">
        <v>0</v>
      </c>
      <c r="AN1046" s="1">
        <v>28822411</v>
      </c>
      <c r="AO1046" s="1">
        <v>5002165</v>
      </c>
      <c r="AP1046" s="1">
        <v>23820246</v>
      </c>
      <c r="AQ1046" s="1">
        <v>5764482</v>
      </c>
      <c r="AR1046" s="1">
        <v>864672</v>
      </c>
      <c r="AS1046" s="1">
        <v>0</v>
      </c>
      <c r="AT1046" s="1">
        <f t="shared" si="111"/>
        <v>35451565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7278761</v>
      </c>
      <c r="G1047" s="1">
        <v>1559463</v>
      </c>
      <c r="H1047" s="1">
        <v>0</v>
      </c>
      <c r="I1047" s="1">
        <v>3363302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854628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1296176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610448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854628</v>
      </c>
      <c r="AM1047" s="1">
        <v>0</v>
      </c>
      <c r="AN1047" s="1">
        <v>20782406</v>
      </c>
      <c r="AO1047" s="1">
        <v>5221434</v>
      </c>
      <c r="AP1047" s="1">
        <v>15560972</v>
      </c>
      <c r="AQ1047" s="1">
        <v>4156481</v>
      </c>
      <c r="AR1047" s="1">
        <v>623472</v>
      </c>
      <c r="AS1047" s="1">
        <v>0</v>
      </c>
      <c r="AT1047" s="1">
        <f t="shared" si="111"/>
        <v>25562359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7039218</v>
      </c>
      <c r="G1048" s="1">
        <v>1976807</v>
      </c>
      <c r="H1048" s="1">
        <v>0</v>
      </c>
      <c r="I1048" s="1">
        <v>3197543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768596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1232295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548997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768596</v>
      </c>
      <c r="AM1048" s="1">
        <v>0</v>
      </c>
      <c r="AN1048" s="1">
        <v>20497052</v>
      </c>
      <c r="AO1048" s="1">
        <v>4921460</v>
      </c>
      <c r="AP1048" s="1">
        <v>15575592</v>
      </c>
      <c r="AQ1048" s="1">
        <v>4099410</v>
      </c>
      <c r="AR1048" s="1">
        <v>614912</v>
      </c>
      <c r="AS1048" s="1">
        <v>0</v>
      </c>
      <c r="AT1048" s="1">
        <f t="shared" si="111"/>
        <v>25211374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10904374</v>
      </c>
      <c r="G1049" s="1">
        <v>2268258</v>
      </c>
      <c r="H1049" s="1">
        <v>0</v>
      </c>
      <c r="I1049" s="1">
        <v>4891966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1188722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1885306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849088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1018905</v>
      </c>
      <c r="AM1049" s="1">
        <v>0</v>
      </c>
      <c r="AN1049" s="1">
        <v>28631619</v>
      </c>
      <c r="AO1049" s="1">
        <v>4394111</v>
      </c>
      <c r="AP1049" s="1">
        <v>24237508</v>
      </c>
      <c r="AQ1049" s="1">
        <v>5726324</v>
      </c>
      <c r="AR1049" s="1">
        <v>858949</v>
      </c>
      <c r="AS1049" s="1">
        <v>0</v>
      </c>
      <c r="AT1049" s="1">
        <f t="shared" si="111"/>
        <v>35216892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10830818</v>
      </c>
      <c r="G1050" s="1">
        <v>1047762</v>
      </c>
      <c r="H1050" s="1">
        <v>0</v>
      </c>
      <c r="I1050" s="1">
        <v>4843268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1161747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1866143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829819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995783</v>
      </c>
      <c r="AM1050" s="1">
        <v>0</v>
      </c>
      <c r="AN1050" s="1">
        <v>27200340</v>
      </c>
      <c r="AO1050" s="1">
        <v>6455171</v>
      </c>
      <c r="AP1050" s="1">
        <v>20745169</v>
      </c>
      <c r="AQ1050" s="1">
        <v>5440068</v>
      </c>
      <c r="AR1050" s="1">
        <v>816010</v>
      </c>
      <c r="AS1050" s="1">
        <v>0</v>
      </c>
      <c r="AT1050" s="1">
        <f t="shared" si="111"/>
        <v>33456418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10737078</v>
      </c>
      <c r="G1051" s="1">
        <v>2953978</v>
      </c>
      <c r="H1051" s="1">
        <v>0</v>
      </c>
      <c r="I1051" s="1">
        <v>4778147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1127460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1841442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805329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966395</v>
      </c>
      <c r="AM1051" s="1">
        <v>0</v>
      </c>
      <c r="AN1051" s="1">
        <v>28834829</v>
      </c>
      <c r="AO1051" s="1">
        <v>5057177</v>
      </c>
      <c r="AP1051" s="1">
        <v>23777652</v>
      </c>
      <c r="AQ1051" s="1">
        <v>5766966</v>
      </c>
      <c r="AR1051" s="1">
        <v>865045</v>
      </c>
      <c r="AS1051" s="1">
        <v>0</v>
      </c>
      <c r="AT1051" s="1">
        <f t="shared" si="111"/>
        <v>35466840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7196616</v>
      </c>
      <c r="G1052" s="1">
        <v>2044275</v>
      </c>
      <c r="H1052" s="1">
        <v>0</v>
      </c>
      <c r="I1052" s="1">
        <v>3307373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825094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1274353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589353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825094</v>
      </c>
      <c r="AM1052" s="1">
        <v>0</v>
      </c>
      <c r="AN1052" s="1">
        <v>21027158</v>
      </c>
      <c r="AO1052" s="1">
        <v>3571901</v>
      </c>
      <c r="AP1052" s="1">
        <v>17455257</v>
      </c>
      <c r="AQ1052" s="1">
        <v>4205432</v>
      </c>
      <c r="AR1052" s="1">
        <v>630815</v>
      </c>
      <c r="AS1052" s="1">
        <v>0</v>
      </c>
      <c r="AT1052" s="1">
        <f t="shared" si="111"/>
        <v>25863405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7000312</v>
      </c>
      <c r="G1053" s="1">
        <v>1960095</v>
      </c>
      <c r="H1053" s="1">
        <v>0</v>
      </c>
      <c r="I1053" s="1">
        <v>3170512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754509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1221878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538934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754509</v>
      </c>
      <c r="AM1053" s="1">
        <v>0</v>
      </c>
      <c r="AN1053" s="1">
        <v>20365749</v>
      </c>
      <c r="AO1053" s="1">
        <v>5192268</v>
      </c>
      <c r="AP1053" s="1">
        <v>15173481</v>
      </c>
      <c r="AQ1053" s="1">
        <v>4073150</v>
      </c>
      <c r="AR1053" s="1">
        <v>610972</v>
      </c>
      <c r="AS1053" s="1">
        <v>0</v>
      </c>
      <c r="AT1053" s="1">
        <f t="shared" si="111"/>
        <v>25049871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3"/>
        <v>قراردادي بهره بردار</v>
      </c>
      <c r="E1054" s="1" t="str">
        <f t="shared" si="112"/>
        <v>پروژه تعميرات نيروگاه بوشهر</v>
      </c>
      <c r="F1054" s="1">
        <v>10677724</v>
      </c>
      <c r="G1054" s="1">
        <v>2196750</v>
      </c>
      <c r="H1054" s="1">
        <v>0</v>
      </c>
      <c r="I1054" s="1">
        <v>4737743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1105702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1825870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789786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947745</v>
      </c>
      <c r="AM1054" s="1">
        <v>0</v>
      </c>
      <c r="AN1054" s="1">
        <v>27906320</v>
      </c>
      <c r="AO1054" s="1">
        <v>5332261</v>
      </c>
      <c r="AP1054" s="1">
        <v>22574059</v>
      </c>
      <c r="AQ1054" s="1">
        <v>5581264</v>
      </c>
      <c r="AR1054" s="1">
        <v>837190</v>
      </c>
      <c r="AS1054" s="1">
        <v>0</v>
      </c>
      <c r="AT1054" s="1">
        <f t="shared" si="111"/>
        <v>34324774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3"/>
        <v>قراردادي بهره بردار</v>
      </c>
      <c r="E1055" s="1" t="str">
        <f t="shared" si="112"/>
        <v>پروژه تعميرات نيروگاه بوشهر</v>
      </c>
      <c r="F1055" s="1">
        <v>7459591</v>
      </c>
      <c r="G1055" s="1">
        <v>2049000</v>
      </c>
      <c r="H1055" s="1">
        <v>0</v>
      </c>
      <c r="I1055" s="1">
        <v>3489493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919641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1344525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656886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919641</v>
      </c>
      <c r="AM1055" s="1">
        <v>0</v>
      </c>
      <c r="AN1055" s="1">
        <v>21803777</v>
      </c>
      <c r="AO1055" s="1">
        <v>5292930</v>
      </c>
      <c r="AP1055" s="1">
        <v>16510847</v>
      </c>
      <c r="AQ1055" s="1">
        <v>4360755</v>
      </c>
      <c r="AR1055" s="1">
        <v>654113</v>
      </c>
      <c r="AS1055" s="1">
        <v>0</v>
      </c>
      <c r="AT1055" s="1">
        <f t="shared" si="111"/>
        <v>26818645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3"/>
        <v>قراردادي بهره بردار</v>
      </c>
      <c r="E1056" s="1" t="str">
        <f t="shared" si="112"/>
        <v>پروژه تعميرات نيروگاه بوشهر</v>
      </c>
      <c r="F1056" s="1">
        <v>11147581</v>
      </c>
      <c r="G1056" s="1">
        <v>2970178</v>
      </c>
      <c r="H1056" s="1">
        <v>0</v>
      </c>
      <c r="I1056" s="1">
        <v>5057211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1277539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1948989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912527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1095033</v>
      </c>
      <c r="AM1056" s="1">
        <v>0</v>
      </c>
      <c r="AN1056" s="1">
        <v>30034058</v>
      </c>
      <c r="AO1056" s="1">
        <v>6951217</v>
      </c>
      <c r="AP1056" s="1">
        <v>23082841</v>
      </c>
      <c r="AQ1056" s="1">
        <v>6006812</v>
      </c>
      <c r="AR1056" s="1">
        <v>901022</v>
      </c>
      <c r="AS1056" s="1">
        <v>0</v>
      </c>
      <c r="AT1056" s="1">
        <f t="shared" si="111"/>
        <v>36941892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3"/>
        <v>قراردادي بهره بردار</v>
      </c>
      <c r="E1057" s="1" t="str">
        <f t="shared" si="112"/>
        <v>پروژه تعميرات نيروگاه بوشهر</v>
      </c>
      <c r="F1057" s="1">
        <v>7226374</v>
      </c>
      <c r="G1057" s="1">
        <v>1542773</v>
      </c>
      <c r="H1057" s="1">
        <v>0</v>
      </c>
      <c r="I1057" s="1">
        <v>3328010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835823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1282305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597016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835823</v>
      </c>
      <c r="AM1057" s="1">
        <v>0</v>
      </c>
      <c r="AN1057" s="1">
        <v>20613124</v>
      </c>
      <c r="AO1057" s="1">
        <v>5949585</v>
      </c>
      <c r="AP1057" s="1">
        <v>14663539</v>
      </c>
      <c r="AQ1057" s="1">
        <v>4122625</v>
      </c>
      <c r="AR1057" s="1">
        <v>618394</v>
      </c>
      <c r="AS1057" s="1">
        <v>0</v>
      </c>
      <c r="AT1057" s="1">
        <f t="shared" si="111"/>
        <v>25354143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2"/>
        <v>پروژه تعميرات نيروگاه بوشهر</v>
      </c>
      <c r="F1058" s="1">
        <v>5095350</v>
      </c>
      <c r="G1058" s="1">
        <v>7625922</v>
      </c>
      <c r="H1058" s="1">
        <v>0</v>
      </c>
      <c r="I1058" s="1">
        <v>3057210</v>
      </c>
      <c r="J1058" s="1">
        <v>0</v>
      </c>
      <c r="K1058" s="1">
        <v>0</v>
      </c>
      <c r="L1058" s="1">
        <v>3620700</v>
      </c>
      <c r="M1058" s="1">
        <v>400000</v>
      </c>
      <c r="N1058" s="1">
        <v>2717520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1599078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25215780</v>
      </c>
      <c r="AO1058" s="1">
        <v>2335105</v>
      </c>
      <c r="AP1058" s="1">
        <v>22880675</v>
      </c>
      <c r="AQ1058" s="1">
        <v>5043156</v>
      </c>
      <c r="AR1058" s="1">
        <v>756473</v>
      </c>
      <c r="AS1058" s="1">
        <v>265000</v>
      </c>
      <c r="AT1058" s="1">
        <f t="shared" si="111"/>
        <v>31280409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0" si="114">"قراردادي بهره بردار"</f>
        <v>قراردادي بهره بردار</v>
      </c>
      <c r="E1059" s="1" t="str">
        <f t="shared" ref="E1059:E1066" si="115">"پروژه بهره برداري نيروگاه بوشهر"</f>
        <v>پروژه بهره برداري نيروگاه بوشهر</v>
      </c>
      <c r="F1059" s="1">
        <v>12302518</v>
      </c>
      <c r="G1059" s="1">
        <v>6714839</v>
      </c>
      <c r="H1059" s="1">
        <v>0</v>
      </c>
      <c r="I1059" s="1">
        <v>5866089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1560208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2262635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1114434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1783095</v>
      </c>
      <c r="AM1059" s="1">
        <v>0</v>
      </c>
      <c r="AN1059" s="1">
        <v>37228818</v>
      </c>
      <c r="AO1059" s="1">
        <v>5792441</v>
      </c>
      <c r="AP1059" s="1">
        <v>31436377</v>
      </c>
      <c r="AQ1059" s="1">
        <v>7445764</v>
      </c>
      <c r="AR1059" s="1">
        <v>1116865</v>
      </c>
      <c r="AS1059" s="1">
        <v>0</v>
      </c>
      <c r="AT1059" s="1">
        <f t="shared" si="111"/>
        <v>45791447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7069687</v>
      </c>
      <c r="G1060" s="1">
        <v>1889721</v>
      </c>
      <c r="H1060" s="1">
        <v>0</v>
      </c>
      <c r="I1060" s="1">
        <v>3214836</v>
      </c>
      <c r="J1060" s="1">
        <v>0</v>
      </c>
      <c r="K1060" s="1">
        <v>3465000</v>
      </c>
      <c r="L1060" s="1">
        <v>0</v>
      </c>
      <c r="M1060" s="1">
        <v>400000</v>
      </c>
      <c r="N1060" s="1">
        <v>779416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1240008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556725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779416</v>
      </c>
      <c r="AM1060" s="1">
        <v>0</v>
      </c>
      <c r="AN1060" s="1">
        <v>20494809</v>
      </c>
      <c r="AO1060" s="1">
        <v>5776788</v>
      </c>
      <c r="AP1060" s="1">
        <v>14718021</v>
      </c>
      <c r="AQ1060" s="1">
        <v>4098962</v>
      </c>
      <c r="AR1060" s="1">
        <v>614844</v>
      </c>
      <c r="AS1060" s="1">
        <v>0</v>
      </c>
      <c r="AT1060" s="1">
        <f t="shared" si="111"/>
        <v>25208615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12129124</v>
      </c>
      <c r="G1061" s="1">
        <v>3537816</v>
      </c>
      <c r="H1061" s="1">
        <v>0</v>
      </c>
      <c r="I1061" s="1">
        <v>5717682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1636099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2205392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1168642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1402370</v>
      </c>
      <c r="AM1061" s="1">
        <v>0</v>
      </c>
      <c r="AN1061" s="1">
        <v>33422125</v>
      </c>
      <c r="AO1061" s="1">
        <v>4446942</v>
      </c>
      <c r="AP1061" s="1">
        <v>28975183</v>
      </c>
      <c r="AQ1061" s="1">
        <v>6684425</v>
      </c>
      <c r="AR1061" s="1">
        <v>1002664</v>
      </c>
      <c r="AS1061" s="1">
        <v>0</v>
      </c>
      <c r="AT1061" s="1">
        <f t="shared" si="111"/>
        <v>41109214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11203845</v>
      </c>
      <c r="G1062" s="1">
        <v>5187734</v>
      </c>
      <c r="H1062" s="1">
        <v>0</v>
      </c>
      <c r="I1062" s="1">
        <v>5409172</v>
      </c>
      <c r="J1062" s="1">
        <v>0</v>
      </c>
      <c r="K1062" s="1">
        <v>5500000</v>
      </c>
      <c r="L1062" s="1">
        <v>0</v>
      </c>
      <c r="M1062" s="1">
        <v>400000</v>
      </c>
      <c r="N1062" s="1">
        <v>1305110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2086395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932222</v>
      </c>
      <c r="AF1062" s="1">
        <v>1111269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2013599</v>
      </c>
      <c r="AM1062" s="1">
        <v>0</v>
      </c>
      <c r="AN1062" s="1">
        <v>36249346</v>
      </c>
      <c r="AO1062" s="1">
        <v>10032835</v>
      </c>
      <c r="AP1062" s="1">
        <v>26216511</v>
      </c>
      <c r="AQ1062" s="1">
        <v>7027615</v>
      </c>
      <c r="AR1062" s="1">
        <v>1054142</v>
      </c>
      <c r="AS1062" s="1">
        <v>0</v>
      </c>
      <c r="AT1062" s="1">
        <f t="shared" si="111"/>
        <v>44331103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4"/>
        <v>قراردادي بهره بردار</v>
      </c>
      <c r="E1063" s="1" t="str">
        <f t="shared" si="115"/>
        <v>پروژه بهره برداري نيروگاه بوشهر</v>
      </c>
      <c r="F1063" s="1">
        <v>10813007</v>
      </c>
      <c r="G1063" s="1">
        <v>3364008</v>
      </c>
      <c r="H1063" s="1">
        <v>0</v>
      </c>
      <c r="I1063" s="1">
        <v>4942528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1157975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1906404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827126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1323400</v>
      </c>
      <c r="AM1063" s="1">
        <v>0</v>
      </c>
      <c r="AN1063" s="1">
        <v>29959448</v>
      </c>
      <c r="AO1063" s="1">
        <v>6873824</v>
      </c>
      <c r="AP1063" s="1">
        <v>23085624</v>
      </c>
      <c r="AQ1063" s="1">
        <v>5991890</v>
      </c>
      <c r="AR1063" s="1">
        <v>898783</v>
      </c>
      <c r="AS1063" s="1">
        <v>0</v>
      </c>
      <c r="AT1063" s="1">
        <f t="shared" si="111"/>
        <v>36850121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4"/>
        <v>قراردادي بهره بردار</v>
      </c>
      <c r="E1064" s="1" t="str">
        <f t="shared" si="115"/>
        <v>پروژه بهره برداري نيروگاه بوشهر</v>
      </c>
      <c r="F1064" s="1">
        <v>7905088</v>
      </c>
      <c r="G1064" s="1">
        <v>6285943</v>
      </c>
      <c r="H1064" s="1">
        <v>0</v>
      </c>
      <c r="I1064" s="1">
        <v>4232958</v>
      </c>
      <c r="J1064" s="1">
        <v>0</v>
      </c>
      <c r="K1064" s="1">
        <v>4620000</v>
      </c>
      <c r="L1064" s="1">
        <v>0</v>
      </c>
      <c r="M1064" s="1">
        <v>400000</v>
      </c>
      <c r="N1064" s="1">
        <v>1086058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1632713</v>
      </c>
      <c r="W1064" s="1">
        <v>1100000</v>
      </c>
      <c r="X1064" s="1">
        <v>1185763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775755</v>
      </c>
      <c r="AF1064" s="1">
        <v>1111269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2327266</v>
      </c>
      <c r="AM1064" s="1">
        <v>0</v>
      </c>
      <c r="AN1064" s="1">
        <v>32662813</v>
      </c>
      <c r="AO1064" s="1">
        <v>5185342</v>
      </c>
      <c r="AP1064" s="1">
        <v>27477471</v>
      </c>
      <c r="AQ1064" s="1">
        <v>6310309</v>
      </c>
      <c r="AR1064" s="1">
        <v>946546</v>
      </c>
      <c r="AS1064" s="1">
        <v>0</v>
      </c>
      <c r="AT1064" s="1">
        <f t="shared" si="111"/>
        <v>39919668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4"/>
        <v>قراردادي بهره بردار</v>
      </c>
      <c r="E1065" s="1" t="str">
        <f t="shared" si="115"/>
        <v>پروژه بهره برداري نيروگاه بوشهر</v>
      </c>
      <c r="F1065" s="1">
        <v>8472707</v>
      </c>
      <c r="G1065" s="1">
        <v>6992741</v>
      </c>
      <c r="H1065" s="1">
        <v>0</v>
      </c>
      <c r="I1065" s="1">
        <v>4708917</v>
      </c>
      <c r="J1065" s="1">
        <v>0</v>
      </c>
      <c r="K1065" s="1">
        <v>4620000</v>
      </c>
      <c r="L1065" s="1">
        <v>0</v>
      </c>
      <c r="M1065" s="1">
        <v>400000</v>
      </c>
      <c r="N1065" s="1">
        <v>1291459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1816296</v>
      </c>
      <c r="W1065" s="1">
        <v>1100000</v>
      </c>
      <c r="X1065" s="1">
        <v>1270906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922470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2767412</v>
      </c>
      <c r="AM1065" s="1">
        <v>0</v>
      </c>
      <c r="AN1065" s="1">
        <v>34362908</v>
      </c>
      <c r="AO1065" s="1">
        <v>7692085</v>
      </c>
      <c r="AP1065" s="1">
        <v>26670823</v>
      </c>
      <c r="AQ1065" s="1">
        <v>6872582</v>
      </c>
      <c r="AR1065" s="1">
        <v>1030887</v>
      </c>
      <c r="AS1065" s="1">
        <v>0</v>
      </c>
      <c r="AT1065" s="1">
        <f t="shared" si="111"/>
        <v>42266377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4"/>
        <v>قراردادي بهره بردار</v>
      </c>
      <c r="E1066" s="1" t="str">
        <f t="shared" si="115"/>
        <v>پروژه بهره برداري نيروگاه بوشهر</v>
      </c>
      <c r="F1066" s="1">
        <v>11065233</v>
      </c>
      <c r="G1066" s="1">
        <v>3599875</v>
      </c>
      <c r="H1066" s="1">
        <v>0</v>
      </c>
      <c r="I1066" s="1">
        <v>5059112</v>
      </c>
      <c r="J1066" s="1">
        <v>0</v>
      </c>
      <c r="K1066" s="1">
        <v>4125000</v>
      </c>
      <c r="L1066" s="1">
        <v>0</v>
      </c>
      <c r="M1066" s="1">
        <v>400000</v>
      </c>
      <c r="N1066" s="1">
        <v>1248717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1951372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891941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1248717</v>
      </c>
      <c r="AM1066" s="1">
        <v>0</v>
      </c>
      <c r="AN1066" s="1">
        <v>30689967</v>
      </c>
      <c r="AO1066" s="1">
        <v>5744745</v>
      </c>
      <c r="AP1066" s="1">
        <v>24945222</v>
      </c>
      <c r="AQ1066" s="1">
        <v>6137993</v>
      </c>
      <c r="AR1066" s="1">
        <v>920699</v>
      </c>
      <c r="AS1066" s="1">
        <v>0</v>
      </c>
      <c r="AT1066" s="1">
        <f t="shared" si="111"/>
        <v>37748659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4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10647993</v>
      </c>
      <c r="G1067" s="1">
        <v>1020517</v>
      </c>
      <c r="H1067" s="1">
        <v>0</v>
      </c>
      <c r="I1067" s="1">
        <v>4712341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1095050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1817617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782178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938614</v>
      </c>
      <c r="AM1067" s="1">
        <v>0</v>
      </c>
      <c r="AN1067" s="1">
        <v>26639310</v>
      </c>
      <c r="AO1067" s="1">
        <v>4015429</v>
      </c>
      <c r="AP1067" s="1">
        <v>22623881</v>
      </c>
      <c r="AQ1067" s="1">
        <v>5327862</v>
      </c>
      <c r="AR1067" s="1">
        <v>799179</v>
      </c>
      <c r="AS1067" s="1">
        <v>0</v>
      </c>
      <c r="AT1067" s="1">
        <f t="shared" si="111"/>
        <v>32766351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4"/>
        <v>قراردادي بهره بردار</v>
      </c>
      <c r="E1068" s="1" t="str">
        <f t="shared" ref="E1068:E1100" si="116">"پروژه بهره برداري نيروگاه بوشهر"</f>
        <v>پروژه بهره برداري نيروگاه بوشهر</v>
      </c>
      <c r="F1068" s="1">
        <v>10965188</v>
      </c>
      <c r="G1068" s="1">
        <v>2309032</v>
      </c>
      <c r="H1068" s="1">
        <v>0</v>
      </c>
      <c r="I1068" s="1">
        <v>5110250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1211977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1919195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865698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1038838</v>
      </c>
      <c r="AM1068" s="1">
        <v>0</v>
      </c>
      <c r="AN1068" s="1">
        <v>30420178</v>
      </c>
      <c r="AO1068" s="1">
        <v>15664638</v>
      </c>
      <c r="AP1068" s="1">
        <v>14755540</v>
      </c>
      <c r="AQ1068" s="1">
        <v>6084036</v>
      </c>
      <c r="AR1068" s="1">
        <v>912605</v>
      </c>
      <c r="AS1068" s="1">
        <v>0</v>
      </c>
      <c r="AT1068" s="1">
        <f t="shared" si="111"/>
        <v>37416819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7243193</v>
      </c>
      <c r="G1069" s="1">
        <v>1341251</v>
      </c>
      <c r="H1069" s="1">
        <v>0</v>
      </c>
      <c r="I1069" s="1">
        <v>3334890</v>
      </c>
      <c r="J1069" s="1">
        <v>0</v>
      </c>
      <c r="K1069" s="1">
        <v>3465000</v>
      </c>
      <c r="L1069" s="1">
        <v>0</v>
      </c>
      <c r="M1069" s="1">
        <v>400000</v>
      </c>
      <c r="N1069" s="1">
        <v>841866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1286314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601333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841866</v>
      </c>
      <c r="AM1069" s="1">
        <v>0</v>
      </c>
      <c r="AN1069" s="1">
        <v>20455713</v>
      </c>
      <c r="AO1069" s="1">
        <v>8031900</v>
      </c>
      <c r="AP1069" s="1">
        <v>12423813</v>
      </c>
      <c r="AQ1069" s="1">
        <v>4091143</v>
      </c>
      <c r="AR1069" s="1">
        <v>613671</v>
      </c>
      <c r="AS1069" s="1">
        <v>0</v>
      </c>
      <c r="AT1069" s="1">
        <f t="shared" si="111"/>
        <v>25160527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6991229</v>
      </c>
      <c r="G1070" s="1">
        <v>1466690</v>
      </c>
      <c r="H1070" s="1">
        <v>0</v>
      </c>
      <c r="I1070" s="1">
        <v>3160545</v>
      </c>
      <c r="J1070" s="1">
        <v>0</v>
      </c>
      <c r="K1070" s="1">
        <v>3465000</v>
      </c>
      <c r="L1070" s="1">
        <v>0</v>
      </c>
      <c r="M1070" s="1">
        <v>400000</v>
      </c>
      <c r="N1070" s="1">
        <v>751173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1219067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536552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751173</v>
      </c>
      <c r="AM1070" s="1">
        <v>0</v>
      </c>
      <c r="AN1070" s="1">
        <v>19841429</v>
      </c>
      <c r="AO1070" s="1">
        <v>3948900</v>
      </c>
      <c r="AP1070" s="1">
        <v>15892529</v>
      </c>
      <c r="AQ1070" s="1">
        <v>3968286</v>
      </c>
      <c r="AR1070" s="1">
        <v>595243</v>
      </c>
      <c r="AS1070" s="1">
        <v>0</v>
      </c>
      <c r="AT1070" s="1">
        <f t="shared" si="111"/>
        <v>24404958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10447494</v>
      </c>
      <c r="G1071" s="1">
        <v>1415740</v>
      </c>
      <c r="H1071" s="1">
        <v>0</v>
      </c>
      <c r="I1071" s="1">
        <v>4576130</v>
      </c>
      <c r="J1071" s="1">
        <v>0</v>
      </c>
      <c r="K1071" s="1">
        <v>4125000</v>
      </c>
      <c r="L1071" s="1">
        <v>0</v>
      </c>
      <c r="M1071" s="1">
        <v>400000</v>
      </c>
      <c r="N1071" s="1">
        <v>1021674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1765079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729768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875721</v>
      </c>
      <c r="AM1071" s="1">
        <v>0</v>
      </c>
      <c r="AN1071" s="1">
        <v>26456606</v>
      </c>
      <c r="AO1071" s="1">
        <v>2076734</v>
      </c>
      <c r="AP1071" s="1">
        <v>24379872</v>
      </c>
      <c r="AQ1071" s="1">
        <v>5291321</v>
      </c>
      <c r="AR1071" s="1">
        <v>793698</v>
      </c>
      <c r="AS1071" s="1">
        <v>0</v>
      </c>
      <c r="AT1071" s="1">
        <f t="shared" si="111"/>
        <v>32541625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11203893</v>
      </c>
      <c r="G1072" s="1">
        <v>160537</v>
      </c>
      <c r="H1072" s="1">
        <v>0</v>
      </c>
      <c r="I1072" s="1">
        <v>5189061</v>
      </c>
      <c r="J1072" s="1">
        <v>0</v>
      </c>
      <c r="K1072" s="1">
        <v>5500000</v>
      </c>
      <c r="L1072" s="1">
        <v>0</v>
      </c>
      <c r="M1072" s="1">
        <v>400000</v>
      </c>
      <c r="N1072" s="1">
        <v>1300203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2001494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928717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1393074</v>
      </c>
      <c r="AM1072" s="1">
        <v>0</v>
      </c>
      <c r="AN1072" s="1">
        <v>29176979</v>
      </c>
      <c r="AO1072" s="1">
        <v>6349757</v>
      </c>
      <c r="AP1072" s="1">
        <v>22827222</v>
      </c>
      <c r="AQ1072" s="1">
        <v>5835396</v>
      </c>
      <c r="AR1072" s="1">
        <v>875309</v>
      </c>
      <c r="AS1072" s="1">
        <v>0</v>
      </c>
      <c r="AT1072" s="1">
        <f t="shared" si="111"/>
        <v>35887684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7688302</v>
      </c>
      <c r="G1073" s="1">
        <v>2028525</v>
      </c>
      <c r="H1073" s="1">
        <v>0</v>
      </c>
      <c r="I1073" s="1">
        <v>3642694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1001882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1405040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715630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1001882</v>
      </c>
      <c r="AM1073" s="1">
        <v>0</v>
      </c>
      <c r="AN1073" s="1">
        <v>22448955</v>
      </c>
      <c r="AO1073" s="1">
        <v>2066094</v>
      </c>
      <c r="AP1073" s="1">
        <v>20382861</v>
      </c>
      <c r="AQ1073" s="1">
        <v>4489791</v>
      </c>
      <c r="AR1073" s="1">
        <v>673469</v>
      </c>
      <c r="AS1073" s="1">
        <v>0</v>
      </c>
      <c r="AT1073" s="1">
        <f t="shared" si="111"/>
        <v>27612215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7338206</v>
      </c>
      <c r="G1074" s="1">
        <v>1788519</v>
      </c>
      <c r="H1074" s="1">
        <v>0</v>
      </c>
      <c r="I1074" s="1">
        <v>3400630</v>
      </c>
      <c r="J1074" s="1">
        <v>0</v>
      </c>
      <c r="K1074" s="1">
        <v>3465000</v>
      </c>
      <c r="L1074" s="1">
        <v>0</v>
      </c>
      <c r="M1074" s="1">
        <v>400000</v>
      </c>
      <c r="N1074" s="1">
        <v>876061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1311671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625757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876061</v>
      </c>
      <c r="AM1074" s="1">
        <v>0</v>
      </c>
      <c r="AN1074" s="1">
        <v>21181905</v>
      </c>
      <c r="AO1074" s="1">
        <v>1822733</v>
      </c>
      <c r="AP1074" s="1">
        <v>19359172</v>
      </c>
      <c r="AQ1074" s="1">
        <v>4236381</v>
      </c>
      <c r="AR1074" s="1">
        <v>635457</v>
      </c>
      <c r="AS1074" s="1">
        <v>0</v>
      </c>
      <c r="AT1074" s="1">
        <f t="shared" si="111"/>
        <v>26053743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11448622</v>
      </c>
      <c r="G1075" s="1">
        <v>2781473</v>
      </c>
      <c r="H1075" s="1">
        <v>0</v>
      </c>
      <c r="I1075" s="1">
        <v>5380933</v>
      </c>
      <c r="J1075" s="1">
        <v>0</v>
      </c>
      <c r="K1075" s="1">
        <v>4620000</v>
      </c>
      <c r="L1075" s="1">
        <v>0</v>
      </c>
      <c r="M1075" s="1">
        <v>400000</v>
      </c>
      <c r="N1075" s="1">
        <v>1388074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2039889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991482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1189777</v>
      </c>
      <c r="AM1075" s="1">
        <v>0</v>
      </c>
      <c r="AN1075" s="1">
        <v>31340250</v>
      </c>
      <c r="AO1075" s="1">
        <v>4301475</v>
      </c>
      <c r="AP1075" s="1">
        <v>27038775</v>
      </c>
      <c r="AQ1075" s="1">
        <v>6268050</v>
      </c>
      <c r="AR1075" s="1">
        <v>940208</v>
      </c>
      <c r="AS1075" s="1">
        <v>0</v>
      </c>
      <c r="AT1075" s="1">
        <f t="shared" si="111"/>
        <v>38548508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7056724</v>
      </c>
      <c r="G1076" s="1">
        <v>0</v>
      </c>
      <c r="H1076" s="1">
        <v>0</v>
      </c>
      <c r="I1076" s="1">
        <v>3205839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774722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1236538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553373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774722</v>
      </c>
      <c r="AM1076" s="1">
        <v>0</v>
      </c>
      <c r="AN1076" s="1">
        <v>19721918</v>
      </c>
      <c r="AO1076" s="1">
        <v>4540534</v>
      </c>
      <c r="AP1076" s="1">
        <v>15181384</v>
      </c>
      <c r="AQ1076" s="1">
        <v>3944384</v>
      </c>
      <c r="AR1076" s="1">
        <v>591658</v>
      </c>
      <c r="AS1076" s="1">
        <v>0</v>
      </c>
      <c r="AT1076" s="1">
        <f t="shared" si="111"/>
        <v>24257960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7026252</v>
      </c>
      <c r="G1077" s="1">
        <v>1675055</v>
      </c>
      <c r="H1077" s="1">
        <v>0</v>
      </c>
      <c r="I1077" s="1">
        <v>3184894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763901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1228459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545643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763901</v>
      </c>
      <c r="AM1077" s="1">
        <v>0</v>
      </c>
      <c r="AN1077" s="1">
        <v>20153105</v>
      </c>
      <c r="AO1077" s="1">
        <v>1863453</v>
      </c>
      <c r="AP1077" s="1">
        <v>18289652</v>
      </c>
      <c r="AQ1077" s="1">
        <v>4030621</v>
      </c>
      <c r="AR1077" s="1">
        <v>604593</v>
      </c>
      <c r="AS1077" s="1">
        <v>0</v>
      </c>
      <c r="AT1077" s="1">
        <f t="shared" si="111"/>
        <v>24788319</v>
      </c>
    </row>
    <row r="1078" spans="1:46">
      <c r="A1078" s="1" t="str">
        <f>"01361"</f>
        <v>01361</v>
      </c>
      <c r="B1078" s="1" t="str">
        <f>"عباس"</f>
        <v>عباس</v>
      </c>
      <c r="C1078" s="1" t="str">
        <f>"فولادي"</f>
        <v>فولادي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7539543</v>
      </c>
      <c r="G1078" s="1">
        <v>0</v>
      </c>
      <c r="H1078" s="1">
        <v>0</v>
      </c>
      <c r="I1078" s="1">
        <v>3539826</v>
      </c>
      <c r="J1078" s="1">
        <v>0</v>
      </c>
      <c r="K1078" s="1">
        <v>4620000</v>
      </c>
      <c r="L1078" s="1">
        <v>0</v>
      </c>
      <c r="M1078" s="1">
        <v>400000</v>
      </c>
      <c r="N1078" s="1">
        <v>948407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1365362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677434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948407</v>
      </c>
      <c r="AM1078" s="1">
        <v>0</v>
      </c>
      <c r="AN1078" s="1">
        <v>21138979</v>
      </c>
      <c r="AO1078" s="1">
        <v>8319729</v>
      </c>
      <c r="AP1078" s="1">
        <v>12819250</v>
      </c>
      <c r="AQ1078" s="1">
        <v>4227796</v>
      </c>
      <c r="AR1078" s="1">
        <v>634169</v>
      </c>
      <c r="AS1078" s="1">
        <v>0</v>
      </c>
      <c r="AT1078" s="1">
        <f t="shared" si="111"/>
        <v>26000944</v>
      </c>
    </row>
    <row r="1079" spans="1:46">
      <c r="A1079" s="1" t="str">
        <f>"01362"</f>
        <v>01362</v>
      </c>
      <c r="B1079" s="1" t="str">
        <f>"حسين"</f>
        <v>حسين</v>
      </c>
      <c r="C1079" s="1" t="str">
        <f>"زارعي"</f>
        <v>زارعي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7145463</v>
      </c>
      <c r="G1079" s="1">
        <v>1826837</v>
      </c>
      <c r="H1079" s="1">
        <v>0</v>
      </c>
      <c r="I1079" s="1">
        <v>3317858</v>
      </c>
      <c r="J1079" s="1">
        <v>0</v>
      </c>
      <c r="K1079" s="1">
        <v>3465000</v>
      </c>
      <c r="L1079" s="1">
        <v>0</v>
      </c>
      <c r="M1079" s="1">
        <v>400000</v>
      </c>
      <c r="N1079" s="1">
        <v>806878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1265342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576341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806878</v>
      </c>
      <c r="AM1079" s="1">
        <v>0</v>
      </c>
      <c r="AN1079" s="1">
        <v>20710597</v>
      </c>
      <c r="AO1079" s="1">
        <v>4889742</v>
      </c>
      <c r="AP1079" s="1">
        <v>15820855</v>
      </c>
      <c r="AQ1079" s="1">
        <v>4142119</v>
      </c>
      <c r="AR1079" s="1">
        <v>621318</v>
      </c>
      <c r="AS1079" s="1">
        <v>0</v>
      </c>
      <c r="AT1079" s="1">
        <f t="shared" si="111"/>
        <v>25474034</v>
      </c>
    </row>
    <row r="1080" spans="1:46">
      <c r="A1080" s="1" t="str">
        <f>"01363"</f>
        <v>01363</v>
      </c>
      <c r="B1080" s="1" t="str">
        <f>"مازيار"</f>
        <v>مازيار</v>
      </c>
      <c r="C1080" s="1" t="str">
        <f>"پرواز"</f>
        <v>پرواز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7331118</v>
      </c>
      <c r="G1080" s="1">
        <v>0</v>
      </c>
      <c r="H1080" s="1">
        <v>0</v>
      </c>
      <c r="I1080" s="1">
        <v>3395643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873423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1309748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623873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873423</v>
      </c>
      <c r="AM1080" s="1">
        <v>0</v>
      </c>
      <c r="AN1080" s="1">
        <v>19372228</v>
      </c>
      <c r="AO1080" s="1">
        <v>1828099</v>
      </c>
      <c r="AP1080" s="1">
        <v>17544129</v>
      </c>
      <c r="AQ1080" s="1">
        <v>3874446</v>
      </c>
      <c r="AR1080" s="1">
        <v>581167</v>
      </c>
      <c r="AS1080" s="1">
        <v>0</v>
      </c>
      <c r="AT1080" s="1">
        <f t="shared" si="111"/>
        <v>23827841</v>
      </c>
    </row>
    <row r="1081" spans="1:46">
      <c r="A1081" s="1" t="str">
        <f>"01364"</f>
        <v>01364</v>
      </c>
      <c r="B1081" s="1" t="str">
        <f>"ميثم"</f>
        <v>ميثم</v>
      </c>
      <c r="C1081" s="1" t="str">
        <f>"باغباني"</f>
        <v>باغباني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7392467</v>
      </c>
      <c r="G1081" s="1">
        <v>0</v>
      </c>
      <c r="H1081" s="1">
        <v>0</v>
      </c>
      <c r="I1081" s="1">
        <v>3438109</v>
      </c>
      <c r="J1081" s="1">
        <v>0</v>
      </c>
      <c r="K1081" s="1">
        <v>4620000</v>
      </c>
      <c r="L1081" s="1">
        <v>0</v>
      </c>
      <c r="M1081" s="1">
        <v>400000</v>
      </c>
      <c r="N1081" s="1">
        <v>895521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1326128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639659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895521</v>
      </c>
      <c r="AM1081" s="1">
        <v>0</v>
      </c>
      <c r="AN1081" s="1">
        <v>20707405</v>
      </c>
      <c r="AO1081" s="1">
        <v>10405448</v>
      </c>
      <c r="AP1081" s="1">
        <v>10301957</v>
      </c>
      <c r="AQ1081" s="1">
        <v>4141481</v>
      </c>
      <c r="AR1081" s="1">
        <v>621222</v>
      </c>
      <c r="AS1081" s="1">
        <v>0</v>
      </c>
      <c r="AT1081" s="1">
        <f t="shared" si="111"/>
        <v>25470108</v>
      </c>
    </row>
    <row r="1082" spans="1:46">
      <c r="A1082" s="1" t="str">
        <f>"01365"</f>
        <v>01365</v>
      </c>
      <c r="B1082" s="1" t="str">
        <f>"سيد حسين"</f>
        <v>سيد حسين</v>
      </c>
      <c r="C1082" s="1" t="str">
        <f>"حسيني"</f>
        <v>حسيني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7258064</v>
      </c>
      <c r="G1082" s="1">
        <v>0</v>
      </c>
      <c r="H1082" s="1">
        <v>0</v>
      </c>
      <c r="I1082" s="1">
        <v>3345189</v>
      </c>
      <c r="J1082" s="1">
        <v>0</v>
      </c>
      <c r="K1082" s="1">
        <v>4620000</v>
      </c>
      <c r="L1082" s="1">
        <v>0</v>
      </c>
      <c r="M1082" s="1">
        <v>400000</v>
      </c>
      <c r="N1082" s="1">
        <v>847228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1290287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605163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847228</v>
      </c>
      <c r="AM1082" s="1">
        <v>0</v>
      </c>
      <c r="AN1082" s="1">
        <v>20313159</v>
      </c>
      <c r="AO1082" s="1">
        <v>1461921</v>
      </c>
      <c r="AP1082" s="1">
        <v>18851238</v>
      </c>
      <c r="AQ1082" s="1">
        <v>4062632</v>
      </c>
      <c r="AR1082" s="1">
        <v>609395</v>
      </c>
      <c r="AS1082" s="1">
        <v>0</v>
      </c>
      <c r="AT1082" s="1">
        <f t="shared" si="111"/>
        <v>24985186</v>
      </c>
    </row>
    <row r="1083" spans="1:46">
      <c r="A1083" s="1" t="str">
        <f>"01366"</f>
        <v>01366</v>
      </c>
      <c r="B1083" s="1" t="str">
        <f>"محسن"</f>
        <v>محسن</v>
      </c>
      <c r="C1083" s="1" t="str">
        <f>"حسيني"</f>
        <v>حسيني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7919723</v>
      </c>
      <c r="G1083" s="1">
        <v>0</v>
      </c>
      <c r="H1083" s="1">
        <v>0</v>
      </c>
      <c r="I1083" s="1">
        <v>4039438</v>
      </c>
      <c r="J1083" s="1">
        <v>0</v>
      </c>
      <c r="K1083" s="1">
        <v>3465000</v>
      </c>
      <c r="L1083" s="1">
        <v>0</v>
      </c>
      <c r="M1083" s="1">
        <v>400000</v>
      </c>
      <c r="N1083" s="1">
        <v>1086012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1490691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775723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1086012</v>
      </c>
      <c r="AM1083" s="1">
        <v>0</v>
      </c>
      <c r="AN1083" s="1">
        <v>21362599</v>
      </c>
      <c r="AO1083" s="1">
        <v>1535382</v>
      </c>
      <c r="AP1083" s="1">
        <v>19827217</v>
      </c>
      <c r="AQ1083" s="1">
        <v>4272520</v>
      </c>
      <c r="AR1083" s="1">
        <v>640878</v>
      </c>
      <c r="AS1083" s="1">
        <v>0</v>
      </c>
      <c r="AT1083" s="1">
        <f t="shared" si="111"/>
        <v>26275997</v>
      </c>
    </row>
    <row r="1084" spans="1:46">
      <c r="A1084" s="1" t="str">
        <f>"01367"</f>
        <v>01367</v>
      </c>
      <c r="B1084" s="1" t="str">
        <f>"محمد مهدي"</f>
        <v>محمد مهدي</v>
      </c>
      <c r="C1084" s="1" t="str">
        <f>"ملک نصب اردکاني"</f>
        <v>ملک نصب اردکاني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6992530</v>
      </c>
      <c r="G1084" s="1">
        <v>1564983</v>
      </c>
      <c r="H1084" s="1">
        <v>0</v>
      </c>
      <c r="I1084" s="1">
        <v>3161580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751785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1219467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536989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751785</v>
      </c>
      <c r="AM1084" s="1">
        <v>0</v>
      </c>
      <c r="AN1084" s="1">
        <v>19944119</v>
      </c>
      <c r="AO1084" s="1">
        <v>1436088</v>
      </c>
      <c r="AP1084" s="1">
        <v>18508031</v>
      </c>
      <c r="AQ1084" s="1">
        <v>3988824</v>
      </c>
      <c r="AR1084" s="1">
        <v>598324</v>
      </c>
      <c r="AS1084" s="1">
        <v>0</v>
      </c>
      <c r="AT1084" s="1">
        <f t="shared" si="111"/>
        <v>24531267</v>
      </c>
    </row>
    <row r="1085" spans="1:46">
      <c r="A1085" s="1" t="str">
        <f>"01368"</f>
        <v>01368</v>
      </c>
      <c r="B1085" s="1" t="str">
        <f>"سامان"</f>
        <v>سامان</v>
      </c>
      <c r="C1085" s="1" t="str">
        <f>"حيدري"</f>
        <v>حيدري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7030143</v>
      </c>
      <c r="G1085" s="1">
        <v>0</v>
      </c>
      <c r="H1085" s="1">
        <v>0</v>
      </c>
      <c r="I1085" s="1">
        <v>3187549</v>
      </c>
      <c r="J1085" s="1">
        <v>0</v>
      </c>
      <c r="K1085" s="1">
        <v>4620000</v>
      </c>
      <c r="L1085" s="1">
        <v>0</v>
      </c>
      <c r="M1085" s="1">
        <v>400000</v>
      </c>
      <c r="N1085" s="1">
        <v>765263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1229483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546616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765263</v>
      </c>
      <c r="AM1085" s="1">
        <v>0</v>
      </c>
      <c r="AN1085" s="1">
        <v>19644317</v>
      </c>
      <c r="AO1085" s="1">
        <v>10395102</v>
      </c>
      <c r="AP1085" s="1">
        <v>9249215</v>
      </c>
      <c r="AQ1085" s="1">
        <v>3928863</v>
      </c>
      <c r="AR1085" s="1">
        <v>589330</v>
      </c>
      <c r="AS1085" s="1">
        <v>0</v>
      </c>
      <c r="AT1085" s="1">
        <f t="shared" si="111"/>
        <v>24162510</v>
      </c>
    </row>
    <row r="1086" spans="1:46">
      <c r="A1086" s="1" t="str">
        <f>"01370"</f>
        <v>01370</v>
      </c>
      <c r="B1086" s="1" t="str">
        <f>"علي"</f>
        <v>علي</v>
      </c>
      <c r="C1086" s="1" t="str">
        <f>"عباس زاده"</f>
        <v>عباس زاده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7015228</v>
      </c>
      <c r="G1086" s="1">
        <v>0</v>
      </c>
      <c r="H1086" s="1">
        <v>0</v>
      </c>
      <c r="I1086" s="1">
        <v>3177221</v>
      </c>
      <c r="J1086" s="1">
        <v>0</v>
      </c>
      <c r="K1086" s="1">
        <v>3465000</v>
      </c>
      <c r="L1086" s="1">
        <v>0</v>
      </c>
      <c r="M1086" s="1">
        <v>400000</v>
      </c>
      <c r="N1086" s="1">
        <v>759886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1225500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542776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759886</v>
      </c>
      <c r="AM1086" s="1">
        <v>0</v>
      </c>
      <c r="AN1086" s="1">
        <v>18445497</v>
      </c>
      <c r="AO1086" s="1">
        <v>5353221</v>
      </c>
      <c r="AP1086" s="1">
        <v>13092276</v>
      </c>
      <c r="AQ1086" s="1">
        <v>3689099</v>
      </c>
      <c r="AR1086" s="1">
        <v>553365</v>
      </c>
      <c r="AS1086" s="1">
        <v>0</v>
      </c>
      <c r="AT1086" s="1">
        <f t="shared" si="111"/>
        <v>22687961</v>
      </c>
    </row>
    <row r="1087" spans="1:46">
      <c r="A1087" s="1" t="str">
        <f>"01371"</f>
        <v>01371</v>
      </c>
      <c r="B1087" s="1" t="str">
        <f>"محمد"</f>
        <v>محمد</v>
      </c>
      <c r="C1087" s="1" t="str">
        <f>"روشني روز"</f>
        <v>روشني روز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7308490</v>
      </c>
      <c r="G1087" s="1">
        <v>1463984</v>
      </c>
      <c r="H1087" s="1">
        <v>0</v>
      </c>
      <c r="I1087" s="1">
        <v>3380050</v>
      </c>
      <c r="J1087" s="1">
        <v>0</v>
      </c>
      <c r="K1087" s="1">
        <v>4620000</v>
      </c>
      <c r="L1087" s="1">
        <v>0</v>
      </c>
      <c r="M1087" s="1">
        <v>400000</v>
      </c>
      <c r="N1087" s="1">
        <v>865346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1303733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618104</v>
      </c>
      <c r="AF1087" s="1">
        <v>1111269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865346</v>
      </c>
      <c r="AM1087" s="1">
        <v>0</v>
      </c>
      <c r="AN1087" s="1">
        <v>23036322</v>
      </c>
      <c r="AO1087" s="1">
        <v>12374754</v>
      </c>
      <c r="AP1087" s="1">
        <v>10661568</v>
      </c>
      <c r="AQ1087" s="1">
        <v>4385011</v>
      </c>
      <c r="AR1087" s="1">
        <v>657752</v>
      </c>
      <c r="AS1087" s="1">
        <v>0</v>
      </c>
      <c r="AT1087" s="1">
        <f t="shared" si="111"/>
        <v>28079085</v>
      </c>
    </row>
    <row r="1088" spans="1:46">
      <c r="A1088" s="1" t="str">
        <f>"01372"</f>
        <v>01372</v>
      </c>
      <c r="B1088" s="1" t="str">
        <f>"رضا"</f>
        <v>رضا</v>
      </c>
      <c r="C1088" s="1" t="str">
        <f>"محمدي"</f>
        <v>محمدي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7122168</v>
      </c>
      <c r="G1088" s="1">
        <v>1709876</v>
      </c>
      <c r="H1088" s="1">
        <v>0</v>
      </c>
      <c r="I1088" s="1">
        <v>3251101</v>
      </c>
      <c r="J1088" s="1">
        <v>0</v>
      </c>
      <c r="K1088" s="1">
        <v>3465000</v>
      </c>
      <c r="L1088" s="1">
        <v>0</v>
      </c>
      <c r="M1088" s="1">
        <v>400000</v>
      </c>
      <c r="N1088" s="1">
        <v>798254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1253996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570182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798254</v>
      </c>
      <c r="AM1088" s="1">
        <v>0</v>
      </c>
      <c r="AN1088" s="1">
        <v>20468831</v>
      </c>
      <c r="AO1088" s="1">
        <v>3332818</v>
      </c>
      <c r="AP1088" s="1">
        <v>17136013</v>
      </c>
      <c r="AQ1088" s="1">
        <v>4093766</v>
      </c>
      <c r="AR1088" s="1">
        <v>614065</v>
      </c>
      <c r="AS1088" s="1">
        <v>0</v>
      </c>
      <c r="AT1088" s="1">
        <f t="shared" si="111"/>
        <v>25176662</v>
      </c>
    </row>
    <row r="1089" spans="1:46">
      <c r="A1089" s="1" t="str">
        <f>"01373"</f>
        <v>01373</v>
      </c>
      <c r="B1089" s="1" t="str">
        <f>"محسن"</f>
        <v>محسن</v>
      </c>
      <c r="C1089" s="1" t="str">
        <f>"موحدنيا"</f>
        <v>موحدنيا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11440977</v>
      </c>
      <c r="G1089" s="1">
        <v>2779601</v>
      </c>
      <c r="H1089" s="1">
        <v>0</v>
      </c>
      <c r="I1089" s="1">
        <v>5381730</v>
      </c>
      <c r="J1089" s="1">
        <v>0</v>
      </c>
      <c r="K1089" s="1">
        <v>4125000</v>
      </c>
      <c r="L1089" s="1">
        <v>0</v>
      </c>
      <c r="M1089" s="1">
        <v>400000</v>
      </c>
      <c r="N1089" s="1">
        <v>1385397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2038516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989570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1187484</v>
      </c>
      <c r="AM1089" s="1">
        <v>0</v>
      </c>
      <c r="AN1089" s="1">
        <v>30828275</v>
      </c>
      <c r="AO1089" s="1">
        <v>4315174</v>
      </c>
      <c r="AP1089" s="1">
        <v>26513101</v>
      </c>
      <c r="AQ1089" s="1">
        <v>6165655</v>
      </c>
      <c r="AR1089" s="1">
        <v>924848</v>
      </c>
      <c r="AS1089" s="1">
        <v>0</v>
      </c>
      <c r="AT1089" s="1">
        <f t="shared" si="111"/>
        <v>37918778</v>
      </c>
    </row>
    <row r="1090" spans="1:46">
      <c r="A1090" s="1" t="str">
        <f>"01374"</f>
        <v>01374</v>
      </c>
      <c r="B1090" s="1" t="str">
        <f>"علي"</f>
        <v>علي</v>
      </c>
      <c r="C1090" s="1" t="str">
        <f>"اسماعيلي نسب"</f>
        <v>اسماعيلي نسب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11076173</v>
      </c>
      <c r="G1090" s="1">
        <v>2940734</v>
      </c>
      <c r="H1090" s="1">
        <v>0</v>
      </c>
      <c r="I1090" s="1">
        <v>5002844</v>
      </c>
      <c r="J1090" s="1">
        <v>0</v>
      </c>
      <c r="K1090" s="1">
        <v>5500000</v>
      </c>
      <c r="L1090" s="1">
        <v>0</v>
      </c>
      <c r="M1090" s="1">
        <v>400000</v>
      </c>
      <c r="N1090" s="1">
        <v>1251315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1929668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893795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1072556</v>
      </c>
      <c r="AM1090" s="1">
        <v>0</v>
      </c>
      <c r="AN1090" s="1">
        <v>31167085</v>
      </c>
      <c r="AO1090" s="1">
        <v>4372094</v>
      </c>
      <c r="AP1090" s="1">
        <v>26794991</v>
      </c>
      <c r="AQ1090" s="1">
        <v>6233417</v>
      </c>
      <c r="AR1090" s="1">
        <v>935013</v>
      </c>
      <c r="AS1090" s="1">
        <v>0</v>
      </c>
      <c r="AT1090" s="1">
        <f t="shared" si="111"/>
        <v>38335515</v>
      </c>
    </row>
    <row r="1091" spans="1:46">
      <c r="A1091" s="1" t="str">
        <f>"01375"</f>
        <v>01375</v>
      </c>
      <c r="B1091" s="1" t="str">
        <f>"نصراله"</f>
        <v>نصراله</v>
      </c>
      <c r="C1091" s="1" t="str">
        <f>"کرم پور"</f>
        <v>کرم پور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10647993</v>
      </c>
      <c r="G1091" s="1">
        <v>1166305</v>
      </c>
      <c r="H1091" s="1">
        <v>0</v>
      </c>
      <c r="I1091" s="1">
        <v>4712341</v>
      </c>
      <c r="J1091" s="1">
        <v>0</v>
      </c>
      <c r="K1091" s="1">
        <v>4125000</v>
      </c>
      <c r="L1091" s="1">
        <v>0</v>
      </c>
      <c r="M1091" s="1">
        <v>400000</v>
      </c>
      <c r="N1091" s="1">
        <v>1095050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1817617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782178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938614</v>
      </c>
      <c r="AM1091" s="1">
        <v>0</v>
      </c>
      <c r="AN1091" s="1">
        <v>26785098</v>
      </c>
      <c r="AO1091" s="1">
        <v>2131920</v>
      </c>
      <c r="AP1091" s="1">
        <v>24653178</v>
      </c>
      <c r="AQ1091" s="1">
        <v>5357020</v>
      </c>
      <c r="AR1091" s="1">
        <v>803553</v>
      </c>
      <c r="AS1091" s="1">
        <v>0</v>
      </c>
      <c r="AT1091" s="1">
        <f t="shared" ref="AT1091:AT1139" si="117">AS1091+AR1091+AQ1091+AN1091</f>
        <v>32945671</v>
      </c>
    </row>
    <row r="1092" spans="1:46">
      <c r="A1092" s="1" t="str">
        <f>"01376"</f>
        <v>01376</v>
      </c>
      <c r="B1092" s="1" t="str">
        <f>"مهدي"</f>
        <v>مهدي</v>
      </c>
      <c r="C1092" s="1" t="str">
        <f>"افشين"</f>
        <v>افشين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10536746</v>
      </c>
      <c r="G1092" s="1">
        <v>431714</v>
      </c>
      <c r="H1092" s="1">
        <v>0</v>
      </c>
      <c r="I1092" s="1">
        <v>4692678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1054636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1794135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753311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903973</v>
      </c>
      <c r="AM1092" s="1">
        <v>0</v>
      </c>
      <c r="AN1092" s="1">
        <v>25792193</v>
      </c>
      <c r="AO1092" s="1">
        <v>1965112</v>
      </c>
      <c r="AP1092" s="1">
        <v>23827081</v>
      </c>
      <c r="AQ1092" s="1">
        <v>5158439</v>
      </c>
      <c r="AR1092" s="1">
        <v>773766</v>
      </c>
      <c r="AS1092" s="1">
        <v>0</v>
      </c>
      <c r="AT1092" s="1">
        <f t="shared" si="117"/>
        <v>31724398</v>
      </c>
    </row>
    <row r="1093" spans="1:46">
      <c r="A1093" s="1" t="str">
        <f>"01377"</f>
        <v>01377</v>
      </c>
      <c r="B1093" s="1" t="str">
        <f>"عليرضا"</f>
        <v>عليرضا</v>
      </c>
      <c r="C1093" s="1" t="str">
        <f>"گچ کاران"</f>
        <v>گچ کاران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6957490</v>
      </c>
      <c r="G1093" s="1">
        <v>0</v>
      </c>
      <c r="H1093" s="1">
        <v>0</v>
      </c>
      <c r="I1093" s="1">
        <v>3137220</v>
      </c>
      <c r="J1093" s="1">
        <v>0</v>
      </c>
      <c r="K1093" s="1">
        <v>3465000</v>
      </c>
      <c r="L1093" s="1">
        <v>0</v>
      </c>
      <c r="M1093" s="1">
        <v>400000</v>
      </c>
      <c r="N1093" s="1">
        <v>739051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1210071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527893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739051</v>
      </c>
      <c r="AM1093" s="1">
        <v>0</v>
      </c>
      <c r="AN1093" s="1">
        <v>18275776</v>
      </c>
      <c r="AO1093" s="1">
        <v>2879304</v>
      </c>
      <c r="AP1093" s="1">
        <v>15396472</v>
      </c>
      <c r="AQ1093" s="1">
        <v>3655155</v>
      </c>
      <c r="AR1093" s="1">
        <v>548273</v>
      </c>
      <c r="AS1093" s="1">
        <v>0</v>
      </c>
      <c r="AT1093" s="1">
        <f t="shared" si="117"/>
        <v>22479204</v>
      </c>
    </row>
    <row r="1094" spans="1:46">
      <c r="A1094" s="1" t="str">
        <f>"01379"</f>
        <v>01379</v>
      </c>
      <c r="B1094" s="1" t="str">
        <f>"احمد"</f>
        <v>احمد</v>
      </c>
      <c r="C1094" s="1" t="str">
        <f>"ناطوري"</f>
        <v>ناطوري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10388871</v>
      </c>
      <c r="G1094" s="1">
        <v>2105210</v>
      </c>
      <c r="H1094" s="1">
        <v>0</v>
      </c>
      <c r="I1094" s="1">
        <v>4536480</v>
      </c>
      <c r="J1094" s="1">
        <v>0</v>
      </c>
      <c r="K1094" s="1">
        <v>4125000</v>
      </c>
      <c r="L1094" s="1">
        <v>0</v>
      </c>
      <c r="M1094" s="1">
        <v>400000</v>
      </c>
      <c r="N1094" s="1">
        <v>1000417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1749785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714584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857501</v>
      </c>
      <c r="AM1094" s="1">
        <v>0</v>
      </c>
      <c r="AN1094" s="1">
        <v>26977848</v>
      </c>
      <c r="AO1094" s="1">
        <v>3668302</v>
      </c>
      <c r="AP1094" s="1">
        <v>23309546</v>
      </c>
      <c r="AQ1094" s="1">
        <v>5395570</v>
      </c>
      <c r="AR1094" s="1">
        <v>809335</v>
      </c>
      <c r="AS1094" s="1">
        <v>0</v>
      </c>
      <c r="AT1094" s="1">
        <f t="shared" si="117"/>
        <v>33182753</v>
      </c>
    </row>
    <row r="1095" spans="1:46">
      <c r="A1095" s="1" t="str">
        <f>"01380"</f>
        <v>01380</v>
      </c>
      <c r="B1095" s="1" t="str">
        <f>"ابوطالب"</f>
        <v>ابوطالب</v>
      </c>
      <c r="C1095" s="1" t="str">
        <f>"نوروزي"</f>
        <v>نوروزي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10423470</v>
      </c>
      <c r="G1095" s="1">
        <v>1692875</v>
      </c>
      <c r="H1095" s="1">
        <v>0</v>
      </c>
      <c r="I1095" s="1">
        <v>4559932</v>
      </c>
      <c r="J1095" s="1">
        <v>0</v>
      </c>
      <c r="K1095" s="1">
        <v>4125000</v>
      </c>
      <c r="L1095" s="1">
        <v>0</v>
      </c>
      <c r="M1095" s="1">
        <v>400000</v>
      </c>
      <c r="N1095" s="1">
        <v>1013019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1758831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723585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868302</v>
      </c>
      <c r="AM1095" s="1">
        <v>0</v>
      </c>
      <c r="AN1095" s="1">
        <v>26665014</v>
      </c>
      <c r="AO1095" s="1">
        <v>5171746</v>
      </c>
      <c r="AP1095" s="1">
        <v>21493268</v>
      </c>
      <c r="AQ1095" s="1">
        <v>5333003</v>
      </c>
      <c r="AR1095" s="1">
        <v>799950</v>
      </c>
      <c r="AS1095" s="1">
        <v>0</v>
      </c>
      <c r="AT1095" s="1">
        <f t="shared" si="117"/>
        <v>32797967</v>
      </c>
    </row>
    <row r="1096" spans="1:46">
      <c r="A1096" s="1" t="str">
        <f>"01381"</f>
        <v>01381</v>
      </c>
      <c r="B1096" s="1" t="str">
        <f>"احسان"</f>
        <v>احسان</v>
      </c>
      <c r="C1096" s="1" t="str">
        <f>"شاهي غفاربي"</f>
        <v>شاهي غفاربي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10647993</v>
      </c>
      <c r="G1096" s="1">
        <v>2186821</v>
      </c>
      <c r="H1096" s="1">
        <v>0</v>
      </c>
      <c r="I1096" s="1">
        <v>4712341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1095050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1817617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782178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938614</v>
      </c>
      <c r="AM1096" s="1">
        <v>0</v>
      </c>
      <c r="AN1096" s="1">
        <v>27805614</v>
      </c>
      <c r="AO1096" s="1">
        <v>5363367</v>
      </c>
      <c r="AP1096" s="1">
        <v>22442247</v>
      </c>
      <c r="AQ1096" s="1">
        <v>5561123</v>
      </c>
      <c r="AR1096" s="1">
        <v>834168</v>
      </c>
      <c r="AS1096" s="1">
        <v>0</v>
      </c>
      <c r="AT1096" s="1">
        <f t="shared" si="117"/>
        <v>34200905</v>
      </c>
    </row>
    <row r="1097" spans="1:46">
      <c r="A1097" s="1" t="str">
        <f>"01382"</f>
        <v>01382</v>
      </c>
      <c r="B1097" s="1" t="str">
        <f>"امين"</f>
        <v>امين</v>
      </c>
      <c r="C1097" s="1" t="str">
        <f>"پرهيزکار"</f>
        <v>پرهيزکار</v>
      </c>
      <c r="D1097" s="1" t="str">
        <f t="shared" si="114"/>
        <v>قراردادي بهره بردار</v>
      </c>
      <c r="E1097" s="1" t="str">
        <f t="shared" si="116"/>
        <v>پروژه بهره برداري نيروگاه بوشهر</v>
      </c>
      <c r="F1097" s="1">
        <v>11286356</v>
      </c>
      <c r="G1097" s="1">
        <v>1118875</v>
      </c>
      <c r="H1097" s="1">
        <v>0</v>
      </c>
      <c r="I1097" s="1">
        <v>5225334</v>
      </c>
      <c r="J1097" s="1">
        <v>0</v>
      </c>
      <c r="K1097" s="1">
        <v>5500000</v>
      </c>
      <c r="L1097" s="1">
        <v>0</v>
      </c>
      <c r="M1097" s="1">
        <v>400000</v>
      </c>
      <c r="N1097" s="1">
        <v>1328572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1992801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948980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1138775</v>
      </c>
      <c r="AM1097" s="1">
        <v>0</v>
      </c>
      <c r="AN1097" s="1">
        <v>30039693</v>
      </c>
      <c r="AO1097" s="1">
        <v>3338693</v>
      </c>
      <c r="AP1097" s="1">
        <v>26701000</v>
      </c>
      <c r="AQ1097" s="1">
        <v>6007939</v>
      </c>
      <c r="AR1097" s="1">
        <v>901191</v>
      </c>
      <c r="AS1097" s="1">
        <v>0</v>
      </c>
      <c r="AT1097" s="1">
        <f t="shared" si="117"/>
        <v>36948823</v>
      </c>
    </row>
    <row r="1098" spans="1:46">
      <c r="A1098" s="1" t="str">
        <f>"01383"</f>
        <v>01383</v>
      </c>
      <c r="B1098" s="1" t="str">
        <f>"صادق"</f>
        <v>صادق</v>
      </c>
      <c r="C1098" s="1" t="str">
        <f>"مختاري"</f>
        <v>مختاري</v>
      </c>
      <c r="D1098" s="1" t="str">
        <f t="shared" si="114"/>
        <v>قراردادي بهره بردار</v>
      </c>
      <c r="E1098" s="1" t="str">
        <f t="shared" si="116"/>
        <v>پروژه بهره برداري نيروگاه بوشهر</v>
      </c>
      <c r="F1098" s="1">
        <v>6985392</v>
      </c>
      <c r="G1098" s="1">
        <v>0</v>
      </c>
      <c r="H1098" s="1">
        <v>0</v>
      </c>
      <c r="I1098" s="1">
        <v>3156560</v>
      </c>
      <c r="J1098" s="1">
        <v>0</v>
      </c>
      <c r="K1098" s="1">
        <v>3465000</v>
      </c>
      <c r="L1098" s="1">
        <v>0</v>
      </c>
      <c r="M1098" s="1">
        <v>400000</v>
      </c>
      <c r="N1098" s="1">
        <v>749130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1217531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535093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749130</v>
      </c>
      <c r="AM1098" s="1">
        <v>0</v>
      </c>
      <c r="AN1098" s="1">
        <v>18357836</v>
      </c>
      <c r="AO1098" s="1">
        <v>5135195</v>
      </c>
      <c r="AP1098" s="1">
        <v>13222641</v>
      </c>
      <c r="AQ1098" s="1">
        <v>3671567</v>
      </c>
      <c r="AR1098" s="1">
        <v>550735</v>
      </c>
      <c r="AS1098" s="1">
        <v>0</v>
      </c>
      <c r="AT1098" s="1">
        <f t="shared" si="117"/>
        <v>22580138</v>
      </c>
    </row>
    <row r="1099" spans="1:46">
      <c r="A1099" s="1" t="str">
        <f>"01386"</f>
        <v>01386</v>
      </c>
      <c r="B1099" s="1" t="str">
        <f>"محمد"</f>
        <v>محمد</v>
      </c>
      <c r="C1099" s="1" t="str">
        <f>"شاهسوني"</f>
        <v>شاهسوني</v>
      </c>
      <c r="D1099" s="1" t="str">
        <f t="shared" si="114"/>
        <v>قراردادي بهره بردار</v>
      </c>
      <c r="E1099" s="1" t="str">
        <f t="shared" si="116"/>
        <v>پروژه بهره برداري نيروگاه بوشهر</v>
      </c>
      <c r="F1099" s="1">
        <v>11593070</v>
      </c>
      <c r="G1099" s="1">
        <v>1656292</v>
      </c>
      <c r="H1099" s="1">
        <v>0</v>
      </c>
      <c r="I1099" s="1">
        <v>5353672</v>
      </c>
      <c r="J1099" s="1">
        <v>0</v>
      </c>
      <c r="K1099" s="1">
        <v>5500000</v>
      </c>
      <c r="L1099" s="1">
        <v>0</v>
      </c>
      <c r="M1099" s="1">
        <v>400000</v>
      </c>
      <c r="N1099" s="1">
        <v>1440108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2064988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1028648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1234378</v>
      </c>
      <c r="AM1099" s="1">
        <v>0</v>
      </c>
      <c r="AN1099" s="1">
        <v>31371156</v>
      </c>
      <c r="AO1099" s="1">
        <v>2904692</v>
      </c>
      <c r="AP1099" s="1">
        <v>28466464</v>
      </c>
      <c r="AQ1099" s="1">
        <v>6274231</v>
      </c>
      <c r="AR1099" s="1">
        <v>941135</v>
      </c>
      <c r="AS1099" s="1">
        <v>0</v>
      </c>
      <c r="AT1099" s="1">
        <f t="shared" si="117"/>
        <v>38586522</v>
      </c>
    </row>
    <row r="1100" spans="1:46">
      <c r="A1100" s="1" t="str">
        <f>"01387"</f>
        <v>01387</v>
      </c>
      <c r="B1100" s="1" t="str">
        <f>"علي"</f>
        <v>علي</v>
      </c>
      <c r="C1100" s="1" t="str">
        <f>"صفي ياري خفري"</f>
        <v>صفي ياري خفري</v>
      </c>
      <c r="D1100" s="1" t="str">
        <f t="shared" si="114"/>
        <v>قراردادي بهره بردار</v>
      </c>
      <c r="E1100" s="1" t="str">
        <f t="shared" si="116"/>
        <v>پروژه بهره برداري نيروگاه بوشهر</v>
      </c>
      <c r="F1100" s="1">
        <v>11029460</v>
      </c>
      <c r="G1100" s="1">
        <v>2614495</v>
      </c>
      <c r="H1100" s="1">
        <v>0</v>
      </c>
      <c r="I1100" s="1">
        <v>4971114</v>
      </c>
      <c r="J1100" s="1">
        <v>0</v>
      </c>
      <c r="K1100" s="1">
        <v>0</v>
      </c>
      <c r="L1100" s="1">
        <v>0</v>
      </c>
      <c r="M1100" s="1">
        <v>400000</v>
      </c>
      <c r="N1100" s="1">
        <v>1234226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1917430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881590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1057908</v>
      </c>
      <c r="AM1100" s="1">
        <v>0</v>
      </c>
      <c r="AN1100" s="1">
        <v>25206223</v>
      </c>
      <c r="AO1100" s="1">
        <v>5153102</v>
      </c>
      <c r="AP1100" s="1">
        <v>20053121</v>
      </c>
      <c r="AQ1100" s="1">
        <v>5041245</v>
      </c>
      <c r="AR1100" s="1">
        <v>756187</v>
      </c>
      <c r="AS1100" s="1">
        <v>0</v>
      </c>
      <c r="AT1100" s="1">
        <f t="shared" si="117"/>
        <v>31003655</v>
      </c>
    </row>
    <row r="1101" spans="1:46">
      <c r="A1101" s="1" t="str">
        <f>"01388"</f>
        <v>01388</v>
      </c>
      <c r="B1101" s="1" t="str">
        <f>"پوريا"</f>
        <v>پوريا</v>
      </c>
      <c r="C1101" s="1" t="str">
        <f>"ميرسنجري"</f>
        <v>ميرسنجري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4640688</v>
      </c>
      <c r="G1101" s="1">
        <v>0</v>
      </c>
      <c r="H1101" s="1">
        <v>0</v>
      </c>
      <c r="I1101" s="1">
        <v>2784413</v>
      </c>
      <c r="J1101" s="1">
        <v>0</v>
      </c>
      <c r="K1101" s="1">
        <v>0</v>
      </c>
      <c r="L1101" s="1">
        <v>3460800</v>
      </c>
      <c r="M1101" s="1">
        <v>400000</v>
      </c>
      <c r="N1101" s="1">
        <v>2475034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1486093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16347028</v>
      </c>
      <c r="AO1101" s="1">
        <v>4784292</v>
      </c>
      <c r="AP1101" s="1">
        <v>11562736</v>
      </c>
      <c r="AQ1101" s="1">
        <v>3269406</v>
      </c>
      <c r="AR1101" s="1">
        <v>490411</v>
      </c>
      <c r="AS1101" s="1">
        <v>0</v>
      </c>
      <c r="AT1101" s="1">
        <f t="shared" si="117"/>
        <v>20106845</v>
      </c>
    </row>
    <row r="1102" spans="1:46">
      <c r="A1102" s="1" t="str">
        <f>"01389"</f>
        <v>01389</v>
      </c>
      <c r="B1102" s="1" t="str">
        <f>"عيسي"</f>
        <v>عيسي</v>
      </c>
      <c r="C1102" s="1" t="str">
        <f>"زنده بودي"</f>
        <v>زنده بودي</v>
      </c>
      <c r="D1102" s="1" t="str">
        <f>"قراردادي کارگري"</f>
        <v>قراردادي کارگري</v>
      </c>
      <c r="E1102" s="1" t="str">
        <f>"پروژه تعميرات نيروگاه بوشهر"</f>
        <v>پروژه تعميرات نيروگاه بوشهر</v>
      </c>
      <c r="F1102" s="1">
        <v>11112690</v>
      </c>
      <c r="G1102" s="1">
        <v>1620601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400000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14233291</v>
      </c>
      <c r="AO1102" s="1">
        <v>1036330</v>
      </c>
      <c r="AP1102" s="1">
        <v>13196961</v>
      </c>
      <c r="AQ1102" s="1">
        <v>2846658</v>
      </c>
      <c r="AR1102" s="1">
        <v>426999</v>
      </c>
      <c r="AS1102" s="1">
        <v>0</v>
      </c>
      <c r="AT1102" s="1">
        <f t="shared" si="117"/>
        <v>17506948</v>
      </c>
    </row>
    <row r="1103" spans="1:46">
      <c r="A1103" s="1" t="str">
        <f>"01390"</f>
        <v>01390</v>
      </c>
      <c r="B1103" s="1" t="str">
        <f>"محمد"</f>
        <v>محمد</v>
      </c>
      <c r="C1103" s="1" t="str">
        <f>"صبوريان"</f>
        <v>صبوريان</v>
      </c>
      <c r="D1103" s="1" t="str">
        <f>"قراردادي کارگري"</f>
        <v>قراردادي کارگري</v>
      </c>
      <c r="E1103" s="1" t="str">
        <f>"پروژه تعميرات نيروگاه بوشهر"</f>
        <v>پروژه تعميرات نيروگاه بوشهر</v>
      </c>
      <c r="F1103" s="1">
        <v>11112690</v>
      </c>
      <c r="G1103" s="1">
        <v>810300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400000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1666904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1037184</v>
      </c>
      <c r="AK1103" s="1">
        <v>0</v>
      </c>
      <c r="AL1103" s="1">
        <v>0</v>
      </c>
      <c r="AM1103" s="1">
        <v>0</v>
      </c>
      <c r="AN1103" s="1">
        <v>16127078</v>
      </c>
      <c r="AO1103" s="1">
        <v>1168895</v>
      </c>
      <c r="AP1103" s="1">
        <v>14958183</v>
      </c>
      <c r="AQ1103" s="1">
        <v>3225416</v>
      </c>
      <c r="AR1103" s="1">
        <v>483812</v>
      </c>
      <c r="AS1103" s="1">
        <v>0</v>
      </c>
      <c r="AT1103" s="1">
        <f t="shared" si="117"/>
        <v>19836306</v>
      </c>
    </row>
    <row r="1104" spans="1:46">
      <c r="A1104" s="1" t="str">
        <f>"01391"</f>
        <v>01391</v>
      </c>
      <c r="B1104" s="1" t="str">
        <f>"اميد"</f>
        <v>اميد</v>
      </c>
      <c r="C1104" s="1" t="str">
        <f>"محمدپور"</f>
        <v>محمدپور</v>
      </c>
      <c r="D1104" s="1" t="str">
        <f>"قراردادي کارگري"</f>
        <v>قراردادي کارگري</v>
      </c>
      <c r="E1104" s="1" t="str">
        <f>"پروژه تعميرات نيروگاه بوشهر"</f>
        <v>پروژه تعميرات نيروگاه بوشهر</v>
      </c>
      <c r="F1104" s="1">
        <v>11112690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400000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12612690</v>
      </c>
      <c r="AO1104" s="1">
        <v>1473785</v>
      </c>
      <c r="AP1104" s="1">
        <v>11138905</v>
      </c>
      <c r="AQ1104" s="1">
        <v>2522538</v>
      </c>
      <c r="AR1104" s="1">
        <v>378381</v>
      </c>
      <c r="AS1104" s="1">
        <v>0</v>
      </c>
      <c r="AT1104" s="1">
        <f t="shared" si="117"/>
        <v>15513609</v>
      </c>
    </row>
    <row r="1105" spans="1:46">
      <c r="A1105" s="1" t="str">
        <f>"01392"</f>
        <v>01392</v>
      </c>
      <c r="B1105" s="1" t="str">
        <f>"سيد محمد"</f>
        <v>سيد محمد</v>
      </c>
      <c r="C1105" s="1" t="str">
        <f>"مير سليماني"</f>
        <v>مير سليماني</v>
      </c>
      <c r="D1105" s="1" t="str">
        <f t="shared" ref="D1105:D1138" si="118">"قراردادي بهره بردار"</f>
        <v>قراردادي بهره بردار</v>
      </c>
      <c r="E1105" s="1" t="str">
        <f t="shared" ref="E1105:E1138" si="119">"پروژه بهره برداري نيروگاه بوشهر"</f>
        <v>پروژه بهره برداري نيروگاه بوشهر</v>
      </c>
      <c r="F1105" s="1">
        <v>11112690</v>
      </c>
      <c r="G1105" s="1">
        <v>486180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400000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1270000</v>
      </c>
      <c r="U1105" s="1">
        <v>0</v>
      </c>
      <c r="V1105" s="1">
        <v>0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14368870</v>
      </c>
      <c r="AO1105" s="1">
        <v>1467818</v>
      </c>
      <c r="AP1105" s="1">
        <v>12901052</v>
      </c>
      <c r="AQ1105" s="1">
        <v>2619774</v>
      </c>
      <c r="AR1105" s="1">
        <v>392966</v>
      </c>
      <c r="AS1105" s="1">
        <v>0</v>
      </c>
      <c r="AT1105" s="1">
        <f t="shared" si="117"/>
        <v>17381610</v>
      </c>
    </row>
    <row r="1106" spans="1:46">
      <c r="A1106" s="1" t="str">
        <f>"01393"</f>
        <v>01393</v>
      </c>
      <c r="B1106" s="1" t="str">
        <f>"پيمان"</f>
        <v>پيمان</v>
      </c>
      <c r="C1106" s="1" t="str">
        <f>"نجفي"</f>
        <v>نجفي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11112690</v>
      </c>
      <c r="G1106" s="1">
        <v>1053390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400000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1270000</v>
      </c>
      <c r="U1106" s="1">
        <v>0</v>
      </c>
      <c r="V1106" s="1">
        <v>0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14936080</v>
      </c>
      <c r="AO1106" s="1">
        <v>1507523</v>
      </c>
      <c r="AP1106" s="1">
        <v>13428557</v>
      </c>
      <c r="AQ1106" s="1">
        <v>2733216</v>
      </c>
      <c r="AR1106" s="1">
        <v>409982</v>
      </c>
      <c r="AS1106" s="1">
        <v>0</v>
      </c>
      <c r="AT1106" s="1">
        <f t="shared" si="117"/>
        <v>18079278</v>
      </c>
    </row>
    <row r="1107" spans="1:46">
      <c r="A1107" s="1" t="str">
        <f>"01394"</f>
        <v>01394</v>
      </c>
      <c r="B1107" s="1" t="str">
        <f>"محمدرضا"</f>
        <v>محمدرضا</v>
      </c>
      <c r="C1107" s="1" t="str">
        <f>"احمدپري"</f>
        <v>احمدپري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11112690</v>
      </c>
      <c r="G1107" s="1">
        <v>1620601</v>
      </c>
      <c r="H1107" s="1">
        <v>0</v>
      </c>
      <c r="I1107" s="1">
        <v>0</v>
      </c>
      <c r="J1107" s="1">
        <v>0</v>
      </c>
      <c r="K1107" s="1">
        <v>4125000</v>
      </c>
      <c r="L1107" s="1">
        <v>0</v>
      </c>
      <c r="M1107" s="1">
        <v>400000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1270000</v>
      </c>
      <c r="U1107" s="1">
        <v>0</v>
      </c>
      <c r="V1107" s="1">
        <v>0</v>
      </c>
      <c r="W1107" s="1">
        <v>1100000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19628291</v>
      </c>
      <c r="AO1107" s="1">
        <v>1835977</v>
      </c>
      <c r="AP1107" s="1">
        <v>17792314</v>
      </c>
      <c r="AQ1107" s="1">
        <v>3671658</v>
      </c>
      <c r="AR1107" s="1">
        <v>550749</v>
      </c>
      <c r="AS1107" s="1">
        <v>0</v>
      </c>
      <c r="AT1107" s="1">
        <f t="shared" si="117"/>
        <v>23850698</v>
      </c>
    </row>
    <row r="1108" spans="1:46">
      <c r="A1108" s="1" t="str">
        <f>"01395"</f>
        <v>01395</v>
      </c>
      <c r="B1108" s="1" t="str">
        <f>"وحيد"</f>
        <v>وحيد</v>
      </c>
      <c r="C1108" s="1" t="str">
        <f>"زندي"</f>
        <v>زندي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11112690</v>
      </c>
      <c r="G1108" s="1">
        <v>1053390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400000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1270000</v>
      </c>
      <c r="U1108" s="1">
        <v>0</v>
      </c>
      <c r="V1108" s="1">
        <v>0</v>
      </c>
      <c r="W1108" s="1">
        <v>1100000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14936080</v>
      </c>
      <c r="AO1108" s="1">
        <v>1507523</v>
      </c>
      <c r="AP1108" s="1">
        <v>13428557</v>
      </c>
      <c r="AQ1108" s="1">
        <v>2733216</v>
      </c>
      <c r="AR1108" s="1">
        <v>409982</v>
      </c>
      <c r="AS1108" s="1">
        <v>0</v>
      </c>
      <c r="AT1108" s="1">
        <f t="shared" si="117"/>
        <v>18079278</v>
      </c>
    </row>
    <row r="1109" spans="1:46">
      <c r="A1109" s="1" t="str">
        <f>"01396"</f>
        <v>01396</v>
      </c>
      <c r="B1109" s="1" t="str">
        <f>"مهدي"</f>
        <v>مهدي</v>
      </c>
      <c r="C1109" s="1" t="str">
        <f>"ترحمي سيل آباد"</f>
        <v>ترحمي سيل آباد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11112690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400000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1270000</v>
      </c>
      <c r="U1109" s="1">
        <v>0</v>
      </c>
      <c r="V1109" s="1">
        <v>0</v>
      </c>
      <c r="W1109" s="1">
        <v>1100000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13882690</v>
      </c>
      <c r="AO1109" s="1">
        <v>1433785</v>
      </c>
      <c r="AP1109" s="1">
        <v>12448905</v>
      </c>
      <c r="AQ1109" s="1">
        <v>2522538</v>
      </c>
      <c r="AR1109" s="1">
        <v>378381</v>
      </c>
      <c r="AS1109" s="1">
        <v>0</v>
      </c>
      <c r="AT1109" s="1">
        <f t="shared" si="117"/>
        <v>16783609</v>
      </c>
    </row>
    <row r="1110" spans="1:46">
      <c r="A1110" s="1" t="str">
        <f>"01397"</f>
        <v>01397</v>
      </c>
      <c r="B1110" s="1" t="str">
        <f>"محمد"</f>
        <v>محمد</v>
      </c>
      <c r="C1110" s="1" t="str">
        <f>"پديسار"</f>
        <v>پديسار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11112690</v>
      </c>
      <c r="G1110" s="1">
        <v>1215450</v>
      </c>
      <c r="H1110" s="1">
        <v>0</v>
      </c>
      <c r="I1110" s="1">
        <v>0</v>
      </c>
      <c r="J1110" s="1">
        <v>0</v>
      </c>
      <c r="K1110" s="1">
        <v>11177419</v>
      </c>
      <c r="L1110" s="1">
        <v>0</v>
      </c>
      <c r="M1110" s="1">
        <v>400000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1270000</v>
      </c>
      <c r="U1110" s="1">
        <v>0</v>
      </c>
      <c r="V1110" s="1">
        <v>0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26275559</v>
      </c>
      <c r="AO1110" s="1">
        <v>2301286</v>
      </c>
      <c r="AP1110" s="1">
        <v>23974273</v>
      </c>
      <c r="AQ1110" s="1">
        <v>5001112</v>
      </c>
      <c r="AR1110" s="1">
        <v>750167</v>
      </c>
      <c r="AS1110" s="1">
        <v>0</v>
      </c>
      <c r="AT1110" s="1">
        <f t="shared" si="117"/>
        <v>32026838</v>
      </c>
    </row>
    <row r="1111" spans="1:46">
      <c r="A1111" s="1" t="str">
        <f>"01398"</f>
        <v>01398</v>
      </c>
      <c r="B1111" s="1" t="str">
        <f>"پژمان"</f>
        <v>پژمان</v>
      </c>
      <c r="C1111" s="1" t="str">
        <f>"سروري"</f>
        <v>سروري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11112690</v>
      </c>
      <c r="G1111" s="1">
        <v>1053390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400000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1270000</v>
      </c>
      <c r="U1111" s="1">
        <v>0</v>
      </c>
      <c r="V1111" s="1">
        <v>0</v>
      </c>
      <c r="W1111" s="1">
        <v>1100000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14936080</v>
      </c>
      <c r="AO1111" s="1">
        <v>1507523</v>
      </c>
      <c r="AP1111" s="1">
        <v>13428557</v>
      </c>
      <c r="AQ1111" s="1">
        <v>2733216</v>
      </c>
      <c r="AR1111" s="1">
        <v>409982</v>
      </c>
      <c r="AS1111" s="1">
        <v>0</v>
      </c>
      <c r="AT1111" s="1">
        <f t="shared" si="117"/>
        <v>18079278</v>
      </c>
    </row>
    <row r="1112" spans="1:46">
      <c r="A1112" s="1" t="str">
        <f>"01399"</f>
        <v>01399</v>
      </c>
      <c r="B1112" s="1" t="str">
        <f>"سيد ساعد"</f>
        <v>سيد ساعد</v>
      </c>
      <c r="C1112" s="1" t="str">
        <f>"فداکار"</f>
        <v>فداکار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8149306</v>
      </c>
      <c r="G1112" s="1">
        <v>405150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293333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1270000</v>
      </c>
      <c r="U1112" s="1">
        <v>0</v>
      </c>
      <c r="V1112" s="1">
        <v>0</v>
      </c>
      <c r="W1112" s="1">
        <v>806667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10924456</v>
      </c>
      <c r="AO1112" s="1">
        <v>10924456</v>
      </c>
      <c r="AP1112" s="1">
        <v>0</v>
      </c>
      <c r="AQ1112" s="1">
        <v>1930891</v>
      </c>
      <c r="AR1112" s="1">
        <v>289634</v>
      </c>
      <c r="AS1112" s="1">
        <v>0</v>
      </c>
      <c r="AT1112" s="1">
        <f t="shared" si="117"/>
        <v>13144981</v>
      </c>
    </row>
    <row r="1113" spans="1:46">
      <c r="A1113" s="1" t="str">
        <f>"01400"</f>
        <v>01400</v>
      </c>
      <c r="B1113" s="1" t="str">
        <f>"اسماعيل"</f>
        <v>اسماعيل</v>
      </c>
      <c r="C1113" s="1" t="str">
        <f>"احمد حسيني"</f>
        <v>احمد حسيني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11112690</v>
      </c>
      <c r="G1113" s="1">
        <v>810300</v>
      </c>
      <c r="H1113" s="1">
        <v>0</v>
      </c>
      <c r="I1113" s="1">
        <v>0</v>
      </c>
      <c r="J1113" s="1">
        <v>0</v>
      </c>
      <c r="K1113" s="1">
        <v>3465000</v>
      </c>
      <c r="L1113" s="1">
        <v>0</v>
      </c>
      <c r="M1113" s="1">
        <v>400000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1270000</v>
      </c>
      <c r="U1113" s="1">
        <v>0</v>
      </c>
      <c r="V1113" s="1">
        <v>0</v>
      </c>
      <c r="W1113" s="1">
        <v>1100000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18157990</v>
      </c>
      <c r="AO1113" s="1">
        <v>1733056</v>
      </c>
      <c r="AP1113" s="1">
        <v>16424934</v>
      </c>
      <c r="AQ1113" s="1">
        <v>3377598</v>
      </c>
      <c r="AR1113" s="1">
        <v>506640</v>
      </c>
      <c r="AS1113" s="1">
        <v>0</v>
      </c>
      <c r="AT1113" s="1">
        <f t="shared" si="117"/>
        <v>22042228</v>
      </c>
    </row>
    <row r="1114" spans="1:46">
      <c r="A1114" s="1" t="str">
        <f>"01401"</f>
        <v>01401</v>
      </c>
      <c r="B1114" s="1" t="str">
        <f>"علي"</f>
        <v>علي</v>
      </c>
      <c r="C1114" s="1" t="str">
        <f>"دشتي زاده"</f>
        <v>دشتي زاده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11112690</v>
      </c>
      <c r="G1114" s="1">
        <v>1053390</v>
      </c>
      <c r="H1114" s="1">
        <v>0</v>
      </c>
      <c r="I1114" s="1">
        <v>0</v>
      </c>
      <c r="J1114" s="1">
        <v>0</v>
      </c>
      <c r="K1114" s="1">
        <v>3465000</v>
      </c>
      <c r="L1114" s="1">
        <v>0</v>
      </c>
      <c r="M1114" s="1">
        <v>400000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1270000</v>
      </c>
      <c r="U1114" s="1">
        <v>0</v>
      </c>
      <c r="V1114" s="1">
        <v>0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18401080</v>
      </c>
      <c r="AO1114" s="1">
        <v>1750073</v>
      </c>
      <c r="AP1114" s="1">
        <v>16651007</v>
      </c>
      <c r="AQ1114" s="1">
        <v>3426216</v>
      </c>
      <c r="AR1114" s="1">
        <v>513932</v>
      </c>
      <c r="AS1114" s="1">
        <v>0</v>
      </c>
      <c r="AT1114" s="1">
        <f t="shared" si="117"/>
        <v>22341228</v>
      </c>
    </row>
    <row r="1115" spans="1:46">
      <c r="A1115" s="1" t="str">
        <f>"01402"</f>
        <v>01402</v>
      </c>
      <c r="B1115" s="1" t="str">
        <f>"روح اله"</f>
        <v>روح اله</v>
      </c>
      <c r="C1115" s="1" t="str">
        <f>"دهقاني"</f>
        <v>دهقاني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11112690</v>
      </c>
      <c r="G1115" s="1">
        <v>1458541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400000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1270000</v>
      </c>
      <c r="U1115" s="1">
        <v>0</v>
      </c>
      <c r="V1115" s="1">
        <v>0</v>
      </c>
      <c r="W1115" s="1">
        <v>1100000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15341231</v>
      </c>
      <c r="AO1115" s="1">
        <v>1535883</v>
      </c>
      <c r="AP1115" s="1">
        <v>13805348</v>
      </c>
      <c r="AQ1115" s="1">
        <v>2814246</v>
      </c>
      <c r="AR1115" s="1">
        <v>422137</v>
      </c>
      <c r="AS1115" s="1">
        <v>0</v>
      </c>
      <c r="AT1115" s="1">
        <f t="shared" si="117"/>
        <v>18577614</v>
      </c>
    </row>
    <row r="1116" spans="1:46">
      <c r="A1116" s="1" t="str">
        <f>"01403"</f>
        <v>01403</v>
      </c>
      <c r="B1116" s="1" t="str">
        <f>"محمد مجتبي"</f>
        <v>محمد مجتبي</v>
      </c>
      <c r="C1116" s="1" t="str">
        <f>"کشت کار"</f>
        <v>کشت کار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11112690</v>
      </c>
      <c r="G1116" s="1">
        <v>1458541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400000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1270000</v>
      </c>
      <c r="U1116" s="1">
        <v>0</v>
      </c>
      <c r="V1116" s="1">
        <v>0</v>
      </c>
      <c r="W1116" s="1">
        <v>1100000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15341231</v>
      </c>
      <c r="AO1116" s="1">
        <v>1535883</v>
      </c>
      <c r="AP1116" s="1">
        <v>13805348</v>
      </c>
      <c r="AQ1116" s="1">
        <v>2814246</v>
      </c>
      <c r="AR1116" s="1">
        <v>422137</v>
      </c>
      <c r="AS1116" s="1">
        <v>0</v>
      </c>
      <c r="AT1116" s="1">
        <f t="shared" si="117"/>
        <v>18577614</v>
      </c>
    </row>
    <row r="1117" spans="1:46">
      <c r="A1117" s="1" t="str">
        <f>"01404"</f>
        <v>01404</v>
      </c>
      <c r="B1117" s="1" t="str">
        <f>"مصطفي"</f>
        <v>مصطفي</v>
      </c>
      <c r="C1117" s="1" t="str">
        <f>"آذرخش"</f>
        <v>آذرخش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11112690</v>
      </c>
      <c r="G1117" s="1">
        <v>1053390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400000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1270000</v>
      </c>
      <c r="U1117" s="1">
        <v>0</v>
      </c>
      <c r="V1117" s="1">
        <v>0</v>
      </c>
      <c r="W1117" s="1">
        <v>1100000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14936080</v>
      </c>
      <c r="AO1117" s="1">
        <v>1507523</v>
      </c>
      <c r="AP1117" s="1">
        <v>13428557</v>
      </c>
      <c r="AQ1117" s="1">
        <v>2733216</v>
      </c>
      <c r="AR1117" s="1">
        <v>409982</v>
      </c>
      <c r="AS1117" s="1">
        <v>0</v>
      </c>
      <c r="AT1117" s="1">
        <f t="shared" si="117"/>
        <v>18079278</v>
      </c>
    </row>
    <row r="1118" spans="1:46">
      <c r="A1118" s="1" t="str">
        <f>"01405"</f>
        <v>01405</v>
      </c>
      <c r="B1118" s="1" t="str">
        <f>"يوسف"</f>
        <v>يوسف</v>
      </c>
      <c r="C1118" s="1" t="str">
        <f>"زنده بودي"</f>
        <v>زنده بودي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11112690</v>
      </c>
      <c r="G1118" s="1">
        <v>1215450</v>
      </c>
      <c r="H1118" s="1">
        <v>0</v>
      </c>
      <c r="I1118" s="1">
        <v>0</v>
      </c>
      <c r="J1118" s="1">
        <v>0</v>
      </c>
      <c r="K1118" s="1">
        <v>3465000</v>
      </c>
      <c r="L1118" s="1">
        <v>0</v>
      </c>
      <c r="M1118" s="1">
        <v>400000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1270000</v>
      </c>
      <c r="U1118" s="1">
        <v>0</v>
      </c>
      <c r="V1118" s="1">
        <v>0</v>
      </c>
      <c r="W1118" s="1">
        <v>1100000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18563140</v>
      </c>
      <c r="AO1118" s="1">
        <v>1761417</v>
      </c>
      <c r="AP1118" s="1">
        <v>16801723</v>
      </c>
      <c r="AQ1118" s="1">
        <v>3458628</v>
      </c>
      <c r="AR1118" s="1">
        <v>518794</v>
      </c>
      <c r="AS1118" s="1">
        <v>0</v>
      </c>
      <c r="AT1118" s="1">
        <f t="shared" si="117"/>
        <v>22540562</v>
      </c>
    </row>
    <row r="1119" spans="1:46">
      <c r="A1119" s="1" t="str">
        <f>"01406"</f>
        <v>01406</v>
      </c>
      <c r="B1119" s="1" t="str">
        <f>"مصطفي"</f>
        <v>مصطفي</v>
      </c>
      <c r="C1119" s="1" t="str">
        <f>"محمدي گلوردي"</f>
        <v>محمدي گلوردي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11112690</v>
      </c>
      <c r="G1119" s="1">
        <v>1215450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400000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1270000</v>
      </c>
      <c r="U1119" s="1">
        <v>0</v>
      </c>
      <c r="V1119" s="1">
        <v>0</v>
      </c>
      <c r="W1119" s="1">
        <v>1100000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15098140</v>
      </c>
      <c r="AO1119" s="1">
        <v>1518867</v>
      </c>
      <c r="AP1119" s="1">
        <v>13579273</v>
      </c>
      <c r="AQ1119" s="1">
        <v>2765628</v>
      </c>
      <c r="AR1119" s="1">
        <v>414844</v>
      </c>
      <c r="AS1119" s="1">
        <v>0</v>
      </c>
      <c r="AT1119" s="1">
        <f t="shared" si="117"/>
        <v>18278612</v>
      </c>
    </row>
    <row r="1120" spans="1:46">
      <c r="A1120" s="1" t="str">
        <f>"01407"</f>
        <v>01407</v>
      </c>
      <c r="B1120" s="1" t="str">
        <f>"سجاد"</f>
        <v>سجاد</v>
      </c>
      <c r="C1120" s="1" t="str">
        <f>"رستمي"</f>
        <v>رستمي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11112690</v>
      </c>
      <c r="G1120" s="1">
        <v>1458541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400000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1270000</v>
      </c>
      <c r="U1120" s="1">
        <v>0</v>
      </c>
      <c r="V1120" s="1">
        <v>0</v>
      </c>
      <c r="W1120" s="1">
        <v>1100000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15341231</v>
      </c>
      <c r="AO1120" s="1">
        <v>1535883</v>
      </c>
      <c r="AP1120" s="1">
        <v>13805348</v>
      </c>
      <c r="AQ1120" s="1">
        <v>2814246</v>
      </c>
      <c r="AR1120" s="1">
        <v>422137</v>
      </c>
      <c r="AS1120" s="1">
        <v>0</v>
      </c>
      <c r="AT1120" s="1">
        <f t="shared" si="117"/>
        <v>18577614</v>
      </c>
    </row>
    <row r="1121" spans="1:46">
      <c r="A1121" s="1" t="str">
        <f>"01408"</f>
        <v>01408</v>
      </c>
      <c r="B1121" s="1" t="str">
        <f>"مصطفي"</f>
        <v>مصطفي</v>
      </c>
      <c r="C1121" s="1" t="str">
        <f>"محمدي"</f>
        <v>محمدي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11112690</v>
      </c>
      <c r="G1121" s="1">
        <v>1458541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400000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1270000</v>
      </c>
      <c r="U1121" s="1">
        <v>0</v>
      </c>
      <c r="V1121" s="1">
        <v>0</v>
      </c>
      <c r="W1121" s="1">
        <v>1100000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15341231</v>
      </c>
      <c r="AO1121" s="1">
        <v>1535883</v>
      </c>
      <c r="AP1121" s="1">
        <v>13805348</v>
      </c>
      <c r="AQ1121" s="1">
        <v>2814246</v>
      </c>
      <c r="AR1121" s="1">
        <v>422137</v>
      </c>
      <c r="AS1121" s="1">
        <v>0</v>
      </c>
      <c r="AT1121" s="1">
        <f t="shared" si="117"/>
        <v>18577614</v>
      </c>
    </row>
    <row r="1122" spans="1:46">
      <c r="A1122" s="1" t="str">
        <f>"01409"</f>
        <v>01409</v>
      </c>
      <c r="B1122" s="1" t="str">
        <f>"عبدالرحيم"</f>
        <v>عبدالرحيم</v>
      </c>
      <c r="C1122" s="1" t="str">
        <f>"نيکنام"</f>
        <v>نيکنام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11112690</v>
      </c>
      <c r="G1122" s="1">
        <v>1458541</v>
      </c>
      <c r="H1122" s="1">
        <v>0</v>
      </c>
      <c r="I1122" s="1">
        <v>0</v>
      </c>
      <c r="J1122" s="1">
        <v>0</v>
      </c>
      <c r="K1122" s="1">
        <v>3465000</v>
      </c>
      <c r="L1122" s="1">
        <v>0</v>
      </c>
      <c r="M1122" s="1">
        <v>400000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1270000</v>
      </c>
      <c r="U1122" s="1">
        <v>0</v>
      </c>
      <c r="V1122" s="1">
        <v>0</v>
      </c>
      <c r="W1122" s="1">
        <v>1100000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18806231</v>
      </c>
      <c r="AO1122" s="1">
        <v>1778433</v>
      </c>
      <c r="AP1122" s="1">
        <v>17027798</v>
      </c>
      <c r="AQ1122" s="1">
        <v>3507246</v>
      </c>
      <c r="AR1122" s="1">
        <v>526087</v>
      </c>
      <c r="AS1122" s="1">
        <v>0</v>
      </c>
      <c r="AT1122" s="1">
        <f t="shared" si="117"/>
        <v>22839564</v>
      </c>
    </row>
    <row r="1123" spans="1:46">
      <c r="A1123" s="1" t="str">
        <f>"01410"</f>
        <v>01410</v>
      </c>
      <c r="B1123" s="1" t="str">
        <f>"حسين"</f>
        <v>حسين</v>
      </c>
      <c r="C1123" s="1" t="str">
        <f>"اندرياي"</f>
        <v>اندرياي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11112690</v>
      </c>
      <c r="G1123" s="1">
        <v>1053390</v>
      </c>
      <c r="H1123" s="1">
        <v>0</v>
      </c>
      <c r="I1123" s="1">
        <v>0</v>
      </c>
      <c r="J1123" s="1">
        <v>0</v>
      </c>
      <c r="K1123" s="1">
        <v>3465000</v>
      </c>
      <c r="L1123" s="1">
        <v>0</v>
      </c>
      <c r="M1123" s="1">
        <v>400000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1270000</v>
      </c>
      <c r="U1123" s="1">
        <v>0</v>
      </c>
      <c r="V1123" s="1">
        <v>0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18401080</v>
      </c>
      <c r="AO1123" s="1">
        <v>1750073</v>
      </c>
      <c r="AP1123" s="1">
        <v>16651007</v>
      </c>
      <c r="AQ1123" s="1">
        <v>3426216</v>
      </c>
      <c r="AR1123" s="1">
        <v>513932</v>
      </c>
      <c r="AS1123" s="1">
        <v>0</v>
      </c>
      <c r="AT1123" s="1">
        <f t="shared" si="117"/>
        <v>22341228</v>
      </c>
    </row>
    <row r="1124" spans="1:46">
      <c r="A1124" s="1" t="str">
        <f>"01411"</f>
        <v>01411</v>
      </c>
      <c r="B1124" s="1" t="str">
        <f>"هادي"</f>
        <v>هادي</v>
      </c>
      <c r="C1124" s="1" t="str">
        <f>"تجويدي"</f>
        <v>تجويدي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11112690</v>
      </c>
      <c r="G1124" s="1">
        <v>1215450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400000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1270000</v>
      </c>
      <c r="U1124" s="1">
        <v>0</v>
      </c>
      <c r="V1124" s="1">
        <v>0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15098140</v>
      </c>
      <c r="AO1124" s="1">
        <v>1518867</v>
      </c>
      <c r="AP1124" s="1">
        <v>13579273</v>
      </c>
      <c r="AQ1124" s="1">
        <v>2765628</v>
      </c>
      <c r="AR1124" s="1">
        <v>414844</v>
      </c>
      <c r="AS1124" s="1">
        <v>0</v>
      </c>
      <c r="AT1124" s="1">
        <f t="shared" si="117"/>
        <v>18278612</v>
      </c>
    </row>
    <row r="1125" spans="1:46">
      <c r="A1125" s="1" t="str">
        <f>"01412"</f>
        <v>01412</v>
      </c>
      <c r="B1125" s="1" t="str">
        <f>"مهرداد"</f>
        <v>مهرداد</v>
      </c>
      <c r="C1125" s="1" t="str">
        <f>"نظري"</f>
        <v>نظري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11112690</v>
      </c>
      <c r="G1125" s="1">
        <v>1458541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400000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1270000</v>
      </c>
      <c r="U1125" s="1">
        <v>0</v>
      </c>
      <c r="V1125" s="1">
        <v>0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15341231</v>
      </c>
      <c r="AO1125" s="1">
        <v>1535883</v>
      </c>
      <c r="AP1125" s="1">
        <v>13805348</v>
      </c>
      <c r="AQ1125" s="1">
        <v>2814246</v>
      </c>
      <c r="AR1125" s="1">
        <v>422137</v>
      </c>
      <c r="AS1125" s="1">
        <v>0</v>
      </c>
      <c r="AT1125" s="1">
        <f t="shared" si="117"/>
        <v>18577614</v>
      </c>
    </row>
    <row r="1126" spans="1:46">
      <c r="A1126" s="1" t="str">
        <f>"01413"</f>
        <v>01413</v>
      </c>
      <c r="B1126" s="1" t="str">
        <f>"سجاد"</f>
        <v>سجاد</v>
      </c>
      <c r="C1126" s="1" t="str">
        <f>"مرادزاده"</f>
        <v>مرادزاده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11112690</v>
      </c>
      <c r="G1126" s="1">
        <v>810300</v>
      </c>
      <c r="H1126" s="1">
        <v>0</v>
      </c>
      <c r="I1126" s="1">
        <v>0</v>
      </c>
      <c r="J1126" s="1">
        <v>0</v>
      </c>
      <c r="K1126" s="1">
        <v>3465000</v>
      </c>
      <c r="L1126" s="1">
        <v>0</v>
      </c>
      <c r="M1126" s="1">
        <v>400000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1270000</v>
      </c>
      <c r="U1126" s="1">
        <v>0</v>
      </c>
      <c r="V1126" s="1">
        <v>0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18157990</v>
      </c>
      <c r="AO1126" s="1">
        <v>1733056</v>
      </c>
      <c r="AP1126" s="1">
        <v>16424934</v>
      </c>
      <c r="AQ1126" s="1">
        <v>3377598</v>
      </c>
      <c r="AR1126" s="1">
        <v>506640</v>
      </c>
      <c r="AS1126" s="1">
        <v>0</v>
      </c>
      <c r="AT1126" s="1">
        <f t="shared" si="117"/>
        <v>22042228</v>
      </c>
    </row>
    <row r="1127" spans="1:46">
      <c r="A1127" s="1" t="str">
        <f>"01414"</f>
        <v>01414</v>
      </c>
      <c r="B1127" s="1" t="str">
        <f>"حسين"</f>
        <v>حسين</v>
      </c>
      <c r="C1127" s="1" t="str">
        <f>"آدره"</f>
        <v>آدره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11112690</v>
      </c>
      <c r="G1127" s="1">
        <v>162060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400000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1270000</v>
      </c>
      <c r="U1127" s="1">
        <v>0</v>
      </c>
      <c r="V1127" s="1">
        <v>0</v>
      </c>
      <c r="W1127" s="1">
        <v>1100000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14044750</v>
      </c>
      <c r="AO1127" s="1">
        <v>1445130</v>
      </c>
      <c r="AP1127" s="1">
        <v>12599620</v>
      </c>
      <c r="AQ1127" s="1">
        <v>2554950</v>
      </c>
      <c r="AR1127" s="1">
        <v>383243</v>
      </c>
      <c r="AS1127" s="1">
        <v>0</v>
      </c>
      <c r="AT1127" s="1">
        <f t="shared" si="117"/>
        <v>16982943</v>
      </c>
    </row>
    <row r="1128" spans="1:46">
      <c r="A1128" s="1" t="str">
        <f>"01415"</f>
        <v>01415</v>
      </c>
      <c r="B1128" s="1" t="str">
        <f>"تورج"</f>
        <v>تورج</v>
      </c>
      <c r="C1128" s="1" t="str">
        <f>"نظري"</f>
        <v>نظري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11112690</v>
      </c>
      <c r="G1128" s="1">
        <v>1620601</v>
      </c>
      <c r="H1128" s="1">
        <v>0</v>
      </c>
      <c r="I1128" s="1">
        <v>0</v>
      </c>
      <c r="J1128" s="1">
        <v>0</v>
      </c>
      <c r="K1128" s="1">
        <v>3025000</v>
      </c>
      <c r="L1128" s="1">
        <v>0</v>
      </c>
      <c r="M1128" s="1">
        <v>400000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1270000</v>
      </c>
      <c r="U1128" s="1">
        <v>0</v>
      </c>
      <c r="V1128" s="1">
        <v>0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18528291</v>
      </c>
      <c r="AO1128" s="1">
        <v>1758977</v>
      </c>
      <c r="AP1128" s="1">
        <v>16769314</v>
      </c>
      <c r="AQ1128" s="1">
        <v>3451658</v>
      </c>
      <c r="AR1128" s="1">
        <v>517749</v>
      </c>
      <c r="AS1128" s="1">
        <v>0</v>
      </c>
      <c r="AT1128" s="1">
        <f t="shared" si="117"/>
        <v>22497698</v>
      </c>
    </row>
    <row r="1129" spans="1:46">
      <c r="A1129" s="1" t="str">
        <f>"01416"</f>
        <v>01416</v>
      </c>
      <c r="B1129" s="1" t="str">
        <f>"حسين"</f>
        <v>حسين</v>
      </c>
      <c r="C1129" s="1" t="str">
        <f>"مظاهري بني"</f>
        <v>مظاهري بني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11112690</v>
      </c>
      <c r="G1129" s="1">
        <v>1134420</v>
      </c>
      <c r="H1129" s="1">
        <v>0</v>
      </c>
      <c r="I1129" s="1">
        <v>0</v>
      </c>
      <c r="J1129" s="1">
        <v>0</v>
      </c>
      <c r="K1129" s="1">
        <v>5500000</v>
      </c>
      <c r="L1129" s="1">
        <v>0</v>
      </c>
      <c r="M1129" s="1">
        <v>400000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1270000</v>
      </c>
      <c r="U1129" s="1">
        <v>0</v>
      </c>
      <c r="V1129" s="1">
        <v>0</v>
      </c>
      <c r="W1129" s="1">
        <v>1100000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20517110</v>
      </c>
      <c r="AO1129" s="1">
        <v>1898195</v>
      </c>
      <c r="AP1129" s="1">
        <v>18618915</v>
      </c>
      <c r="AQ1129" s="1">
        <v>3849422</v>
      </c>
      <c r="AR1129" s="1">
        <v>577413</v>
      </c>
      <c r="AS1129" s="1">
        <v>0</v>
      </c>
      <c r="AT1129" s="1">
        <f t="shared" si="117"/>
        <v>24943945</v>
      </c>
    </row>
    <row r="1130" spans="1:46">
      <c r="A1130" s="1" t="str">
        <f>"01417"</f>
        <v>01417</v>
      </c>
      <c r="B1130" s="1" t="str">
        <f>"راضيه"</f>
        <v>راضيه</v>
      </c>
      <c r="C1130" s="1" t="str">
        <f>"هژبرنيا"</f>
        <v>هژبرنيا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11112690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400000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1270000</v>
      </c>
      <c r="U1130" s="1">
        <v>0</v>
      </c>
      <c r="V1130" s="1">
        <v>0</v>
      </c>
      <c r="W1130" s="1">
        <v>1100000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13882690</v>
      </c>
      <c r="AO1130" s="1">
        <v>1433785</v>
      </c>
      <c r="AP1130" s="1">
        <v>12448905</v>
      </c>
      <c r="AQ1130" s="1">
        <v>2522538</v>
      </c>
      <c r="AR1130" s="1">
        <v>378381</v>
      </c>
      <c r="AS1130" s="1">
        <v>0</v>
      </c>
      <c r="AT1130" s="1">
        <f t="shared" si="117"/>
        <v>16783609</v>
      </c>
    </row>
    <row r="1131" spans="1:46">
      <c r="A1131" s="1" t="str">
        <f>"01418"</f>
        <v>01418</v>
      </c>
      <c r="B1131" s="1" t="str">
        <f>"اميد"</f>
        <v>اميد</v>
      </c>
      <c r="C1131" s="1" t="str">
        <f>"سبحاني جو"</f>
        <v>سبحاني جو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11112690</v>
      </c>
      <c r="G1131" s="1">
        <v>810300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400000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1270000</v>
      </c>
      <c r="U1131" s="1">
        <v>0</v>
      </c>
      <c r="V1131" s="1">
        <v>0</v>
      </c>
      <c r="W1131" s="1">
        <v>1100000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14692990</v>
      </c>
      <c r="AO1131" s="1">
        <v>1490506</v>
      </c>
      <c r="AP1131" s="1">
        <v>13202484</v>
      </c>
      <c r="AQ1131" s="1">
        <v>2684598</v>
      </c>
      <c r="AR1131" s="1">
        <v>402690</v>
      </c>
      <c r="AS1131" s="1">
        <v>0</v>
      </c>
      <c r="AT1131" s="1">
        <f t="shared" si="117"/>
        <v>17780278</v>
      </c>
    </row>
    <row r="1132" spans="1:46">
      <c r="A1132" s="1" t="str">
        <f>"01419"</f>
        <v>01419</v>
      </c>
      <c r="B1132" s="1" t="str">
        <f>"سيد عادل"</f>
        <v>سيد عادل</v>
      </c>
      <c r="C1132" s="1" t="str">
        <f>"هاشمي تنگستاني"</f>
        <v>هاشمي تنگستاني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11112690</v>
      </c>
      <c r="G1132" s="1">
        <v>1215450</v>
      </c>
      <c r="H1132" s="1">
        <v>0</v>
      </c>
      <c r="I1132" s="1">
        <v>0</v>
      </c>
      <c r="J1132" s="1">
        <v>0</v>
      </c>
      <c r="K1132" s="1">
        <v>4620000</v>
      </c>
      <c r="L1132" s="1">
        <v>0</v>
      </c>
      <c r="M1132" s="1">
        <v>400000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1270000</v>
      </c>
      <c r="U1132" s="1">
        <v>0</v>
      </c>
      <c r="V1132" s="1">
        <v>0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19718140</v>
      </c>
      <c r="AO1132" s="1">
        <v>2342267</v>
      </c>
      <c r="AP1132" s="1">
        <v>17375873</v>
      </c>
      <c r="AQ1132" s="1">
        <v>3689628</v>
      </c>
      <c r="AR1132" s="1">
        <v>553444</v>
      </c>
      <c r="AS1132" s="1">
        <v>0</v>
      </c>
      <c r="AT1132" s="1">
        <f t="shared" si="117"/>
        <v>23961212</v>
      </c>
    </row>
    <row r="1133" spans="1:46">
      <c r="A1133" s="1" t="str">
        <f>"01420"</f>
        <v>01420</v>
      </c>
      <c r="B1133" s="1" t="str">
        <f>"اميد"</f>
        <v>اميد</v>
      </c>
      <c r="C1133" s="1" t="str">
        <f>"زارع گلستاني"</f>
        <v>زارع گلستاني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11112690</v>
      </c>
      <c r="G1133" s="1">
        <v>810300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400000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1270000</v>
      </c>
      <c r="U1133" s="1">
        <v>0</v>
      </c>
      <c r="V1133" s="1">
        <v>0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14692990</v>
      </c>
      <c r="AO1133" s="1">
        <v>1490506</v>
      </c>
      <c r="AP1133" s="1">
        <v>13202484</v>
      </c>
      <c r="AQ1133" s="1">
        <v>2684598</v>
      </c>
      <c r="AR1133" s="1">
        <v>402690</v>
      </c>
      <c r="AS1133" s="1">
        <v>0</v>
      </c>
      <c r="AT1133" s="1">
        <f t="shared" si="117"/>
        <v>17780278</v>
      </c>
    </row>
    <row r="1134" spans="1:46">
      <c r="A1134" s="1" t="str">
        <f>"01421"</f>
        <v>01421</v>
      </c>
      <c r="B1134" s="1" t="str">
        <f>"ساسان"</f>
        <v>ساسان</v>
      </c>
      <c r="C1134" s="1" t="str">
        <f>"رحيمي"</f>
        <v>رحيمي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11112690</v>
      </c>
      <c r="G1134" s="1">
        <v>1620601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400000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1270000</v>
      </c>
      <c r="U1134" s="1">
        <v>0</v>
      </c>
      <c r="V1134" s="1">
        <v>0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15503291</v>
      </c>
      <c r="AO1134" s="1">
        <v>1547227</v>
      </c>
      <c r="AP1134" s="1">
        <v>13956064</v>
      </c>
      <c r="AQ1134" s="1">
        <v>2846658</v>
      </c>
      <c r="AR1134" s="1">
        <v>426999</v>
      </c>
      <c r="AS1134" s="1">
        <v>0</v>
      </c>
      <c r="AT1134" s="1">
        <f t="shared" si="117"/>
        <v>18776948</v>
      </c>
    </row>
    <row r="1135" spans="1:46">
      <c r="A1135" s="1" t="str">
        <f>"01422"</f>
        <v>01422</v>
      </c>
      <c r="B1135" s="1" t="str">
        <f>"صابر"</f>
        <v>صابر</v>
      </c>
      <c r="C1135" s="1" t="str">
        <f>"حيدري"</f>
        <v>حيدري</v>
      </c>
      <c r="D1135" s="1" t="str">
        <f t="shared" si="118"/>
        <v>قراردادي بهره بردار</v>
      </c>
      <c r="E1135" s="1" t="str">
        <f t="shared" si="119"/>
        <v>پروژه بهره برداري نيروگاه بوشهر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f t="shared" si="117"/>
        <v>0</v>
      </c>
    </row>
    <row r="1136" spans="1:46">
      <c r="A1136" s="1" t="str">
        <f>"01423"</f>
        <v>01423</v>
      </c>
      <c r="B1136" s="1" t="str">
        <f>"عليرضا"</f>
        <v>عليرضا</v>
      </c>
      <c r="C1136" s="1" t="str">
        <f>"حاجياني"</f>
        <v>حاجياني</v>
      </c>
      <c r="D1136" s="1" t="str">
        <f t="shared" si="118"/>
        <v>قراردادي بهره بردار</v>
      </c>
      <c r="E1136" s="1" t="str">
        <f t="shared" si="119"/>
        <v>پروژه بهره برداري نيروگاه بوشهر</v>
      </c>
      <c r="F1136" s="1">
        <v>11112690</v>
      </c>
      <c r="G1136" s="1">
        <v>1458541</v>
      </c>
      <c r="H1136" s="1">
        <v>0</v>
      </c>
      <c r="I1136" s="1">
        <v>0</v>
      </c>
      <c r="J1136" s="1">
        <v>0</v>
      </c>
      <c r="K1136" s="1">
        <v>3465000</v>
      </c>
      <c r="L1136" s="1">
        <v>0</v>
      </c>
      <c r="M1136" s="1">
        <v>400000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1270000</v>
      </c>
      <c r="U1136" s="1">
        <v>0</v>
      </c>
      <c r="V1136" s="1">
        <v>0</v>
      </c>
      <c r="W1136" s="1">
        <v>1100000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18806231</v>
      </c>
      <c r="AO1136" s="1">
        <v>1778433</v>
      </c>
      <c r="AP1136" s="1">
        <v>17027798</v>
      </c>
      <c r="AQ1136" s="1">
        <v>3507246</v>
      </c>
      <c r="AR1136" s="1">
        <v>526087</v>
      </c>
      <c r="AS1136" s="1">
        <v>0</v>
      </c>
      <c r="AT1136" s="1">
        <f t="shared" si="117"/>
        <v>22839564</v>
      </c>
    </row>
    <row r="1137" spans="1:46">
      <c r="A1137" s="1" t="str">
        <f>"01424"</f>
        <v>01424</v>
      </c>
      <c r="B1137" s="1" t="str">
        <f>"سيد سجاد"</f>
        <v>سيد سجاد</v>
      </c>
      <c r="C1137" s="1" t="str">
        <f>"نعمت اللهي"</f>
        <v>نعمت اللهي</v>
      </c>
      <c r="D1137" s="1" t="str">
        <f t="shared" si="118"/>
        <v>قراردادي بهره بردار</v>
      </c>
      <c r="E1137" s="1" t="str">
        <f t="shared" si="119"/>
        <v>پروژه بهره برداري نيروگاه بوشهر</v>
      </c>
      <c r="F1137" s="1">
        <v>11112690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400000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1270000</v>
      </c>
      <c r="U1137" s="1">
        <v>0</v>
      </c>
      <c r="V1137" s="1">
        <v>0</v>
      </c>
      <c r="W1137" s="1">
        <v>1100000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13882690</v>
      </c>
      <c r="AO1137" s="1">
        <v>1433785</v>
      </c>
      <c r="AP1137" s="1">
        <v>12448905</v>
      </c>
      <c r="AQ1137" s="1">
        <v>2522538</v>
      </c>
      <c r="AR1137" s="1">
        <v>378381</v>
      </c>
      <c r="AS1137" s="1">
        <v>0</v>
      </c>
      <c r="AT1137" s="1">
        <f t="shared" si="117"/>
        <v>16783609</v>
      </c>
    </row>
    <row r="1138" spans="1:46">
      <c r="A1138" s="1" t="str">
        <f>"01425"</f>
        <v>01425</v>
      </c>
      <c r="B1138" s="1" t="str">
        <f>"اشکان"</f>
        <v>اشکان</v>
      </c>
      <c r="C1138" s="1" t="str">
        <f>"احمدي دوقزلو"</f>
        <v>احمدي دوقزلو</v>
      </c>
      <c r="D1138" s="1" t="str">
        <f t="shared" si="118"/>
        <v>قراردادي بهره بردار</v>
      </c>
      <c r="E1138" s="1" t="str">
        <f t="shared" si="119"/>
        <v>پروژه بهره برداري نيروگاه بوشهر</v>
      </c>
      <c r="F1138" s="1">
        <v>11112690</v>
      </c>
      <c r="G1138" s="1">
        <v>810300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400000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1270000</v>
      </c>
      <c r="U1138" s="1">
        <v>0</v>
      </c>
      <c r="V1138" s="1">
        <v>0</v>
      </c>
      <c r="W1138" s="1">
        <v>1100000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14692990</v>
      </c>
      <c r="AO1138" s="1">
        <v>1490506</v>
      </c>
      <c r="AP1138" s="1">
        <v>13202484</v>
      </c>
      <c r="AQ1138" s="1">
        <v>2684598</v>
      </c>
      <c r="AR1138" s="1">
        <v>402690</v>
      </c>
      <c r="AS1138" s="1">
        <v>0</v>
      </c>
      <c r="AT1138" s="1">
        <f t="shared" si="117"/>
        <v>17780278</v>
      </c>
    </row>
    <row r="1139" spans="1:46">
      <c r="A1139" s="1" t="str">
        <f>"01426"</f>
        <v>01426</v>
      </c>
      <c r="B1139" s="1" t="str">
        <f>"مصيب"</f>
        <v>مصيب</v>
      </c>
      <c r="C1139" s="1" t="str">
        <f>"اسدي"</f>
        <v>اسدي</v>
      </c>
      <c r="D1139" s="1" t="str">
        <f>"قراردادي کارگري"</f>
        <v>قراردادي کارگري</v>
      </c>
      <c r="E1139" s="1" t="str">
        <f>"پروژه تعميرات نيروگاه بوشهر"</f>
        <v>پروژه تعميرات نيروگاه بوشهر</v>
      </c>
      <c r="F1139" s="1">
        <v>5926768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213333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586667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6726768</v>
      </c>
      <c r="AO1139" s="1">
        <v>490874</v>
      </c>
      <c r="AP1139" s="1">
        <v>6235894</v>
      </c>
      <c r="AQ1139" s="1">
        <v>1345354</v>
      </c>
      <c r="AR1139" s="1">
        <v>201803</v>
      </c>
      <c r="AS1139" s="1">
        <v>0</v>
      </c>
      <c r="AT1139" s="1">
        <f t="shared" si="117"/>
        <v>8273925</v>
      </c>
    </row>
    <row r="1140" spans="1:46">
      <c r="AT1140" s="1">
        <f>SUM(AT2:AT1139)</f>
        <v>66677544027</v>
      </c>
    </row>
  </sheetData>
  <sortState ref="A2:BE1139">
    <sortCondition ref="A2:A11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9708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2018-11-29T06:50:36Z</dcterms:created>
  <dcterms:modified xsi:type="dcterms:W3CDTF">2018-12-01T12:24:30Z</dcterms:modified>
</cp:coreProperties>
</file>